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alexi\Documents\scolaire\IPSA\AeroIpsa\SP02\STABTRAJ\"/>
    </mc:Choice>
  </mc:AlternateContent>
  <xr:revisionPtr revIDLastSave="0" documentId="13_ncr:1_{7396E438-3F31-4A9F-BA64-935BC00C7FB4}" xr6:coauthVersionLast="47" xr6:coauthVersionMax="47" xr10:uidLastSave="{00000000-0000-0000-0000-000000000000}"/>
  <bookViews>
    <workbookView xWindow="-120" yWindow="-120" windowWidth="29040" windowHeight="15990" xr2:uid="{8F734721-2CB3-9848-BC12-36F644E3359A}"/>
  </bookViews>
  <sheets>
    <sheet name="Stabilito" sheetId="6" r:id="rId1"/>
    <sheet name="Trajecto" sheetId="1" r:id="rId2"/>
    <sheet name="Courbes" sheetId="2" r:id="rId3"/>
    <sheet name="Propu" sheetId="4" r:id="rId4"/>
    <sheet name="Calculs" sheetId="3" r:id="rId5"/>
    <sheet name="Abaco" sheetId="8" r:id="rId6"/>
    <sheet name="Info" sheetId="5" r:id="rId7"/>
    <sheet name="Controle" sheetId="7" r:id="rId8"/>
  </sheets>
  <definedNames>
    <definedName name="_xlnm._FilterDatabase" localSheetId="3" hidden="1">Propu!$O$307:$P$335</definedName>
    <definedName name="a_prop">Abaco!$G$41:$G$67</definedName>
    <definedName name="Acc_max">Trajecto!$L$24</definedName>
    <definedName name="acc_x">Calculs!$D$4:$D$1004</definedName>
    <definedName name="acc_xz">Calculs!$F$4:$F$1004</definedName>
    <definedName name="acc_z">Calculs!$E$4:$E$1004</definedName>
    <definedName name="Alt_para">Trajecto!$I$27</definedName>
    <definedName name="alt_prop">Abaco!$J$41:$J$67</definedName>
    <definedName name="Alt_rampe">Trajecto!$C$20</definedName>
    <definedName name="Alt_sat">Trajecto!$I$25</definedName>
    <definedName name="Altitude_culmi">Trajecto!$I$26</definedName>
    <definedName name="b_bal">Abaco!$I$41:$I$67</definedName>
    <definedName name="b_prop">Abaco!$H$41:$H$67</definedName>
    <definedName name="Beta">Calculs!$M$4:$M$1004</definedName>
    <definedName name="Beta_rampe">Trajecto!$C$19</definedName>
    <definedName name="BetaD">Calculs!$N$4:$N$1004</definedName>
    <definedName name="CdP">Propu!$B$3:$Y$4</definedName>
    <definedName name="CdP_P">Propu!$B$4:$Y$4</definedName>
    <definedName name="CdP_t">Propu!$B$3:$Y$3</definedName>
    <definedName name="Club">Stabilito!$C$9</definedName>
    <definedName name="Cn">Stabilito!$H$28</definedName>
    <definedName name="Cn0">Stabilito!$I$28</definedName>
    <definedName name="Cnai" localSheetId="0">Stabilito!$O$19</definedName>
    <definedName name="Cnai0">Stabilito!$P$19</definedName>
    <definedName name="Cnail" localSheetId="0">Stabilito!$O$20</definedName>
    <definedName name="Cnc" localSheetId="0">Stabilito!$O$21</definedName>
    <definedName name="Cni" localSheetId="0">Stabilito!$O$22</definedName>
    <definedName name="Cni0">Stabilito!$P$22</definedName>
    <definedName name="Cnj" localSheetId="0">Stabilito!$O$23</definedName>
    <definedName name="Cno" localSheetId="0">Stabilito!$O$18</definedName>
    <definedName name="Cnr" localSheetId="0">Stabilito!$O$24</definedName>
    <definedName name="Combustion">Propu!$X$2</definedName>
    <definedName name="CritCnmax" localSheetId="0">Stabilito!$J$28</definedName>
    <definedName name="CritCnmin" localSheetId="0">Stabilito!$G$28</definedName>
    <definedName name="CritFinessemax" localSheetId="0">Stabilito!$J$27</definedName>
    <definedName name="CritFinessemin" localSheetId="0">Stabilito!$G$27</definedName>
    <definedName name="CritMsCnmax" localSheetId="0">Stabilito!$J$30</definedName>
    <definedName name="CritMsCnmin" localSheetId="0">Stabilito!$G$30</definedName>
    <definedName name="CritMsmax" localSheetId="0">Stabilito!$J$29</definedName>
    <definedName name="CritMsmin" localSheetId="0">Stabilito!$G$29</definedName>
    <definedName name="Cx">Trajecto!$C$15</definedName>
    <definedName name="Cx_para">Trajecto!$C$28</definedName>
    <definedName name="Cx_satellite">Trajecto!$D$28</definedName>
    <definedName name="D_ail">Stabilito!$C$34</definedName>
    <definedName name="D_can" localSheetId="0">Stabilito!$D$34</definedName>
    <definedName name="D_int" localSheetId="0">Stabilito!$E$34</definedName>
    <definedName name="D_og">Stabilito!$C$23</definedName>
    <definedName name="D_ref">Stabilito!$C$14</definedName>
    <definedName name="D_var">Abaco!$B$41:$B$67</definedName>
    <definedName name="D1j">Stabilito!$M$7</definedName>
    <definedName name="D1r">Stabilito!$O$7</definedName>
    <definedName name="D2j">Stabilito!$M$8</definedName>
    <definedName name="D2r">Stabilito!$O$8</definedName>
    <definedName name="Débit">Calculs!$R$4:$R$1004</definedName>
    <definedName name="Depotage">Propu!$Z$2</definedName>
    <definedName name="Diam_propu">Propu!$T$2</definedName>
    <definedName name="Dt_para">Trajecto!$C$31</definedName>
    <definedName name="Dt_satellite">Trajecto!$D$31</definedName>
    <definedName name="Dx_para">Trajecto!$C$33</definedName>
    <definedName name="Dx_sat">Trajecto!$D$33</definedName>
    <definedName name="E_ail">Stabilito!$C$30</definedName>
    <definedName name="E_can">Stabilito!$D$30</definedName>
    <definedName name="E_int" localSheetId="0">Stabilito!$E$30</definedName>
    <definedName name="ep_ail">Stabilito!$C$31</definedName>
    <definedName name="ep_can">Stabilito!$D$31</definedName>
    <definedName name="ep_int" localSheetId="0">Stabilito!$E$31</definedName>
    <definedName name="Event">Calculs!$Y$4:$Y$1004</definedName>
    <definedName name="Event_para">Calculs!$Z$4:$Z$1004</definedName>
    <definedName name="Event_sat">Calculs!$AA$4:$AA$1004</definedName>
    <definedName name="f_ail" localSheetId="0">Stabilito!$C$35</definedName>
    <definedName name="f_can" localSheetId="0">Stabilito!$D$35</definedName>
    <definedName name="f_int" localSheetId="0">Stabilito!$E$35</definedName>
    <definedName name="Finesse">Stabilito!$H$27</definedName>
    <definedName name="Forme_ogive">Stabilito!$C$21</definedName>
    <definedName name="g">Info!$E$51</definedName>
    <definedName name="i_P">Calculs!$P$4:$P$1004</definedName>
    <definedName name="I_total">Propu!$D$2</definedName>
    <definedName name="ISP">Propu!$F$2</definedName>
    <definedName name="l_j">Stabilito!$M$6</definedName>
    <definedName name="l_r">Stabilito!$O$6</definedName>
    <definedName name="L_rampe">Trajecto!$C$18</definedName>
    <definedName name="Lang">Stabilito!$M$2</definedName>
    <definedName name="Liste_µfu">Propu!$F$307:$F$336</definedName>
    <definedName name="Liste_fusex">Propu!$R$307:$R$336</definedName>
    <definedName name="Liste_H2O">Propu!$C$307:$D$336</definedName>
    <definedName name="Liste_minif">Propu!$L$307:$M$336</definedName>
    <definedName name="Liste_minifT">Propu!$O$307:$O$336</definedName>
    <definedName name="Liste_propu">Propu!$A$307:$A$317</definedName>
    <definedName name="Liste_RC">Propu!$I$307:$J$336</definedName>
    <definedName name="Long_ogive">Stabilito!$C$22</definedName>
    <definedName name="Long_propu">Propu!$R$2</definedName>
    <definedName name="Long_tot">Stabilito!$C$13</definedName>
    <definedName name="m">Calculs!$S$4:$S$1004</definedName>
    <definedName name="m_ail">Stabilito!$C$27</definedName>
    <definedName name="m_bal">Abaco!$F$41:$F$67</definedName>
    <definedName name="m_can">Stabilito!$D$27</definedName>
    <definedName name="m_int" localSheetId="0">Stabilito!$E$27</definedName>
    <definedName name="m_poudre">Propu!$J$2</definedName>
    <definedName name="m_prop">Abaco!$E$41:$E$67</definedName>
    <definedName name="m_satellite">Trajecto!$D$24</definedName>
    <definedName name="m_tot">Trajecto!$C$10</definedName>
    <definedName name="m_var">Abaco!$D$41:$D$67</definedName>
    <definedName name="m_vide">Trajecto!$C$24</definedName>
    <definedName name="Masse_ail">Controle!$H$63</definedName>
    <definedName name="MassePlein">Stabilito!$M$14</definedName>
    <definedName name="MasseSans">Stabilito!$P$14</definedName>
    <definedName name="MasseVide">Stabilito!$N$14</definedName>
    <definedName name="Menu_Empennage">Stabilito!$B$111:$B$112</definedName>
    <definedName name="Menu_Lang">Stabilito!$B$93:$B$94</definedName>
    <definedName name="Menu_Ogive">Stabilito!$B$107:$B$109</definedName>
    <definedName name="Menu_sat">Trajecto!$B$104:$B$105</definedName>
    <definedName name="Menu_Transitions">Stabilito!$B$114:$B$115</definedName>
    <definedName name="Menu_Type">Stabilito!$B$96:$B$100</definedName>
    <definedName name="Menu_with_motor">Stabilito!$B$103:$B$105</definedName>
    <definedName name="MpropuPlein">Propu!$H$2</definedName>
    <definedName name="MpropuVide">Propu!$L$2</definedName>
    <definedName name="MS_Cn_max">Stabilito!$I$30</definedName>
    <definedName name="MS_Cn_max0">Stabilito!#REF!</definedName>
    <definedName name="MS_Cn_min">Stabilito!$H$30</definedName>
    <definedName name="MS_Cn_min0">Stabilito!#REF!</definedName>
    <definedName name="MS_max">Stabilito!$I$29</definedName>
    <definedName name="MS_max0">Stabilito!#REF!</definedName>
    <definedName name="MS_min">Stabilito!$H$29</definedName>
    <definedName name="MS_min0">Stabilito!#REF!</definedName>
    <definedName name="n_ail">Stabilito!$C$28</definedName>
    <definedName name="n_can">Stabilito!$D$28</definedName>
    <definedName name="n_int" localSheetId="0">Stabilito!$E$28</definedName>
    <definedName name="Nb_diam">Stabilito!$M$4</definedName>
    <definedName name="Nb_sat">Trajecto!$D$23</definedName>
    <definedName name="Nom">Stabilito!$C$8</definedName>
    <definedName name="p_ail">Stabilito!$C$29</definedName>
    <definedName name="p_can">Stabilito!$D$29</definedName>
    <definedName name="p_int" localSheetId="0">Stabilito!$E$29</definedName>
    <definedName name="pas">Calculs!$A$4:$A$1004</definedName>
    <definedName name="Poids">Calculs!$T$4:$T$1004</definedName>
    <definedName name="Portee_balistique">Trajecto!$J$28</definedName>
    <definedName name="pos_x">Calculs!$J$4:$J$1004</definedName>
    <definedName name="pos_xz">Calculs!$L$4:$L$1004</definedName>
    <definedName name="pos_z">Calculs!$K$4:$K$1004</definedName>
    <definedName name="pos_z_montant">Calculs!$AE$4:$AE$1004</definedName>
    <definedName name="Poussee">Calculs!$Q$4:$Q$1004</definedName>
    <definedName name="Propu">Stabilito!$C$17</definedName>
    <definedName name="Q_ail">Stabilito!$C$32</definedName>
    <definedName name="Q_can">Stabilito!$D$32</definedName>
    <definedName name="Q_int" localSheetId="0">Stabilito!$E$32</definedName>
    <definedName name="Q_var">Abaco!$C$41:$C$67</definedName>
    <definedName name="R_rampe">Calculs!$U$4:$U$1004</definedName>
    <definedName name="Rho">Calculs!$V$4:$V$1004</definedName>
    <definedName name="Rho_moyen">Info!$E$52</definedName>
    <definedName name="S_ail">Controle!$H$64</definedName>
    <definedName name="S_para">Trajecto!$C$27</definedName>
    <definedName name="S_para_croix">Trajecto!$B$47</definedName>
    <definedName name="S_para_rond">Trajecto!$B$55</definedName>
    <definedName name="S_satellite">Trajecto!$D$27</definedName>
    <definedName name="Sref">Trajecto!$C$14</definedName>
    <definedName name="sS">Trajecto!$F$132</definedName>
    <definedName name="t">Calculs!$B$4:$B$1004</definedName>
    <definedName name="T_balistique">Trajecto!$H$28</definedName>
    <definedName name="T_ini">Trajecto!$H$40</definedName>
    <definedName name="T_para">Trajecto!$C$113</definedName>
    <definedName name="T_satellite">Trajecto!$D$26</definedName>
    <definedName name="Temps_culmi">Trajecto!$H$26</definedName>
    <definedName name="Temps_fin_propu">Propu!$X$3</definedName>
    <definedName name="Trainee">Calculs!$W$4:$W$1004</definedName>
    <definedName name="tT_fus">Trajecto!$F$133</definedName>
    <definedName name="tT_sat">Trajecto!$F$150</definedName>
    <definedName name="Type_fusee">Stabilito!$C$10</definedName>
    <definedName name="Type_masquage" localSheetId="5">Stabilito!$C$26</definedName>
    <definedName name="Type_masquage" localSheetId="0">Stabilito!$C$26</definedName>
    <definedName name="Type_propu">Propu!$V$2</definedName>
    <definedName name="V_ini">Trajecto!$K$40</definedName>
    <definedName name="V_ouv_sat">Trajecto!$K$25</definedName>
    <definedName name="V_ouverture">Trajecto!$K$27</definedName>
    <definedName name="V_para">Trajecto!$C$30</definedName>
    <definedName name="V_prop">Abaco!$K$41:$K$67</definedName>
    <definedName name="V_satellite">Trajecto!$D$30</definedName>
    <definedName name="V_vent">Trajecto!$C$29</definedName>
    <definedName name="V_vent_sat">Trajecto!$D$29</definedName>
    <definedName name="Version" localSheetId="0">Stabilito!$Q$36</definedName>
    <definedName name="Version" localSheetId="1">Trajecto!$N$35</definedName>
    <definedName name="Vit_culmi">Trajecto!$K$26</definedName>
    <definedName name="Vit_max">Trajecto!$K$24</definedName>
    <definedName name="vit_x">Calculs!$G$4:$G$1004</definedName>
    <definedName name="vit_xz">Calculs!$I$4:$I$1004</definedName>
    <definedName name="vit_z">Calculs!$H$4:$H$1004</definedName>
    <definedName name="Vsortie_de_rampe">Trajecto!$K$23</definedName>
    <definedName name="X_ail">Stabilito!$C$33</definedName>
    <definedName name="X_can">Stabilito!$D$33</definedName>
    <definedName name="X_culmi">Trajecto!$J$26</definedName>
    <definedName name="X_ini">Trajecto!$J$40</definedName>
    <definedName name="X_int" localSheetId="0">Stabilito!$E$33</definedName>
    <definedName name="X_j">Stabilito!$M$9</definedName>
    <definedName name="X_para">Trajecto!$J$27</definedName>
    <definedName name="X_r">Stabilito!$O$9</definedName>
    <definedName name="X_satellite">Trajecto!$J$25</definedName>
    <definedName name="XcgPlein">Stabilito!$M$15</definedName>
    <definedName name="XcgSans">Stabilito!$P$15</definedName>
    <definedName name="XcgVide">Stabilito!$N$15</definedName>
    <definedName name="XCp" localSheetId="0">Stabilito!$H$31</definedName>
    <definedName name="XCp0">Stabilito!$I$31</definedName>
    <definedName name="XCpa" localSheetId="0">Stabilito!$M$20</definedName>
    <definedName name="XCpai" localSheetId="0">Stabilito!$M$19</definedName>
    <definedName name="XCpai0">Stabilito!$N$19</definedName>
    <definedName name="XCpc" localSheetId="0">Stabilito!$M$21</definedName>
    <definedName name="XCpi" localSheetId="0">Stabilito!$M$22</definedName>
    <definedName name="XCpi0">Stabilito!$N$22</definedName>
    <definedName name="XCpj" localSheetId="0">Stabilito!$M$23</definedName>
    <definedName name="XCpo" localSheetId="0">Stabilito!$M$18</definedName>
    <definedName name="XCpr" localSheetId="0">Stabilito!$M$24</definedName>
    <definedName name="XpropuPlein">Propu!$N$2</definedName>
    <definedName name="XpropuRef">Stabilito!$C$18</definedName>
    <definedName name="XpropuVide">Propu!$P$2</definedName>
    <definedName name="Z_ini">Trajecto!$I$40</definedName>
    <definedName name="_xlnm.Print_Area" localSheetId="5">Abaco!$A$1:$M$35</definedName>
    <definedName name="_xlnm.Print_Area" localSheetId="2">Courbes!$A$1:$K$78</definedName>
    <definedName name="_xlnm.Print_Area" localSheetId="0">Stabilito!$A$1:$Q$37</definedName>
    <definedName name="_xlnm.Print_Area" localSheetId="1">Trajecto!$A$1:$N$35</definedName>
    <definedName name="zZ_fus">Trajecto!$F$134</definedName>
    <definedName name="zZ_sat">Trajecto!$F$151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6" l="1"/>
  <c r="O9" i="6" l="1"/>
  <c r="M7" i="6" l="1"/>
  <c r="J24" i="7" s="1"/>
  <c r="M8" i="6"/>
  <c r="J25" i="7" s="1"/>
  <c r="O7" i="6"/>
  <c r="C33" i="6"/>
  <c r="F27" i="7" s="1"/>
  <c r="M23" i="6"/>
  <c r="C172" i="6"/>
  <c r="I317" i="4"/>
  <c r="I316" i="4"/>
  <c r="I315" i="4"/>
  <c r="I314" i="4"/>
  <c r="I313" i="4"/>
  <c r="I312" i="4"/>
  <c r="I311" i="4"/>
  <c r="I310" i="4"/>
  <c r="I309" i="4"/>
  <c r="I308" i="4"/>
  <c r="I307" i="4"/>
  <c r="L311" i="4"/>
  <c r="D103" i="4"/>
  <c r="E103" i="4"/>
  <c r="F103" i="4"/>
  <c r="G103" i="4"/>
  <c r="F105" i="4" s="1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S98" i="4"/>
  <c r="T98" i="4"/>
  <c r="U98" i="4"/>
  <c r="V98" i="4"/>
  <c r="W98" i="4"/>
  <c r="X98" i="4"/>
  <c r="D98" i="4"/>
  <c r="E98" i="4"/>
  <c r="F98" i="4"/>
  <c r="G98" i="4"/>
  <c r="H98" i="4"/>
  <c r="I98" i="4"/>
  <c r="J98" i="4"/>
  <c r="K98" i="4"/>
  <c r="L98" i="4"/>
  <c r="K100" i="4" s="1"/>
  <c r="M98" i="4"/>
  <c r="N98" i="4"/>
  <c r="O98" i="4"/>
  <c r="O100" i="4" s="1"/>
  <c r="P98" i="4"/>
  <c r="Q98" i="4"/>
  <c r="R98" i="4"/>
  <c r="C103" i="4"/>
  <c r="C98" i="4"/>
  <c r="X104" i="4"/>
  <c r="W104" i="4"/>
  <c r="V104" i="4"/>
  <c r="U104" i="4"/>
  <c r="T105" i="4" s="1"/>
  <c r="T104" i="4"/>
  <c r="S104" i="4"/>
  <c r="R104" i="4"/>
  <c r="Q104" i="4"/>
  <c r="P105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B105" i="4" s="1"/>
  <c r="L102" i="4"/>
  <c r="J102" i="4" s="1"/>
  <c r="H102" i="4"/>
  <c r="B102" i="4"/>
  <c r="X99" i="4"/>
  <c r="W99" i="4"/>
  <c r="V100" i="4" s="1"/>
  <c r="V99" i="4"/>
  <c r="U99" i="4"/>
  <c r="T99" i="4"/>
  <c r="S99" i="4"/>
  <c r="R99" i="4"/>
  <c r="Q99" i="4"/>
  <c r="P99" i="4"/>
  <c r="O99" i="4"/>
  <c r="N99" i="4"/>
  <c r="M100" i="4"/>
  <c r="M99" i="4"/>
  <c r="L99" i="4"/>
  <c r="K99" i="4"/>
  <c r="J99" i="4"/>
  <c r="I99" i="4"/>
  <c r="H99" i="4"/>
  <c r="G99" i="4"/>
  <c r="G100" i="4" s="1"/>
  <c r="F99" i="4"/>
  <c r="E99" i="4"/>
  <c r="D99" i="4"/>
  <c r="C99" i="4"/>
  <c r="B99" i="4"/>
  <c r="L97" i="4"/>
  <c r="H97" i="4"/>
  <c r="B97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J92" i="4"/>
  <c r="B92" i="4"/>
  <c r="O334" i="4"/>
  <c r="O333" i="4"/>
  <c r="O332" i="4"/>
  <c r="O33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J198" i="4"/>
  <c r="B198" i="4"/>
  <c r="E5" i="7"/>
  <c r="H7" i="7"/>
  <c r="E7" i="7"/>
  <c r="E6" i="7"/>
  <c r="H9" i="7"/>
  <c r="K25" i="7"/>
  <c r="K24" i="7"/>
  <c r="J26" i="7"/>
  <c r="J23" i="7"/>
  <c r="G27" i="7"/>
  <c r="G26" i="7"/>
  <c r="F26" i="7"/>
  <c r="G25" i="7"/>
  <c r="F25" i="7"/>
  <c r="G24" i="7"/>
  <c r="F24" i="7"/>
  <c r="G23" i="7"/>
  <c r="F23" i="7"/>
  <c r="D27" i="7"/>
  <c r="D24" i="7"/>
  <c r="B31" i="6"/>
  <c r="B30" i="6"/>
  <c r="B29" i="6"/>
  <c r="B28" i="6"/>
  <c r="B27" i="6"/>
  <c r="B35" i="6"/>
  <c r="B34" i="6"/>
  <c r="B33" i="6"/>
  <c r="B32" i="6"/>
  <c r="U35" i="7"/>
  <c r="U34" i="7"/>
  <c r="U33" i="7"/>
  <c r="U32" i="7"/>
  <c r="U31" i="7"/>
  <c r="U30" i="7"/>
  <c r="P32" i="7"/>
  <c r="P31" i="7"/>
  <c r="Q34" i="7"/>
  <c r="P29" i="7"/>
  <c r="Q17" i="7"/>
  <c r="U16" i="7"/>
  <c r="Q12" i="7"/>
  <c r="U11" i="7"/>
  <c r="Q3" i="7"/>
  <c r="E17" i="7"/>
  <c r="E16" i="7"/>
  <c r="E15" i="7"/>
  <c r="E13" i="7"/>
  <c r="B52" i="1"/>
  <c r="B50" i="1"/>
  <c r="B55" i="1"/>
  <c r="D27" i="1"/>
  <c r="I69" i="7" s="1"/>
  <c r="D24" i="1"/>
  <c r="C18" i="1"/>
  <c r="H8" i="7" s="1"/>
  <c r="C161" i="6"/>
  <c r="C162" i="6"/>
  <c r="C160" i="6"/>
  <c r="C159" i="6"/>
  <c r="C158" i="6"/>
  <c r="C25" i="6"/>
  <c r="M21" i="6"/>
  <c r="H6" i="7"/>
  <c r="F108" i="1"/>
  <c r="C113" i="1" s="1"/>
  <c r="C152" i="1"/>
  <c r="C150" i="1"/>
  <c r="C148" i="1"/>
  <c r="N33" i="1"/>
  <c r="C19" i="6"/>
  <c r="C131" i="1"/>
  <c r="B25" i="1"/>
  <c r="L310" i="4"/>
  <c r="L309" i="4"/>
  <c r="J30" i="6"/>
  <c r="E190" i="6" s="1"/>
  <c r="G30" i="6"/>
  <c r="E184" i="6" s="1"/>
  <c r="J29" i="6"/>
  <c r="B188" i="6" s="1"/>
  <c r="G29" i="6"/>
  <c r="J28" i="6"/>
  <c r="C185" i="6" s="1"/>
  <c r="J27" i="6"/>
  <c r="G28" i="6"/>
  <c r="C183" i="6" s="1"/>
  <c r="G27" i="6"/>
  <c r="W35" i="6"/>
  <c r="B100" i="6"/>
  <c r="L308" i="4"/>
  <c r="L307" i="4"/>
  <c r="B97" i="6"/>
  <c r="B98" i="6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S235" i="4"/>
  <c r="S234" i="4"/>
  <c r="T234" i="4" s="1"/>
  <c r="U234" i="4" s="1"/>
  <c r="J233" i="4"/>
  <c r="B233" i="4"/>
  <c r="O311" i="4"/>
  <c r="O310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V130" i="4"/>
  <c r="U131" i="4" s="1"/>
  <c r="T131" i="4"/>
  <c r="J128" i="4"/>
  <c r="B128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T125" i="4"/>
  <c r="S126" i="4" s="1"/>
  <c r="J123" i="4"/>
  <c r="B123" i="4"/>
  <c r="O330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V250" i="4"/>
  <c r="W250" i="4" s="1"/>
  <c r="V249" i="4"/>
  <c r="W249" i="4" s="1"/>
  <c r="X249" i="4" s="1"/>
  <c r="J248" i="4"/>
  <c r="B248" i="4"/>
  <c r="O327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S230" i="4"/>
  <c r="T230" i="4" s="1"/>
  <c r="U230" i="4" s="1"/>
  <c r="S229" i="4"/>
  <c r="T229" i="4" s="1"/>
  <c r="U229" i="4" s="1"/>
  <c r="V229" i="4" s="1"/>
  <c r="W229" i="4" s="1"/>
  <c r="J228" i="4"/>
  <c r="B228" i="4"/>
  <c r="O33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S206" i="4"/>
  <c r="R206" i="4"/>
  <c r="J203" i="4"/>
  <c r="B203" i="4"/>
  <c r="O326" i="4"/>
  <c r="O325" i="4"/>
  <c r="O324" i="4"/>
  <c r="O323" i="4"/>
  <c r="O328" i="4"/>
  <c r="O329" i="4"/>
  <c r="O335" i="4"/>
  <c r="O313" i="4"/>
  <c r="O314" i="4"/>
  <c r="O315" i="4"/>
  <c r="O316" i="4"/>
  <c r="O317" i="4"/>
  <c r="O309" i="4"/>
  <c r="O312" i="4"/>
  <c r="O318" i="4"/>
  <c r="O319" i="4"/>
  <c r="O320" i="4"/>
  <c r="O321" i="4"/>
  <c r="O322" i="4"/>
  <c r="O308" i="4"/>
  <c r="O307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J223" i="4"/>
  <c r="B223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T220" i="4"/>
  <c r="U220" i="4" s="1"/>
  <c r="R221" i="4"/>
  <c r="T219" i="4"/>
  <c r="U219" i="4" s="1"/>
  <c r="V219" i="4" s="1"/>
  <c r="W219" i="4" s="1"/>
  <c r="J218" i="4"/>
  <c r="B218" i="4"/>
  <c r="V244" i="4"/>
  <c r="W244" i="4" s="1"/>
  <c r="W239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J243" i="4"/>
  <c r="B243" i="4"/>
  <c r="J241" i="4"/>
  <c r="I241" i="4"/>
  <c r="H241" i="4"/>
  <c r="G241" i="4"/>
  <c r="F241" i="4"/>
  <c r="E241" i="4"/>
  <c r="D241" i="4"/>
  <c r="C241" i="4"/>
  <c r="B241" i="4"/>
  <c r="J238" i="4"/>
  <c r="B238" i="4"/>
  <c r="L189" i="4"/>
  <c r="M189" i="4" s="1"/>
  <c r="R324" i="4"/>
  <c r="R325" i="4"/>
  <c r="R326" i="4"/>
  <c r="R327" i="4"/>
  <c r="R328" i="4"/>
  <c r="R329" i="4"/>
  <c r="S190" i="4"/>
  <c r="T190" i="4" s="1"/>
  <c r="U190" i="4" s="1"/>
  <c r="J191" i="4"/>
  <c r="I191" i="4"/>
  <c r="H191" i="4"/>
  <c r="G191" i="4"/>
  <c r="F191" i="4"/>
  <c r="E191" i="4"/>
  <c r="D191" i="4"/>
  <c r="C191" i="4"/>
  <c r="B191" i="4"/>
  <c r="J188" i="4"/>
  <c r="B188" i="4"/>
  <c r="S195" i="4"/>
  <c r="T195" i="4" s="1"/>
  <c r="S194" i="4"/>
  <c r="T194" i="4" s="1"/>
  <c r="U194" i="4" s="1"/>
  <c r="V194" i="4" s="1"/>
  <c r="W194" i="4" s="1"/>
  <c r="X194" i="4" s="1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J193" i="4"/>
  <c r="B193" i="4"/>
  <c r="B208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S210" i="4"/>
  <c r="T210" i="4" s="1"/>
  <c r="S209" i="4"/>
  <c r="J208" i="4"/>
  <c r="A2" i="4"/>
  <c r="B133" i="4"/>
  <c r="B4" i="3"/>
  <c r="AD4" i="3" s="1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J133" i="4"/>
  <c r="N4" i="3"/>
  <c r="M4" i="3" s="1"/>
  <c r="G4" i="3" s="1"/>
  <c r="J4" i="3"/>
  <c r="K4" i="3"/>
  <c r="V4" i="3" s="1"/>
  <c r="I4" i="3"/>
  <c r="B113" i="4"/>
  <c r="C35" i="6"/>
  <c r="M18" i="6"/>
  <c r="C184" i="6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U115" i="4"/>
  <c r="T116" i="4" s="1"/>
  <c r="J113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T160" i="4"/>
  <c r="S161" i="4" s="1"/>
  <c r="X159" i="4"/>
  <c r="L158" i="4"/>
  <c r="J158" i="4" s="1"/>
  <c r="B47" i="1"/>
  <c r="C27" i="1" s="1"/>
  <c r="D29" i="1"/>
  <c r="B29" i="4"/>
  <c r="C29" i="4"/>
  <c r="D29" i="4"/>
  <c r="E29" i="4"/>
  <c r="F29" i="4"/>
  <c r="G29" i="4"/>
  <c r="H29" i="4"/>
  <c r="D26" i="4" s="1"/>
  <c r="F26" i="4" s="1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J26" i="4"/>
  <c r="B34" i="4"/>
  <c r="C34" i="4"/>
  <c r="D34" i="4"/>
  <c r="E34" i="4"/>
  <c r="F34" i="4"/>
  <c r="G34" i="4"/>
  <c r="H34" i="4"/>
  <c r="D31" i="4" s="1"/>
  <c r="F31" i="4" s="1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J31" i="4"/>
  <c r="B39" i="4"/>
  <c r="C39" i="4"/>
  <c r="D39" i="4"/>
  <c r="E39" i="4"/>
  <c r="F39" i="4"/>
  <c r="G39" i="4"/>
  <c r="H39" i="4"/>
  <c r="D36" i="4" s="1"/>
  <c r="F36" i="4" s="1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J36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J41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J46" i="4"/>
  <c r="B54" i="4"/>
  <c r="C54" i="4"/>
  <c r="D54" i="4"/>
  <c r="E54" i="4"/>
  <c r="F54" i="4"/>
  <c r="G54" i="4"/>
  <c r="D51" i="4" s="1"/>
  <c r="F51" i="4" s="1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J5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J56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J61" i="4"/>
  <c r="B70" i="4"/>
  <c r="C70" i="4"/>
  <c r="D70" i="4"/>
  <c r="E70" i="4"/>
  <c r="F70" i="4"/>
  <c r="G70" i="4"/>
  <c r="H70" i="4"/>
  <c r="D67" i="4" s="1"/>
  <c r="F67" i="4" s="1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J67" i="4"/>
  <c r="B75" i="4"/>
  <c r="C75" i="4"/>
  <c r="D75" i="4"/>
  <c r="E75" i="4"/>
  <c r="F75" i="4"/>
  <c r="G75" i="4"/>
  <c r="H75" i="4"/>
  <c r="D72" i="4" s="1"/>
  <c r="F72" i="4" s="1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J72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J77" i="4"/>
  <c r="C84" i="4"/>
  <c r="B84" i="4"/>
  <c r="D84" i="4"/>
  <c r="C85" i="4" s="1"/>
  <c r="E84" i="4"/>
  <c r="F84" i="4"/>
  <c r="G84" i="4"/>
  <c r="H84" i="4"/>
  <c r="G85" i="4" s="1"/>
  <c r="I84" i="4"/>
  <c r="I85" i="4" s="1"/>
  <c r="J84" i="4"/>
  <c r="K84" i="4"/>
  <c r="L84" i="4"/>
  <c r="M84" i="4"/>
  <c r="N84" i="4"/>
  <c r="O84" i="4"/>
  <c r="P84" i="4"/>
  <c r="P85" i="4" s="1"/>
  <c r="Q84" i="4"/>
  <c r="Q85" i="4" s="1"/>
  <c r="R84" i="4"/>
  <c r="S84" i="4"/>
  <c r="T84" i="4"/>
  <c r="U84" i="4"/>
  <c r="V84" i="4"/>
  <c r="W84" i="4"/>
  <c r="V85" i="4" s="1"/>
  <c r="X84" i="4"/>
  <c r="X85" i="4" s="1"/>
  <c r="H82" i="4"/>
  <c r="J82" i="4" s="1"/>
  <c r="L82" i="4"/>
  <c r="C89" i="4"/>
  <c r="B89" i="4"/>
  <c r="D89" i="4"/>
  <c r="E89" i="4"/>
  <c r="F89" i="4"/>
  <c r="G89" i="4"/>
  <c r="G90" i="4" s="1"/>
  <c r="H89" i="4"/>
  <c r="I89" i="4"/>
  <c r="J89" i="4"/>
  <c r="K89" i="4"/>
  <c r="L89" i="4"/>
  <c r="M89" i="4"/>
  <c r="N89" i="4"/>
  <c r="O89" i="4"/>
  <c r="O90" i="4" s="1"/>
  <c r="P89" i="4"/>
  <c r="Q89" i="4"/>
  <c r="R89" i="4"/>
  <c r="S89" i="4"/>
  <c r="T89" i="4"/>
  <c r="U89" i="4"/>
  <c r="V89" i="4"/>
  <c r="W89" i="4"/>
  <c r="V90" i="4" s="1"/>
  <c r="X89" i="4"/>
  <c r="H87" i="4"/>
  <c r="J87" i="4" s="1"/>
  <c r="L87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T110" i="4"/>
  <c r="S111" i="4" s="1"/>
  <c r="J108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T120" i="4"/>
  <c r="S121" i="4" s="1"/>
  <c r="J118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J138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J143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J148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J153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J163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J168" i="4"/>
  <c r="B176" i="4"/>
  <c r="C176" i="4"/>
  <c r="D176" i="4"/>
  <c r="E176" i="4"/>
  <c r="F176" i="4"/>
  <c r="D173" i="4" s="1"/>
  <c r="F173" i="4" s="1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J173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J178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T185" i="4"/>
  <c r="U185" i="4" s="1"/>
  <c r="X184" i="4"/>
  <c r="L183" i="4"/>
  <c r="J183" i="4" s="1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J213" i="4"/>
  <c r="B256" i="4"/>
  <c r="D253" i="4" s="1"/>
  <c r="F253" i="4" s="1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J253" i="4"/>
  <c r="B261" i="4"/>
  <c r="C261" i="4"/>
  <c r="D258" i="4" s="1"/>
  <c r="F258" i="4" s="1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J258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J264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J269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J274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J279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J284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J289" i="4"/>
  <c r="B297" i="4"/>
  <c r="D294" i="4" s="1"/>
  <c r="F294" i="4" s="1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J294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J299" i="4"/>
  <c r="A306" i="4"/>
  <c r="B26" i="4"/>
  <c r="N26" i="4"/>
  <c r="B31" i="4"/>
  <c r="N31" i="4"/>
  <c r="B36" i="4"/>
  <c r="N36" i="4"/>
  <c r="B41" i="4"/>
  <c r="N41" i="4"/>
  <c r="B46" i="4"/>
  <c r="N46" i="4"/>
  <c r="B51" i="4"/>
  <c r="N51" i="4"/>
  <c r="B56" i="4"/>
  <c r="N56" i="4"/>
  <c r="B61" i="4"/>
  <c r="N61" i="4"/>
  <c r="B67" i="4"/>
  <c r="B72" i="4"/>
  <c r="B77" i="4"/>
  <c r="B82" i="4"/>
  <c r="B87" i="4"/>
  <c r="B108" i="4"/>
  <c r="B118" i="4"/>
  <c r="B138" i="4"/>
  <c r="B143" i="4"/>
  <c r="B148" i="4"/>
  <c r="B153" i="4"/>
  <c r="B158" i="4"/>
  <c r="B163" i="4"/>
  <c r="B168" i="4"/>
  <c r="B173" i="4"/>
  <c r="B178" i="4"/>
  <c r="B183" i="4"/>
  <c r="B213" i="4"/>
  <c r="B253" i="4"/>
  <c r="B258" i="4"/>
  <c r="B264" i="4"/>
  <c r="B269" i="4"/>
  <c r="B274" i="4"/>
  <c r="B279" i="4"/>
  <c r="B284" i="4"/>
  <c r="B289" i="4"/>
  <c r="B294" i="4"/>
  <c r="B299" i="4"/>
  <c r="E116" i="7"/>
  <c r="F94" i="7"/>
  <c r="F85" i="7"/>
  <c r="H118" i="7"/>
  <c r="H111" i="7"/>
  <c r="E102" i="7"/>
  <c r="E103" i="7"/>
  <c r="E104" i="7"/>
  <c r="E100" i="7"/>
  <c r="H105" i="7"/>
  <c r="J105" i="7"/>
  <c r="J101" i="7"/>
  <c r="J97" i="7"/>
  <c r="F97" i="7"/>
  <c r="J88" i="7"/>
  <c r="J84" i="7"/>
  <c r="F90" i="7"/>
  <c r="F82" i="7"/>
  <c r="D85" i="7"/>
  <c r="D83" i="7"/>
  <c r="D81" i="7"/>
  <c r="D80" i="7"/>
  <c r="B19" i="6"/>
  <c r="F311" i="4"/>
  <c r="F310" i="4"/>
  <c r="C21" i="5"/>
  <c r="C20" i="5"/>
  <c r="C26" i="5"/>
  <c r="C22" i="5"/>
  <c r="C17" i="5"/>
  <c r="C19" i="5"/>
  <c r="C16" i="5"/>
  <c r="C15" i="5"/>
  <c r="L2" i="6"/>
  <c r="C307" i="4"/>
  <c r="F307" i="4"/>
  <c r="R307" i="4"/>
  <c r="C308" i="4"/>
  <c r="F308" i="4"/>
  <c r="R308" i="4"/>
  <c r="C309" i="4"/>
  <c r="F309" i="4"/>
  <c r="C310" i="4"/>
  <c r="C311" i="4"/>
  <c r="C312" i="4"/>
  <c r="C313" i="4"/>
  <c r="C314" i="4"/>
  <c r="B146" i="2"/>
  <c r="B35" i="1"/>
  <c r="B36" i="6"/>
  <c r="B15" i="8"/>
  <c r="B76" i="2"/>
  <c r="B11" i="8"/>
  <c r="B107" i="1"/>
  <c r="F42" i="5"/>
  <c r="B71" i="8"/>
  <c r="B78" i="8"/>
  <c r="B79" i="8" s="1"/>
  <c r="C5" i="8"/>
  <c r="B76" i="8"/>
  <c r="B77" i="8" s="1"/>
  <c r="B74" i="8"/>
  <c r="B73" i="8"/>
  <c r="B10" i="8"/>
  <c r="C4" i="8"/>
  <c r="C16" i="8"/>
  <c r="C14" i="8"/>
  <c r="C12" i="8"/>
  <c r="B12" i="8"/>
  <c r="C9" i="8"/>
  <c r="C8" i="8"/>
  <c r="B8" i="8"/>
  <c r="C7" i="8"/>
  <c r="N36" i="6"/>
  <c r="C50" i="5"/>
  <c r="C52" i="5"/>
  <c r="T18" i="6"/>
  <c r="S17" i="6"/>
  <c r="S19" i="6"/>
  <c r="S18" i="6"/>
  <c r="S13" i="6"/>
  <c r="S14" i="6"/>
  <c r="S12" i="6"/>
  <c r="T16" i="6"/>
  <c r="T11" i="6"/>
  <c r="L38" i="6"/>
  <c r="B93" i="1"/>
  <c r="B79" i="2"/>
  <c r="H64" i="7"/>
  <c r="H63" i="7" s="1"/>
  <c r="E59" i="7"/>
  <c r="E55" i="7"/>
  <c r="H52" i="7"/>
  <c r="E45" i="7"/>
  <c r="D45" i="7"/>
  <c r="E44" i="7"/>
  <c r="D44" i="7"/>
  <c r="E46" i="7"/>
  <c r="D46" i="7"/>
  <c r="E43" i="7"/>
  <c r="D43" i="7"/>
  <c r="E41" i="7"/>
  <c r="E50" i="7"/>
  <c r="E48" i="7"/>
  <c r="E47" i="7"/>
  <c r="H50" i="7"/>
  <c r="E51" i="7"/>
  <c r="C31" i="7"/>
  <c r="C5" i="5"/>
  <c r="C6" i="5"/>
  <c r="C7" i="5"/>
  <c r="C8" i="5"/>
  <c r="C10" i="5"/>
  <c r="C11" i="5"/>
  <c r="C12" i="5"/>
  <c r="C13" i="5"/>
  <c r="C23" i="5"/>
  <c r="C25" i="5"/>
  <c r="C28" i="5"/>
  <c r="C33" i="5"/>
  <c r="F34" i="5"/>
  <c r="F35" i="5"/>
  <c r="F36" i="5"/>
  <c r="F37" i="5"/>
  <c r="F38" i="5"/>
  <c r="F39" i="5"/>
  <c r="F40" i="5"/>
  <c r="C51" i="5"/>
  <c r="A1" i="4"/>
  <c r="A3" i="4"/>
  <c r="A4" i="4"/>
  <c r="B77" i="2"/>
  <c r="B78" i="2"/>
  <c r="B131" i="2"/>
  <c r="B133" i="2"/>
  <c r="B134" i="2"/>
  <c r="B135" i="2"/>
  <c r="B137" i="2"/>
  <c r="B138" i="2"/>
  <c r="B140" i="2"/>
  <c r="B141" i="2"/>
  <c r="B144" i="2"/>
  <c r="C4" i="1"/>
  <c r="C6" i="1"/>
  <c r="C7" i="1"/>
  <c r="C23" i="1" s="1"/>
  <c r="B8" i="1"/>
  <c r="C8" i="1"/>
  <c r="C9" i="1"/>
  <c r="B10" i="1"/>
  <c r="B11" i="1"/>
  <c r="C11" i="1"/>
  <c r="C13" i="1"/>
  <c r="C17" i="1"/>
  <c r="B18" i="1"/>
  <c r="B19" i="1"/>
  <c r="C22" i="1"/>
  <c r="G22" i="1"/>
  <c r="H22" i="1"/>
  <c r="J22" i="1"/>
  <c r="K22" i="1"/>
  <c r="F23" i="1"/>
  <c r="B24" i="1"/>
  <c r="F24" i="1"/>
  <c r="B26" i="1"/>
  <c r="F25" i="1"/>
  <c r="H25" i="1"/>
  <c r="F27" i="1"/>
  <c r="B29" i="1"/>
  <c r="F28" i="1"/>
  <c r="B30" i="1"/>
  <c r="B31" i="1"/>
  <c r="H31" i="1"/>
  <c r="B32" i="1"/>
  <c r="F32" i="1"/>
  <c r="B33" i="1"/>
  <c r="F33" i="1"/>
  <c r="F34" i="1"/>
  <c r="A38" i="1"/>
  <c r="F38" i="1"/>
  <c r="H38" i="1"/>
  <c r="J38" i="1"/>
  <c r="K38" i="1"/>
  <c r="F40" i="1"/>
  <c r="M40" i="1"/>
  <c r="F41" i="1"/>
  <c r="B42" i="1"/>
  <c r="F42" i="1"/>
  <c r="F43" i="1"/>
  <c r="B44" i="1"/>
  <c r="F45" i="1"/>
  <c r="F46" i="1"/>
  <c r="F47" i="1"/>
  <c r="L47" i="1"/>
  <c r="F48" i="1"/>
  <c r="H48" i="1"/>
  <c r="F49" i="1"/>
  <c r="I49" i="1"/>
  <c r="L49" i="1"/>
  <c r="M49" i="1"/>
  <c r="B102" i="1"/>
  <c r="B109" i="1"/>
  <c r="B110" i="1"/>
  <c r="B111" i="1"/>
  <c r="B112" i="1"/>
  <c r="B113" i="1"/>
  <c r="B117" i="1"/>
  <c r="C140" i="1"/>
  <c r="C142" i="1"/>
  <c r="C144" i="1"/>
  <c r="B148" i="1"/>
  <c r="B149" i="1" s="1"/>
  <c r="C4" i="6"/>
  <c r="C6" i="6"/>
  <c r="L6" i="6"/>
  <c r="C7" i="6"/>
  <c r="L7" i="6"/>
  <c r="B8" i="6"/>
  <c r="L8" i="6"/>
  <c r="L9" i="6"/>
  <c r="B11" i="6"/>
  <c r="M11" i="6"/>
  <c r="N11" i="6"/>
  <c r="P11" i="6"/>
  <c r="B12" i="6"/>
  <c r="L12" i="6"/>
  <c r="B13" i="6"/>
  <c r="L13" i="6"/>
  <c r="B14" i="6"/>
  <c r="L14" i="6"/>
  <c r="L15" i="6"/>
  <c r="C16" i="6"/>
  <c r="B18" i="6"/>
  <c r="L18" i="6"/>
  <c r="L19" i="6"/>
  <c r="C20" i="6"/>
  <c r="L20" i="6"/>
  <c r="B21" i="6"/>
  <c r="L21" i="6"/>
  <c r="B22" i="6"/>
  <c r="L22" i="6"/>
  <c r="B23" i="6"/>
  <c r="D25" i="6"/>
  <c r="F26" i="6"/>
  <c r="H26" i="6"/>
  <c r="E27" i="6"/>
  <c r="F28" i="6"/>
  <c r="F29" i="6"/>
  <c r="F30" i="6"/>
  <c r="E31" i="6"/>
  <c r="E32" i="6"/>
  <c r="D35" i="6"/>
  <c r="B91" i="6"/>
  <c r="B96" i="6"/>
  <c r="B103" i="6"/>
  <c r="B104" i="6"/>
  <c r="B105" i="6"/>
  <c r="B107" i="6"/>
  <c r="B108" i="6"/>
  <c r="B109" i="6"/>
  <c r="B114" i="6"/>
  <c r="B115" i="6"/>
  <c r="B117" i="6"/>
  <c r="B118" i="6"/>
  <c r="B119" i="6"/>
  <c r="B121" i="6"/>
  <c r="C124" i="6"/>
  <c r="E124" i="6"/>
  <c r="C125" i="6"/>
  <c r="C126" i="6" s="1"/>
  <c r="C127" i="6" s="1"/>
  <c r="D125" i="6"/>
  <c r="E125" i="6" s="1"/>
  <c r="C130" i="6"/>
  <c r="C131" i="6"/>
  <c r="E131" i="6"/>
  <c r="B137" i="6"/>
  <c r="B140" i="6"/>
  <c r="B143" i="6"/>
  <c r="B146" i="6"/>
  <c r="B155" i="6"/>
  <c r="E175" i="6"/>
  <c r="C176" i="6"/>
  <c r="F176" i="6"/>
  <c r="G176" i="6"/>
  <c r="H176" i="6"/>
  <c r="C177" i="6"/>
  <c r="F177" i="6"/>
  <c r="G177" i="6"/>
  <c r="H177" i="6"/>
  <c r="C178" i="6"/>
  <c r="F178" i="6"/>
  <c r="G178" i="6"/>
  <c r="H178" i="6"/>
  <c r="C179" i="6"/>
  <c r="F179" i="6"/>
  <c r="G179" i="6"/>
  <c r="H179" i="6"/>
  <c r="C180" i="6"/>
  <c r="D180" i="6"/>
  <c r="E180" i="6" s="1"/>
  <c r="F180" i="6"/>
  <c r="G180" i="6"/>
  <c r="H180" i="6"/>
  <c r="U120" i="4"/>
  <c r="V120" i="4" s="1"/>
  <c r="W120" i="4" s="1"/>
  <c r="X120" i="4" s="1"/>
  <c r="U110" i="4"/>
  <c r="V110" i="4" s="1"/>
  <c r="U85" i="4"/>
  <c r="S85" i="4"/>
  <c r="M85" i="4"/>
  <c r="K85" i="4"/>
  <c r="R211" i="4"/>
  <c r="D223" i="4"/>
  <c r="F223" i="4" s="1"/>
  <c r="V115" i="4"/>
  <c r="U116" i="4" s="1"/>
  <c r="U90" i="4"/>
  <c r="S90" i="4"/>
  <c r="M90" i="4"/>
  <c r="K90" i="4"/>
  <c r="E90" i="4"/>
  <c r="T209" i="4"/>
  <c r="U209" i="4" s="1"/>
  <c r="V209" i="4"/>
  <c r="W209" i="4"/>
  <c r="D213" i="4"/>
  <c r="F213" i="4" s="1"/>
  <c r="E85" i="4"/>
  <c r="N85" i="4"/>
  <c r="J85" i="4"/>
  <c r="F85" i="4"/>
  <c r="B85" i="4"/>
  <c r="X90" i="4"/>
  <c r="T90" i="4"/>
  <c r="R90" i="4"/>
  <c r="P90" i="4"/>
  <c r="L90" i="4"/>
  <c r="J90" i="4"/>
  <c r="D77" i="4"/>
  <c r="F77" i="4" s="1"/>
  <c r="D56" i="4"/>
  <c r="F56" i="4" s="1"/>
  <c r="D46" i="4"/>
  <c r="F46" i="4" s="1"/>
  <c r="D41" i="4"/>
  <c r="F41" i="4" s="1"/>
  <c r="U160" i="4"/>
  <c r="T161" i="4" s="1"/>
  <c r="R196" i="4"/>
  <c r="K191" i="4"/>
  <c r="T206" i="4"/>
  <c r="B189" i="6"/>
  <c r="S221" i="4"/>
  <c r="N189" i="4"/>
  <c r="O189" i="4" s="1"/>
  <c r="L191" i="4"/>
  <c r="S246" i="4"/>
  <c r="L241" i="4"/>
  <c r="K241" i="4"/>
  <c r="R246" i="4"/>
  <c r="W115" i="4"/>
  <c r="V116" i="4" s="1"/>
  <c r="U206" i="4"/>
  <c r="M241" i="4"/>
  <c r="V245" i="4"/>
  <c r="W245" i="4" s="1"/>
  <c r="T246" i="4"/>
  <c r="V206" i="4"/>
  <c r="N241" i="4"/>
  <c r="X240" i="4"/>
  <c r="W206" i="4"/>
  <c r="X206" i="4"/>
  <c r="O241" i="4"/>
  <c r="P241" i="4"/>
  <c r="Q241" i="4"/>
  <c r="R241" i="4"/>
  <c r="S241" i="4"/>
  <c r="T241" i="4"/>
  <c r="U241" i="4"/>
  <c r="X239" i="4"/>
  <c r="V241" i="4"/>
  <c r="C197" i="6"/>
  <c r="W130" i="4"/>
  <c r="U125" i="4"/>
  <c r="V125" i="4" s="1"/>
  <c r="W125" i="4" s="1"/>
  <c r="V126" i="4" s="1"/>
  <c r="V131" i="4"/>
  <c r="X130" i="4"/>
  <c r="X131" i="4" s="1"/>
  <c r="C198" i="6"/>
  <c r="B75" i="8"/>
  <c r="P14" i="6"/>
  <c r="H41" i="7" s="1"/>
  <c r="P15" i="6"/>
  <c r="E108" i="7" s="1"/>
  <c r="E29" i="1"/>
  <c r="I71" i="7"/>
  <c r="B2" i="4"/>
  <c r="S186" i="4"/>
  <c r="B186" i="6"/>
  <c r="L4" i="3"/>
  <c r="B202" i="6"/>
  <c r="S201" i="4"/>
  <c r="R201" i="4"/>
  <c r="W110" i="4"/>
  <c r="U111" i="4"/>
  <c r="V220" i="4"/>
  <c r="W220" i="4" s="1"/>
  <c r="T221" i="4"/>
  <c r="V234" i="4"/>
  <c r="W234" i="4" s="1"/>
  <c r="X234" i="4" s="1"/>
  <c r="V185" i="4"/>
  <c r="W185" i="4" s="1"/>
  <c r="X185" i="4" s="1"/>
  <c r="W186" i="4" s="1"/>
  <c r="T186" i="4"/>
  <c r="V190" i="4"/>
  <c r="S231" i="4"/>
  <c r="N191" i="4"/>
  <c r="P189" i="4"/>
  <c r="Q189" i="4" s="1"/>
  <c r="U210" i="4"/>
  <c r="T211" i="4" s="1"/>
  <c r="S211" i="4"/>
  <c r="M191" i="4"/>
  <c r="T111" i="4"/>
  <c r="T201" i="4"/>
  <c r="V210" i="4"/>
  <c r="U211" i="4" s="1"/>
  <c r="U221" i="4"/>
  <c r="X125" i="4"/>
  <c r="W126" i="4" s="1"/>
  <c r="T231" i="4"/>
  <c r="V230" i="4"/>
  <c r="U201" i="4"/>
  <c r="X200" i="4"/>
  <c r="X201" i="4" s="1"/>
  <c r="V201" i="4"/>
  <c r="W201" i="4"/>
  <c r="X100" i="4"/>
  <c r="L105" i="4"/>
  <c r="C105" i="4"/>
  <c r="G105" i="4"/>
  <c r="K105" i="4"/>
  <c r="O105" i="4"/>
  <c r="S100" i="4"/>
  <c r="U100" i="4"/>
  <c r="D92" i="4"/>
  <c r="F92" i="4"/>
  <c r="H100" i="4"/>
  <c r="Q100" i="4"/>
  <c r="Q105" i="4"/>
  <c r="B143" i="1"/>
  <c r="B142" i="1"/>
  <c r="B146" i="1"/>
  <c r="B144" i="1"/>
  <c r="B141" i="1"/>
  <c r="B145" i="1"/>
  <c r="B140" i="1"/>
  <c r="C146" i="1"/>
  <c r="C147" i="1" s="1"/>
  <c r="C141" i="1"/>
  <c r="C143" i="1"/>
  <c r="C139" i="1"/>
  <c r="C138" i="1"/>
  <c r="B154" i="1"/>
  <c r="B150" i="1"/>
  <c r="B152" i="1"/>
  <c r="C149" i="1"/>
  <c r="B153" i="1"/>
  <c r="C151" i="1"/>
  <c r="B151" i="1"/>
  <c r="G4" i="4"/>
  <c r="L2" i="4"/>
  <c r="N2" i="4"/>
  <c r="W3" i="4"/>
  <c r="L4" i="4"/>
  <c r="X3" i="4"/>
  <c r="H4" i="4"/>
  <c r="P3" i="4"/>
  <c r="B4" i="4"/>
  <c r="F4" i="4"/>
  <c r="F3" i="4"/>
  <c r="G3" i="4"/>
  <c r="E4" i="4"/>
  <c r="T2" i="4"/>
  <c r="O4" i="4"/>
  <c r="D3" i="4"/>
  <c r="N3" i="4"/>
  <c r="V2" i="4"/>
  <c r="P4" i="4"/>
  <c r="Q3" i="4"/>
  <c r="V3" i="4"/>
  <c r="C3" i="4"/>
  <c r="O3" i="4"/>
  <c r="C4" i="4"/>
  <c r="E3" i="4"/>
  <c r="I3" i="4"/>
  <c r="U3" i="4"/>
  <c r="Y4" i="4"/>
  <c r="K4" i="4"/>
  <c r="N4" i="4"/>
  <c r="S4" i="4"/>
  <c r="P2" i="4"/>
  <c r="S3" i="4"/>
  <c r="X4" i="4"/>
  <c r="W4" i="4"/>
  <c r="T3" i="4"/>
  <c r="Q4" i="4"/>
  <c r="U4" i="4"/>
  <c r="R3" i="4"/>
  <c r="X2" i="4"/>
  <c r="M4" i="4"/>
  <c r="Y3" i="4"/>
  <c r="B3" i="4"/>
  <c r="H3" i="4"/>
  <c r="J2" i="4"/>
  <c r="J4" i="4"/>
  <c r="B197" i="6" l="1"/>
  <c r="H4" i="3"/>
  <c r="B108" i="1"/>
  <c r="H17" i="7"/>
  <c r="B131" i="1"/>
  <c r="B106" i="1"/>
  <c r="H27" i="1"/>
  <c r="AE4" i="3"/>
  <c r="U195" i="4"/>
  <c r="T196" i="4" s="1"/>
  <c r="S196" i="4"/>
  <c r="X250" i="4"/>
  <c r="W251" i="4" s="1"/>
  <c r="V251" i="4"/>
  <c r="D128" i="4"/>
  <c r="D299" i="4"/>
  <c r="F299" i="4" s="1"/>
  <c r="D274" i="4"/>
  <c r="F274" i="4" s="1"/>
  <c r="E100" i="4"/>
  <c r="R100" i="4"/>
  <c r="H105" i="4"/>
  <c r="D102" i="4" s="1"/>
  <c r="F102" i="4" s="1"/>
  <c r="V105" i="4"/>
  <c r="D289" i="4"/>
  <c r="F289" i="4" s="1"/>
  <c r="D284" i="4"/>
  <c r="F284" i="4" s="1"/>
  <c r="D279" i="4"/>
  <c r="F279" i="4" s="1"/>
  <c r="D269" i="4"/>
  <c r="F269" i="4" s="1"/>
  <c r="D264" i="4"/>
  <c r="F264" i="4" s="1"/>
  <c r="D163" i="4"/>
  <c r="F163" i="4" s="1"/>
  <c r="D138" i="4"/>
  <c r="F138" i="4" s="1"/>
  <c r="O191" i="4"/>
  <c r="H85" i="4"/>
  <c r="O85" i="4"/>
  <c r="R231" i="4"/>
  <c r="J97" i="4"/>
  <c r="T100" i="4"/>
  <c r="I105" i="4"/>
  <c r="W105" i="4"/>
  <c r="X105" i="4"/>
  <c r="X115" i="4"/>
  <c r="I100" i="4"/>
  <c r="N100" i="4"/>
  <c r="D105" i="4"/>
  <c r="J105" i="4"/>
  <c r="R105" i="4"/>
  <c r="W210" i="4"/>
  <c r="V211" i="4" s="1"/>
  <c r="D61" i="4"/>
  <c r="F61" i="4" s="1"/>
  <c r="W131" i="4"/>
  <c r="D198" i="4"/>
  <c r="F198" i="4" s="1"/>
  <c r="W85" i="4"/>
  <c r="D148" i="4"/>
  <c r="F148" i="4" s="1"/>
  <c r="B90" i="4"/>
  <c r="R85" i="4"/>
  <c r="D133" i="4"/>
  <c r="F133" i="4" s="1"/>
  <c r="C100" i="4"/>
  <c r="J100" i="4"/>
  <c r="P100" i="4"/>
  <c r="E105" i="4"/>
  <c r="M105" i="4"/>
  <c r="S105" i="4"/>
  <c r="X241" i="4"/>
  <c r="D203" i="4"/>
  <c r="F203" i="4" s="1"/>
  <c r="H90" i="4"/>
  <c r="U251" i="4"/>
  <c r="D248" i="4" s="1"/>
  <c r="A307" i="4" a="1"/>
  <c r="A329" i="4" s="1"/>
  <c r="U121" i="4"/>
  <c r="V186" i="4"/>
  <c r="U186" i="4"/>
  <c r="V160" i="4"/>
  <c r="T121" i="4"/>
  <c r="D100" i="4"/>
  <c r="L100" i="4"/>
  <c r="N105" i="4"/>
  <c r="U105" i="4"/>
  <c r="C196" i="6"/>
  <c r="E183" i="6"/>
  <c r="E192" i="6"/>
  <c r="C182" i="6"/>
  <c r="E193" i="6"/>
  <c r="B201" i="6"/>
  <c r="C201" i="6" s="1"/>
  <c r="E188" i="6"/>
  <c r="E191" i="6"/>
  <c r="C195" i="6"/>
  <c r="E189" i="6"/>
  <c r="D30" i="1"/>
  <c r="E24" i="1"/>
  <c r="H67" i="7"/>
  <c r="B157" i="1"/>
  <c r="E8" i="7"/>
  <c r="H69" i="7"/>
  <c r="E127" i="7"/>
  <c r="D25" i="7"/>
  <c r="C173" i="6"/>
  <c r="T14" i="6"/>
  <c r="O24" i="6"/>
  <c r="O23" i="6"/>
  <c r="D179" i="6"/>
  <c r="E179" i="6" s="1"/>
  <c r="T17" i="6"/>
  <c r="C144" i="6"/>
  <c r="C147" i="6"/>
  <c r="C143" i="6"/>
  <c r="C141" i="6"/>
  <c r="E33" i="6"/>
  <c r="C138" i="6"/>
  <c r="C132" i="6"/>
  <c r="C133" i="6"/>
  <c r="C136" i="6"/>
  <c r="C137" i="6"/>
  <c r="C134" i="6"/>
  <c r="C145" i="6"/>
  <c r="C139" i="6"/>
  <c r="C135" i="6"/>
  <c r="T19" i="6"/>
  <c r="C148" i="6"/>
  <c r="M20" i="6"/>
  <c r="C142" i="6"/>
  <c r="C146" i="6"/>
  <c r="C140" i="6"/>
  <c r="E42" i="7"/>
  <c r="J90" i="7"/>
  <c r="F118" i="7" s="1"/>
  <c r="D177" i="6"/>
  <c r="E177" i="6" s="1"/>
  <c r="D178" i="6"/>
  <c r="E178" i="6" s="1"/>
  <c r="D176" i="6"/>
  <c r="E176" i="6" s="1"/>
  <c r="B67" i="8"/>
  <c r="C67" i="8" s="1"/>
  <c r="B56" i="8"/>
  <c r="C56" i="8" s="1"/>
  <c r="B58" i="8"/>
  <c r="C58" i="8" s="1"/>
  <c r="B60" i="8"/>
  <c r="C60" i="8" s="1"/>
  <c r="O21" i="6"/>
  <c r="B66" i="8"/>
  <c r="C66" i="8" s="1"/>
  <c r="B63" i="8"/>
  <c r="C63" i="8" s="1"/>
  <c r="B59" i="8"/>
  <c r="C59" i="8" s="1"/>
  <c r="B65" i="8"/>
  <c r="C65" i="8" s="1"/>
  <c r="B64" i="8"/>
  <c r="C64" i="8" s="1"/>
  <c r="C15" i="8"/>
  <c r="B57" i="8"/>
  <c r="C57" i="8" s="1"/>
  <c r="C14" i="1"/>
  <c r="B61" i="8"/>
  <c r="C61" i="8" s="1"/>
  <c r="O18" i="6"/>
  <c r="B52" i="8"/>
  <c r="C52" i="8" s="1"/>
  <c r="D26" i="7"/>
  <c r="E40" i="7"/>
  <c r="B54" i="8"/>
  <c r="C54" i="8" s="1"/>
  <c r="B62" i="8"/>
  <c r="C62" i="8" s="1"/>
  <c r="B55" i="8"/>
  <c r="C55" i="8" s="1"/>
  <c r="B51" i="8"/>
  <c r="C51" i="8" s="1"/>
  <c r="B53" i="8"/>
  <c r="C53" i="8" s="1"/>
  <c r="H27" i="6"/>
  <c r="H12" i="7" s="1"/>
  <c r="B50" i="8"/>
  <c r="C50" i="8" s="1"/>
  <c r="D126" i="6"/>
  <c r="E107" i="7"/>
  <c r="E11" i="7"/>
  <c r="E182" i="6"/>
  <c r="E186" i="6"/>
  <c r="B196" i="6"/>
  <c r="E185" i="6"/>
  <c r="E14" i="7"/>
  <c r="B199" i="6"/>
  <c r="B200" i="6"/>
  <c r="C200" i="6" s="1"/>
  <c r="C210" i="6"/>
  <c r="C207" i="6"/>
  <c r="C208" i="6"/>
  <c r="C205" i="6"/>
  <c r="C209" i="6"/>
  <c r="C206" i="6"/>
  <c r="B48" i="8"/>
  <c r="C48" i="8" s="1"/>
  <c r="B46" i="8"/>
  <c r="C46" i="8" s="1"/>
  <c r="B49" i="8"/>
  <c r="C49" i="8" s="1"/>
  <c r="D174" i="6"/>
  <c r="B45" i="8"/>
  <c r="C45" i="8" s="1"/>
  <c r="B42" i="8"/>
  <c r="C42" i="8" s="1"/>
  <c r="B41" i="8"/>
  <c r="C41" i="8" s="1"/>
  <c r="B43" i="8"/>
  <c r="C43" i="8" s="1"/>
  <c r="D172" i="6"/>
  <c r="B44" i="8"/>
  <c r="C44" i="8" s="1"/>
  <c r="B47" i="8"/>
  <c r="C47" i="8" s="1"/>
  <c r="D170" i="6"/>
  <c r="D171" i="6"/>
  <c r="D173" i="6"/>
  <c r="N13" i="6"/>
  <c r="A5" i="3"/>
  <c r="B5" i="3" s="1"/>
  <c r="M13" i="6"/>
  <c r="N14" i="6"/>
  <c r="N12" i="6"/>
  <c r="R189" i="4"/>
  <c r="P191" i="4"/>
  <c r="X186" i="4"/>
  <c r="D183" i="4" s="1"/>
  <c r="F183" i="4" s="1"/>
  <c r="W190" i="4"/>
  <c r="V246" i="4"/>
  <c r="X245" i="4"/>
  <c r="W230" i="4"/>
  <c r="U231" i="4"/>
  <c r="X220" i="4"/>
  <c r="V221" i="4"/>
  <c r="X126" i="4"/>
  <c r="X110" i="4"/>
  <c r="V111" i="4"/>
  <c r="U126" i="4"/>
  <c r="V121" i="4"/>
  <c r="X210" i="4"/>
  <c r="W121" i="4"/>
  <c r="X121" i="4"/>
  <c r="V195" i="4"/>
  <c r="H5" i="7"/>
  <c r="T126" i="4"/>
  <c r="W241" i="4"/>
  <c r="D238" i="4" s="1"/>
  <c r="F238" i="4" s="1"/>
  <c r="N90" i="4"/>
  <c r="AC4" i="3"/>
  <c r="U246" i="4"/>
  <c r="W90" i="4"/>
  <c r="X251" i="4"/>
  <c r="T235" i="4"/>
  <c r="R236" i="4"/>
  <c r="C10" i="8"/>
  <c r="F90" i="4"/>
  <c r="C90" i="4"/>
  <c r="D90" i="4"/>
  <c r="T85" i="4"/>
  <c r="L85" i="4"/>
  <c r="D85" i="4"/>
  <c r="D178" i="4"/>
  <c r="F178" i="4" s="1"/>
  <c r="D168" i="4"/>
  <c r="F168" i="4" s="1"/>
  <c r="D153" i="4"/>
  <c r="F153" i="4" s="1"/>
  <c r="D143" i="4"/>
  <c r="F143" i="4" s="1"/>
  <c r="Q90" i="4"/>
  <c r="I90" i="4"/>
  <c r="D23" i="7"/>
  <c r="H42" i="7"/>
  <c r="W160" i="4"/>
  <c r="U161" i="4"/>
  <c r="B187" i="6"/>
  <c r="B100" i="4"/>
  <c r="F100" i="4"/>
  <c r="W100" i="4"/>
  <c r="H46" i="1"/>
  <c r="E187" i="6"/>
  <c r="K3" i="4"/>
  <c r="R4" i="4"/>
  <c r="D4" i="4"/>
  <c r="D2" i="4"/>
  <c r="H2" i="4"/>
  <c r="Z2" i="4"/>
  <c r="J3" i="4"/>
  <c r="T4" i="4"/>
  <c r="I4" i="4"/>
  <c r="M3" i="4"/>
  <c r="L3" i="4"/>
  <c r="V4" i="4"/>
  <c r="R2" i="4"/>
  <c r="A335" i="4" l="1"/>
  <c r="A332" i="4"/>
  <c r="A310" i="4"/>
  <c r="A328" i="4"/>
  <c r="A307" i="4"/>
  <c r="A331" i="4"/>
  <c r="A327" i="4"/>
  <c r="A319" i="4"/>
  <c r="A309" i="4"/>
  <c r="A313" i="4"/>
  <c r="A321" i="4"/>
  <c r="A322" i="4"/>
  <c r="A330" i="4"/>
  <c r="A308" i="4"/>
  <c r="A316" i="4"/>
  <c r="A315" i="4"/>
  <c r="A333" i="4"/>
  <c r="A320" i="4"/>
  <c r="A323" i="4"/>
  <c r="H18" i="7"/>
  <c r="F107" i="1"/>
  <c r="F106" i="1"/>
  <c r="F105" i="1"/>
  <c r="F103" i="1"/>
  <c r="F104" i="1"/>
  <c r="A312" i="4"/>
  <c r="A311" i="4"/>
  <c r="A317" i="4"/>
  <c r="A336" i="4"/>
  <c r="D97" i="4"/>
  <c r="F97" i="4" s="1"/>
  <c r="D82" i="4"/>
  <c r="A324" i="4"/>
  <c r="A325" i="4"/>
  <c r="A314" i="4"/>
  <c r="A326" i="4"/>
  <c r="A334" i="4"/>
  <c r="A318" i="4"/>
  <c r="W116" i="4"/>
  <c r="X116" i="4"/>
  <c r="D87" i="4"/>
  <c r="F87" i="4" s="1"/>
  <c r="I68" i="7"/>
  <c r="R27" i="1"/>
  <c r="K49" i="1"/>
  <c r="I16" i="7"/>
  <c r="D156" i="6"/>
  <c r="D162" i="6"/>
  <c r="E162" i="6" s="1"/>
  <c r="D160" i="6"/>
  <c r="E160" i="6" s="1"/>
  <c r="D159" i="6"/>
  <c r="E159" i="6" s="1"/>
  <c r="D161" i="6"/>
  <c r="E161" i="6" s="1"/>
  <c r="D158" i="6"/>
  <c r="E158" i="6" s="1"/>
  <c r="C166" i="6"/>
  <c r="C167" i="6"/>
  <c r="C163" i="6"/>
  <c r="S27" i="6"/>
  <c r="H45" i="7"/>
  <c r="D168" i="6"/>
  <c r="D169" i="6" s="1"/>
  <c r="E52" i="7"/>
  <c r="E56" i="7"/>
  <c r="E30" i="6"/>
  <c r="D141" i="6"/>
  <c r="D145" i="6"/>
  <c r="O20" i="6"/>
  <c r="D144" i="6"/>
  <c r="D137" i="6"/>
  <c r="D142" i="6"/>
  <c r="E53" i="7"/>
  <c r="D147" i="6"/>
  <c r="D146" i="6"/>
  <c r="D155" i="6"/>
  <c r="D148" i="6"/>
  <c r="D143" i="6"/>
  <c r="E34" i="6"/>
  <c r="D139" i="6"/>
  <c r="D157" i="6"/>
  <c r="D135" i="6"/>
  <c r="E135" i="6" s="1"/>
  <c r="W4" i="3"/>
  <c r="H51" i="7"/>
  <c r="D140" i="6"/>
  <c r="C168" i="6"/>
  <c r="C169" i="6" s="1"/>
  <c r="D136" i="6"/>
  <c r="E136" i="6" s="1"/>
  <c r="D134" i="6"/>
  <c r="E134" i="6" s="1"/>
  <c r="D132" i="6"/>
  <c r="E132" i="6" s="1"/>
  <c r="E57" i="7"/>
  <c r="D138" i="6"/>
  <c r="D133" i="6"/>
  <c r="E133" i="6" s="1"/>
  <c r="E126" i="6"/>
  <c r="D127" i="6"/>
  <c r="E18" i="7"/>
  <c r="C171" i="6"/>
  <c r="T12" i="6"/>
  <c r="N15" i="6"/>
  <c r="C174" i="6"/>
  <c r="E101" i="7"/>
  <c r="E49" i="7"/>
  <c r="T13" i="6"/>
  <c r="C170" i="6"/>
  <c r="D46" i="8"/>
  <c r="D54" i="8"/>
  <c r="D45" i="8"/>
  <c r="D55" i="8"/>
  <c r="D48" i="8"/>
  <c r="D58" i="8"/>
  <c r="D50" i="8"/>
  <c r="D65" i="8"/>
  <c r="M14" i="6"/>
  <c r="D57" i="8"/>
  <c r="D51" i="8"/>
  <c r="D41" i="8"/>
  <c r="D49" i="8"/>
  <c r="D66" i="8"/>
  <c r="D59" i="8"/>
  <c r="D67" i="8"/>
  <c r="D61" i="8"/>
  <c r="D47" i="8"/>
  <c r="D60" i="8"/>
  <c r="D42" i="8"/>
  <c r="D43" i="8"/>
  <c r="D56" i="8"/>
  <c r="D44" i="8"/>
  <c r="D62" i="8"/>
  <c r="D52" i="8"/>
  <c r="D64" i="8"/>
  <c r="D63" i="8"/>
  <c r="D53" i="8"/>
  <c r="M12" i="6"/>
  <c r="F82" i="4"/>
  <c r="D118" i="4"/>
  <c r="F118" i="4" s="1"/>
  <c r="X190" i="4"/>
  <c r="C24" i="1"/>
  <c r="I41" i="7"/>
  <c r="E110" i="7"/>
  <c r="V161" i="4"/>
  <c r="X160" i="4"/>
  <c r="U235" i="4"/>
  <c r="S236" i="4"/>
  <c r="V231" i="4"/>
  <c r="X230" i="4"/>
  <c r="P5" i="3"/>
  <c r="Q5" i="3" s="1"/>
  <c r="AD5" i="3"/>
  <c r="A6" i="3"/>
  <c r="B6" i="3" s="1"/>
  <c r="AA5" i="3"/>
  <c r="AC5" i="3"/>
  <c r="Z5" i="3"/>
  <c r="C204" i="6"/>
  <c r="X221" i="4"/>
  <c r="W221" i="4"/>
  <c r="D218" i="4" s="1"/>
  <c r="F218" i="4" s="1"/>
  <c r="D123" i="4"/>
  <c r="W246" i="4"/>
  <c r="D243" i="4" s="1"/>
  <c r="F243" i="4" s="1"/>
  <c r="X246" i="4"/>
  <c r="X111" i="4"/>
  <c r="W111" i="4"/>
  <c r="D108" i="4" s="1"/>
  <c r="S189" i="4"/>
  <c r="Q191" i="4"/>
  <c r="U196" i="4"/>
  <c r="W195" i="4"/>
  <c r="X211" i="4"/>
  <c r="W211" i="4"/>
  <c r="F2" i="4"/>
  <c r="D113" i="4" l="1"/>
  <c r="F113" i="4" s="1"/>
  <c r="D208" i="4"/>
  <c r="F208" i="4" s="1"/>
  <c r="I28" i="6"/>
  <c r="C191" i="6" s="1"/>
  <c r="D166" i="6"/>
  <c r="E166" i="6" s="1"/>
  <c r="D167" i="6"/>
  <c r="E167" i="6" s="1"/>
  <c r="D164" i="6"/>
  <c r="E164" i="6" s="1"/>
  <c r="D165" i="6"/>
  <c r="E165" i="6" s="1"/>
  <c r="D163" i="6"/>
  <c r="E163" i="6" s="1"/>
  <c r="E29" i="6"/>
  <c r="E28" i="6"/>
  <c r="E127" i="6"/>
  <c r="R5" i="3"/>
  <c r="P6" i="3"/>
  <c r="Q6" i="3" s="1"/>
  <c r="R6" i="3" s="1"/>
  <c r="AA6" i="3"/>
  <c r="A7" i="3"/>
  <c r="B7" i="3" s="1"/>
  <c r="AC6" i="3"/>
  <c r="Z6" i="3"/>
  <c r="AD6" i="3"/>
  <c r="F108" i="4"/>
  <c r="F56" i="8"/>
  <c r="I56" i="8" s="1"/>
  <c r="E56" i="8"/>
  <c r="F66" i="8"/>
  <c r="I66" i="8" s="1"/>
  <c r="E66" i="8"/>
  <c r="F58" i="8"/>
  <c r="I58" i="8" s="1"/>
  <c r="E58" i="8"/>
  <c r="V196" i="4"/>
  <c r="X195" i="4"/>
  <c r="F43" i="8"/>
  <c r="I43" i="8" s="1"/>
  <c r="E43" i="8"/>
  <c r="E49" i="8"/>
  <c r="F49" i="8"/>
  <c r="I49" i="8" s="1"/>
  <c r="E48" i="8"/>
  <c r="F48" i="8"/>
  <c r="I48" i="8" s="1"/>
  <c r="F53" i="8"/>
  <c r="I53" i="8" s="1"/>
  <c r="E53" i="8"/>
  <c r="F42" i="8"/>
  <c r="I42" i="8" s="1"/>
  <c r="E42" i="8"/>
  <c r="F41" i="8"/>
  <c r="I41" i="8" s="1"/>
  <c r="E41" i="8"/>
  <c r="E55" i="8"/>
  <c r="F55" i="8"/>
  <c r="I55" i="8" s="1"/>
  <c r="F63" i="8"/>
  <c r="I63" i="8" s="1"/>
  <c r="E63" i="8"/>
  <c r="E60" i="8"/>
  <c r="F60" i="8"/>
  <c r="I60" i="8" s="1"/>
  <c r="F51" i="8"/>
  <c r="I51" i="8" s="1"/>
  <c r="E51" i="8"/>
  <c r="F45" i="8"/>
  <c r="I45" i="8" s="1"/>
  <c r="E45" i="8"/>
  <c r="I42" i="7"/>
  <c r="C150" i="6"/>
  <c r="F47" i="8"/>
  <c r="I47" i="8" s="1"/>
  <c r="E47" i="8"/>
  <c r="E54" i="8"/>
  <c r="F54" i="8"/>
  <c r="I54" i="8" s="1"/>
  <c r="F52" i="8"/>
  <c r="I52" i="8" s="1"/>
  <c r="E52" i="8"/>
  <c r="F61" i="8"/>
  <c r="I61" i="8" s="1"/>
  <c r="E61" i="8"/>
  <c r="F107" i="7"/>
  <c r="C10" i="1"/>
  <c r="S4" i="3" s="1"/>
  <c r="J41" i="7"/>
  <c r="E58" i="7"/>
  <c r="H65" i="7" s="1"/>
  <c r="C11" i="8"/>
  <c r="F46" i="8"/>
  <c r="I46" i="8" s="1"/>
  <c r="E46" i="8"/>
  <c r="E62" i="8"/>
  <c r="F62" i="8"/>
  <c r="I62" i="8" s="1"/>
  <c r="F67" i="8"/>
  <c r="I67" i="8" s="1"/>
  <c r="E67" i="8"/>
  <c r="F65" i="8"/>
  <c r="I65" i="8" s="1"/>
  <c r="E65" i="8"/>
  <c r="M15" i="6"/>
  <c r="W231" i="4"/>
  <c r="X231" i="4"/>
  <c r="D228" i="4" s="1"/>
  <c r="F228" i="4" s="1"/>
  <c r="X191" i="4"/>
  <c r="F64" i="8"/>
  <c r="I64" i="8" s="1"/>
  <c r="E64" i="8"/>
  <c r="F57" i="8"/>
  <c r="I57" i="8" s="1"/>
  <c r="E57" i="8"/>
  <c r="T189" i="4"/>
  <c r="R191" i="4"/>
  <c r="T236" i="4"/>
  <c r="V235" i="4"/>
  <c r="X161" i="4"/>
  <c r="W161" i="4"/>
  <c r="D158" i="4" s="1"/>
  <c r="F158" i="4" s="1"/>
  <c r="C30" i="1"/>
  <c r="H71" i="7"/>
  <c r="F44" i="8"/>
  <c r="I44" i="8" s="1"/>
  <c r="E44" i="8"/>
  <c r="E59" i="8"/>
  <c r="F59" i="8"/>
  <c r="I59" i="8" s="1"/>
  <c r="F50" i="8"/>
  <c r="I50" i="8" s="1"/>
  <c r="E50" i="8"/>
  <c r="D153" i="6" l="1"/>
  <c r="C192" i="6"/>
  <c r="C164" i="6"/>
  <c r="C165" i="6"/>
  <c r="M22" i="6"/>
  <c r="E35" i="6"/>
  <c r="O22" i="6" s="1"/>
  <c r="O19" i="6" s="1"/>
  <c r="H60" i="8"/>
  <c r="G60" i="8"/>
  <c r="H65" i="8"/>
  <c r="G65" i="8"/>
  <c r="H67" i="8"/>
  <c r="G67" i="8"/>
  <c r="Z7" i="3"/>
  <c r="A8" i="3"/>
  <c r="B8" i="3" s="1"/>
  <c r="AC7" i="3"/>
  <c r="AD7" i="3"/>
  <c r="P7" i="3"/>
  <c r="Q7" i="3" s="1"/>
  <c r="R7" i="3" s="1"/>
  <c r="AA7" i="3"/>
  <c r="H59" i="8"/>
  <c r="G59" i="8"/>
  <c r="W235" i="4"/>
  <c r="U236" i="4"/>
  <c r="U189" i="4"/>
  <c r="S191" i="4"/>
  <c r="G46" i="8"/>
  <c r="H46" i="8"/>
  <c r="H47" i="8"/>
  <c r="G47" i="8"/>
  <c r="H42" i="8"/>
  <c r="G42" i="8"/>
  <c r="G43" i="8"/>
  <c r="H43" i="8"/>
  <c r="H56" i="8"/>
  <c r="G56" i="8"/>
  <c r="H52" i="8"/>
  <c r="G52" i="8"/>
  <c r="J42" i="7"/>
  <c r="C149" i="6"/>
  <c r="C155" i="6"/>
  <c r="F108" i="7"/>
  <c r="T4" i="3"/>
  <c r="U4" i="3" s="1"/>
  <c r="S5" i="3"/>
  <c r="H55" i="8"/>
  <c r="G55" i="8"/>
  <c r="H48" i="8"/>
  <c r="G48" i="8"/>
  <c r="H44" i="8"/>
  <c r="G44" i="8"/>
  <c r="H57" i="8"/>
  <c r="G57" i="8"/>
  <c r="H53" i="8"/>
  <c r="G53" i="8"/>
  <c r="W196" i="4"/>
  <c r="X196" i="4"/>
  <c r="H64" i="8"/>
  <c r="G64" i="8"/>
  <c r="G45" i="8"/>
  <c r="H45" i="8"/>
  <c r="H58" i="8"/>
  <c r="G58" i="8"/>
  <c r="P28" i="1"/>
  <c r="K47" i="1"/>
  <c r="H16" i="7"/>
  <c r="P27" i="1"/>
  <c r="H68" i="7"/>
  <c r="H51" i="8"/>
  <c r="G51" i="8"/>
  <c r="G41" i="8"/>
  <c r="H41" i="8"/>
  <c r="H66" i="8"/>
  <c r="G66" i="8"/>
  <c r="H63" i="8"/>
  <c r="G63" i="8"/>
  <c r="H50" i="8"/>
  <c r="G50" i="8"/>
  <c r="H62" i="8"/>
  <c r="G62" i="8"/>
  <c r="H61" i="8"/>
  <c r="G61" i="8"/>
  <c r="H54" i="8"/>
  <c r="G54" i="8"/>
  <c r="H49" i="8"/>
  <c r="G49" i="8"/>
  <c r="D193" i="4" l="1"/>
  <c r="F193" i="4" s="1"/>
  <c r="H28" i="6"/>
  <c r="M19" i="6"/>
  <c r="K57" i="8"/>
  <c r="M57" i="8" s="1"/>
  <c r="K52" i="8"/>
  <c r="M52" i="8" s="1"/>
  <c r="K65" i="8"/>
  <c r="M65" i="8" s="1"/>
  <c r="J46" i="8"/>
  <c r="J42" i="8"/>
  <c r="J45" i="8"/>
  <c r="K44" i="8"/>
  <c r="M44" i="8" s="1"/>
  <c r="K60" i="8"/>
  <c r="M60" i="8" s="1"/>
  <c r="K54" i="8"/>
  <c r="M54" i="8" s="1"/>
  <c r="J53" i="8"/>
  <c r="J59" i="8"/>
  <c r="J67" i="8"/>
  <c r="J51" i="8"/>
  <c r="K62" i="8"/>
  <c r="M62" i="8" s="1"/>
  <c r="J61" i="8"/>
  <c r="J41" i="8"/>
  <c r="J58" i="8"/>
  <c r="J55" i="8"/>
  <c r="K47" i="8"/>
  <c r="M47" i="8" s="1"/>
  <c r="K67" i="8"/>
  <c r="M67" i="8" s="1"/>
  <c r="J64" i="8"/>
  <c r="J43" i="8"/>
  <c r="J56" i="8"/>
  <c r="J63" i="8"/>
  <c r="K49" i="8"/>
  <c r="M49" i="8" s="1"/>
  <c r="K50" i="8"/>
  <c r="M50" i="8" s="1"/>
  <c r="J66" i="8"/>
  <c r="K48" i="8"/>
  <c r="M48" i="8" s="1"/>
  <c r="P8" i="3"/>
  <c r="Q8" i="3" s="1"/>
  <c r="R8" i="3" s="1"/>
  <c r="Z8" i="3"/>
  <c r="AD8" i="3"/>
  <c r="AA8" i="3"/>
  <c r="AC8" i="3"/>
  <c r="A9" i="3"/>
  <c r="B9" i="3" s="1"/>
  <c r="J50" i="8"/>
  <c r="K61" i="8"/>
  <c r="M61" i="8" s="1"/>
  <c r="K66" i="8"/>
  <c r="M66" i="8" s="1"/>
  <c r="K58" i="8"/>
  <c r="M58" i="8" s="1"/>
  <c r="J57" i="8"/>
  <c r="K55" i="8"/>
  <c r="M55" i="8" s="1"/>
  <c r="K56" i="8"/>
  <c r="M56" i="8" s="1"/>
  <c r="J47" i="8"/>
  <c r="V236" i="4"/>
  <c r="X235" i="4"/>
  <c r="K53" i="8"/>
  <c r="M53" i="8" s="1"/>
  <c r="K59" i="8"/>
  <c r="M59" i="8" s="1"/>
  <c r="J65" i="8"/>
  <c r="T5" i="3"/>
  <c r="S6" i="3"/>
  <c r="K43" i="8"/>
  <c r="M43" i="8" s="1"/>
  <c r="K46" i="8"/>
  <c r="M46" i="8" s="1"/>
  <c r="J49" i="8"/>
  <c r="J62" i="8"/>
  <c r="K45" i="8"/>
  <c r="M45" i="8" s="1"/>
  <c r="J44" i="8"/>
  <c r="K63" i="8"/>
  <c r="M63" i="8" s="1"/>
  <c r="K41" i="8"/>
  <c r="M41" i="8" s="1"/>
  <c r="K42" i="8"/>
  <c r="M42" i="8" s="1"/>
  <c r="K51" i="8"/>
  <c r="M51" i="8" s="1"/>
  <c r="K64" i="8"/>
  <c r="M64" i="8" s="1"/>
  <c r="J60" i="8"/>
  <c r="V189" i="4"/>
  <c r="T191" i="4"/>
  <c r="J54" i="8"/>
  <c r="J48" i="8"/>
  <c r="J52" i="8"/>
  <c r="L54" i="8" l="1"/>
  <c r="L57" i="8"/>
  <c r="C194" i="6"/>
  <c r="C190" i="6"/>
  <c r="S28" i="6"/>
  <c r="C193" i="6"/>
  <c r="D152" i="6"/>
  <c r="H46" i="7"/>
  <c r="H13" i="7"/>
  <c r="L52" i="8"/>
  <c r="L65" i="8"/>
  <c r="L44" i="8"/>
  <c r="L50" i="8"/>
  <c r="L60" i="8"/>
  <c r="L43" i="8"/>
  <c r="L49" i="8"/>
  <c r="L67" i="8"/>
  <c r="L41" i="8"/>
  <c r="L56" i="8"/>
  <c r="L66" i="8"/>
  <c r="L58" i="8"/>
  <c r="L42" i="8"/>
  <c r="L62" i="8"/>
  <c r="L51" i="8"/>
  <c r="L48" i="8"/>
  <c r="L47" i="8"/>
  <c r="AD9" i="3"/>
  <c r="AC9" i="3"/>
  <c r="AA9" i="3"/>
  <c r="P9" i="3"/>
  <c r="Q9" i="3" s="1"/>
  <c r="R9" i="3" s="1"/>
  <c r="Z9" i="3"/>
  <c r="A10" i="3"/>
  <c r="B10" i="3" s="1"/>
  <c r="W189" i="4"/>
  <c r="U191" i="4"/>
  <c r="AH5" i="3"/>
  <c r="D5" i="3"/>
  <c r="AG5" i="3"/>
  <c r="E5" i="3"/>
  <c r="H5" i="3" s="1"/>
  <c r="L61" i="8"/>
  <c r="L46" i="8"/>
  <c r="L59" i="8"/>
  <c r="L64" i="8"/>
  <c r="W236" i="4"/>
  <c r="X236" i="4"/>
  <c r="D233" i="4" s="1"/>
  <c r="L55" i="8"/>
  <c r="L53" i="8"/>
  <c r="L63" i="8"/>
  <c r="S7" i="3"/>
  <c r="T6" i="3"/>
  <c r="L45" i="8"/>
  <c r="T7" i="3" l="1"/>
  <c r="S8" i="3"/>
  <c r="V191" i="4"/>
  <c r="W191" i="4"/>
  <c r="D188" i="4" s="1"/>
  <c r="K5" i="3"/>
  <c r="AA10" i="3"/>
  <c r="P10" i="3"/>
  <c r="Q10" i="3" s="1"/>
  <c r="R10" i="3" s="1"/>
  <c r="AD10" i="3"/>
  <c r="Z10" i="3"/>
  <c r="A11" i="3"/>
  <c r="B11" i="3" s="1"/>
  <c r="AC10" i="3"/>
  <c r="F5" i="3"/>
  <c r="G5" i="3"/>
  <c r="AC11" i="3" l="1"/>
  <c r="AD11" i="3"/>
  <c r="A12" i="3"/>
  <c r="B12" i="3" s="1"/>
  <c r="P11" i="3"/>
  <c r="Q11" i="3" s="1"/>
  <c r="R11" i="3" s="1"/>
  <c r="Z11" i="3"/>
  <c r="AA11" i="3"/>
  <c r="V5" i="3"/>
  <c r="AE5" i="3"/>
  <c r="F188" i="4"/>
  <c r="N34" i="1"/>
  <c r="M36" i="6"/>
  <c r="S9" i="3"/>
  <c r="T8" i="3"/>
  <c r="J5" i="3"/>
  <c r="I5" i="3"/>
  <c r="M5" i="3"/>
  <c r="N5" i="3" s="1"/>
  <c r="W5" i="3" l="1"/>
  <c r="P12" i="3"/>
  <c r="Q12" i="3" s="1"/>
  <c r="R12" i="3" s="1"/>
  <c r="Z12" i="3"/>
  <c r="A13" i="3"/>
  <c r="B13" i="3" s="1"/>
  <c r="AD12" i="3"/>
  <c r="AA12" i="3"/>
  <c r="AC12" i="3"/>
  <c r="L5" i="3"/>
  <c r="S10" i="3"/>
  <c r="T9" i="3"/>
  <c r="AG6" i="3" l="1"/>
  <c r="AH6" i="3"/>
  <c r="U5" i="3"/>
  <c r="E6" i="3" s="1"/>
  <c r="H6" i="3" s="1"/>
  <c r="AD13" i="3"/>
  <c r="P13" i="3"/>
  <c r="Q13" i="3" s="1"/>
  <c r="R13" i="3" s="1"/>
  <c r="AC13" i="3"/>
  <c r="Z13" i="3"/>
  <c r="A14" i="3"/>
  <c r="B14" i="3" s="1"/>
  <c r="AA13" i="3"/>
  <c r="T10" i="3"/>
  <c r="S11" i="3"/>
  <c r="AC14" i="3" l="1"/>
  <c r="AA14" i="3"/>
  <c r="Z14" i="3"/>
  <c r="AD14" i="3"/>
  <c r="A15" i="3"/>
  <c r="B15" i="3" s="1"/>
  <c r="P14" i="3"/>
  <c r="Q14" i="3" s="1"/>
  <c r="R14" i="3" s="1"/>
  <c r="K6" i="3"/>
  <c r="D6" i="3"/>
  <c r="S12" i="3"/>
  <c r="T11" i="3"/>
  <c r="P15" i="3" l="1"/>
  <c r="Q15" i="3" s="1"/>
  <c r="R15" i="3" s="1"/>
  <c r="AA15" i="3"/>
  <c r="Z15" i="3"/>
  <c r="AC15" i="3"/>
  <c r="AD15" i="3"/>
  <c r="A16" i="3"/>
  <c r="B16" i="3" s="1"/>
  <c r="T12" i="3"/>
  <c r="S13" i="3"/>
  <c r="V6" i="3"/>
  <c r="AE6" i="3"/>
  <c r="F6" i="3"/>
  <c r="G6" i="3"/>
  <c r="P16" i="3" l="1"/>
  <c r="Q16" i="3" s="1"/>
  <c r="R16" i="3" s="1"/>
  <c r="A17" i="3"/>
  <c r="B17" i="3" s="1"/>
  <c r="AA16" i="3"/>
  <c r="AC16" i="3"/>
  <c r="AD16" i="3"/>
  <c r="Z16" i="3"/>
  <c r="I6" i="3"/>
  <c r="W6" i="3" s="1"/>
  <c r="J6" i="3"/>
  <c r="M6" i="3"/>
  <c r="N6" i="3" s="1"/>
  <c r="S14" i="3"/>
  <c r="T13" i="3"/>
  <c r="T14" i="3" l="1"/>
  <c r="S15" i="3"/>
  <c r="L6" i="3"/>
  <c r="A18" i="3"/>
  <c r="B18" i="3" s="1"/>
  <c r="AC17" i="3"/>
  <c r="AD17" i="3"/>
  <c r="Z17" i="3"/>
  <c r="AA17" i="3"/>
  <c r="P17" i="3"/>
  <c r="Q17" i="3" s="1"/>
  <c r="R17" i="3" s="1"/>
  <c r="AC18" i="3" l="1"/>
  <c r="P18" i="3"/>
  <c r="Q18" i="3" s="1"/>
  <c r="R18" i="3" s="1"/>
  <c r="Z18" i="3"/>
  <c r="AD18" i="3"/>
  <c r="AA18" i="3"/>
  <c r="A19" i="3"/>
  <c r="B19" i="3" s="1"/>
  <c r="AG7" i="3"/>
  <c r="U6" i="3"/>
  <c r="E7" i="3" s="1"/>
  <c r="H7" i="3" s="1"/>
  <c r="AH7" i="3"/>
  <c r="Y5" i="3"/>
  <c r="S16" i="3"/>
  <c r="T15" i="3"/>
  <c r="K7" i="3" l="1"/>
  <c r="AC19" i="3"/>
  <c r="A20" i="3"/>
  <c r="B20" i="3" s="1"/>
  <c r="AA19" i="3"/>
  <c r="P19" i="3"/>
  <c r="Q19" i="3" s="1"/>
  <c r="R19" i="3" s="1"/>
  <c r="Z19" i="3"/>
  <c r="AD19" i="3"/>
  <c r="T16" i="3"/>
  <c r="S17" i="3"/>
  <c r="D7" i="3"/>
  <c r="A21" i="3" l="1"/>
  <c r="B21" i="3" s="1"/>
  <c r="AA20" i="3"/>
  <c r="AC20" i="3"/>
  <c r="AD20" i="3"/>
  <c r="Z20" i="3"/>
  <c r="P20" i="3"/>
  <c r="Q20" i="3" s="1"/>
  <c r="R20" i="3" s="1"/>
  <c r="F7" i="3"/>
  <c r="G7" i="3"/>
  <c r="V7" i="3"/>
  <c r="AE7" i="3"/>
  <c r="T17" i="3"/>
  <c r="S18" i="3"/>
  <c r="AA21" i="3" l="1"/>
  <c r="AD21" i="3"/>
  <c r="AC21" i="3"/>
  <c r="A22" i="3"/>
  <c r="B22" i="3" s="1"/>
  <c r="P21" i="3"/>
  <c r="Q21" i="3" s="1"/>
  <c r="R21" i="3" s="1"/>
  <c r="Z21" i="3"/>
  <c r="T18" i="3"/>
  <c r="S19" i="3"/>
  <c r="I7" i="3"/>
  <c r="J7" i="3"/>
  <c r="M7" i="3"/>
  <c r="N7" i="3" s="1"/>
  <c r="AC22" i="3" l="1"/>
  <c r="Z22" i="3"/>
  <c r="AD22" i="3"/>
  <c r="P22" i="3"/>
  <c r="Q22" i="3" s="1"/>
  <c r="R22" i="3" s="1"/>
  <c r="AA22" i="3"/>
  <c r="A23" i="3"/>
  <c r="B23" i="3" s="1"/>
  <c r="S20" i="3"/>
  <c r="T19" i="3"/>
  <c r="L7" i="3"/>
  <c r="W7" i="3"/>
  <c r="AC23" i="3" l="1"/>
  <c r="P23" i="3"/>
  <c r="Q23" i="3" s="1"/>
  <c r="R23" i="3" s="1"/>
  <c r="A24" i="3"/>
  <c r="B24" i="3" s="1"/>
  <c r="AA23" i="3"/>
  <c r="Z23" i="3"/>
  <c r="AD23" i="3"/>
  <c r="AH8" i="3"/>
  <c r="U7" i="3"/>
  <c r="E8" i="3" s="1"/>
  <c r="H8" i="3" s="1"/>
  <c r="AG8" i="3"/>
  <c r="Y6" i="3"/>
  <c r="S21" i="3"/>
  <c r="T20" i="3"/>
  <c r="D8" i="3" l="1"/>
  <c r="F8" i="3" s="1"/>
  <c r="K8" i="3"/>
  <c r="T21" i="3"/>
  <c r="S22" i="3"/>
  <c r="AC24" i="3"/>
  <c r="AA24" i="3"/>
  <c r="AD24" i="3"/>
  <c r="A25" i="3"/>
  <c r="B25" i="3" s="1"/>
  <c r="Z24" i="3"/>
  <c r="P24" i="3"/>
  <c r="Q24" i="3" s="1"/>
  <c r="R24" i="3" s="1"/>
  <c r="G8" i="3" l="1"/>
  <c r="I8" i="3" s="1"/>
  <c r="Z25" i="3"/>
  <c r="P25" i="3"/>
  <c r="Q25" i="3" s="1"/>
  <c r="R25" i="3" s="1"/>
  <c r="AD25" i="3"/>
  <c r="A26" i="3"/>
  <c r="B26" i="3" s="1"/>
  <c r="AC25" i="3"/>
  <c r="AA25" i="3"/>
  <c r="V8" i="3"/>
  <c r="AE8" i="3"/>
  <c r="S23" i="3"/>
  <c r="T22" i="3"/>
  <c r="M8" i="3" l="1"/>
  <c r="N8" i="3" s="1"/>
  <c r="J8" i="3"/>
  <c r="L8" i="3" s="1"/>
  <c r="AD26" i="3"/>
  <c r="AC26" i="3"/>
  <c r="Z26" i="3"/>
  <c r="A27" i="3"/>
  <c r="B27" i="3" s="1"/>
  <c r="AA26" i="3"/>
  <c r="P26" i="3"/>
  <c r="Q26" i="3" s="1"/>
  <c r="R26" i="3" s="1"/>
  <c r="W8" i="3"/>
  <c r="S24" i="3"/>
  <c r="T23" i="3"/>
  <c r="AA27" i="3" l="1"/>
  <c r="A28" i="3"/>
  <c r="B28" i="3" s="1"/>
  <c r="P27" i="3"/>
  <c r="Q27" i="3" s="1"/>
  <c r="R27" i="3" s="1"/>
  <c r="AD27" i="3"/>
  <c r="AC27" i="3"/>
  <c r="Z27" i="3"/>
  <c r="T24" i="3"/>
  <c r="S25" i="3"/>
  <c r="U8" i="3"/>
  <c r="D9" i="3" s="1"/>
  <c r="AH9" i="3"/>
  <c r="AG9" i="3"/>
  <c r="Y7" i="3"/>
  <c r="E9" i="3" l="1"/>
  <c r="H9" i="3" s="1"/>
  <c r="K9" i="3" s="1"/>
  <c r="A29" i="3"/>
  <c r="B29" i="3" s="1"/>
  <c r="AC28" i="3"/>
  <c r="P28" i="3"/>
  <c r="Q28" i="3" s="1"/>
  <c r="R28" i="3" s="1"/>
  <c r="AA28" i="3"/>
  <c r="Z28" i="3"/>
  <c r="AD28" i="3"/>
  <c r="S26" i="3"/>
  <c r="T25" i="3"/>
  <c r="G9" i="3"/>
  <c r="F9" i="3" l="1"/>
  <c r="V9" i="3"/>
  <c r="AE9" i="3"/>
  <c r="I9" i="3"/>
  <c r="J9" i="3"/>
  <c r="M9" i="3"/>
  <c r="N9" i="3" s="1"/>
  <c r="S27" i="3"/>
  <c r="T26" i="3"/>
  <c r="AC29" i="3"/>
  <c r="P29" i="3"/>
  <c r="Q29" i="3" s="1"/>
  <c r="R29" i="3" s="1"/>
  <c r="AD29" i="3"/>
  <c r="Z29" i="3"/>
  <c r="A30" i="3"/>
  <c r="B30" i="3" s="1"/>
  <c r="AA29" i="3"/>
  <c r="L9" i="3" l="1"/>
  <c r="P30" i="3"/>
  <c r="Q30" i="3" s="1"/>
  <c r="R30" i="3" s="1"/>
  <c r="Z30" i="3"/>
  <c r="AD30" i="3"/>
  <c r="A31" i="3"/>
  <c r="B31" i="3" s="1"/>
  <c r="AC30" i="3"/>
  <c r="AA30" i="3"/>
  <c r="T27" i="3"/>
  <c r="S28" i="3"/>
  <c r="W9" i="3"/>
  <c r="AC31" i="3" l="1"/>
  <c r="Z31" i="3"/>
  <c r="AA31" i="3"/>
  <c r="A32" i="3"/>
  <c r="B32" i="3" s="1"/>
  <c r="AD31" i="3"/>
  <c r="P31" i="3"/>
  <c r="Q31" i="3" s="1"/>
  <c r="R31" i="3" s="1"/>
  <c r="S29" i="3"/>
  <c r="T28" i="3"/>
  <c r="AG10" i="3"/>
  <c r="AH10" i="3"/>
  <c r="U9" i="3"/>
  <c r="D10" i="3" s="1"/>
  <c r="Y8" i="3"/>
  <c r="AA32" i="3" l="1"/>
  <c r="AC32" i="3"/>
  <c r="AD32" i="3"/>
  <c r="Z32" i="3"/>
  <c r="P32" i="3"/>
  <c r="Q32" i="3" s="1"/>
  <c r="R32" i="3" s="1"/>
  <c r="A33" i="3"/>
  <c r="B33" i="3" s="1"/>
  <c r="G10" i="3"/>
  <c r="E10" i="3"/>
  <c r="H10" i="3" s="1"/>
  <c r="T29" i="3"/>
  <c r="S30" i="3"/>
  <c r="AC33" i="3" l="1"/>
  <c r="A34" i="3"/>
  <c r="B34" i="3" s="1"/>
  <c r="Z33" i="3"/>
  <c r="AD33" i="3"/>
  <c r="P33" i="3"/>
  <c r="Q33" i="3" s="1"/>
  <c r="R33" i="3" s="1"/>
  <c r="AA33" i="3"/>
  <c r="K10" i="3"/>
  <c r="S31" i="3"/>
  <c r="T30" i="3"/>
  <c r="I10" i="3"/>
  <c r="J10" i="3"/>
  <c r="M10" i="3"/>
  <c r="N10" i="3" s="1"/>
  <c r="F10" i="3"/>
  <c r="L10" i="3" l="1"/>
  <c r="S32" i="3"/>
  <c r="T31" i="3"/>
  <c r="V10" i="3"/>
  <c r="W10" i="3" s="1"/>
  <c r="AE10" i="3"/>
  <c r="AA34" i="3"/>
  <c r="AD34" i="3"/>
  <c r="AC34" i="3"/>
  <c r="Z34" i="3"/>
  <c r="A35" i="3"/>
  <c r="B35" i="3" s="1"/>
  <c r="P34" i="3"/>
  <c r="Q34" i="3" s="1"/>
  <c r="R34" i="3" s="1"/>
  <c r="AC35" i="3" l="1"/>
  <c r="AA35" i="3"/>
  <c r="AD35" i="3"/>
  <c r="Z35" i="3"/>
  <c r="P35" i="3"/>
  <c r="Q35" i="3" s="1"/>
  <c r="R35" i="3" s="1"/>
  <c r="A36" i="3"/>
  <c r="B36" i="3" s="1"/>
  <c r="T32" i="3"/>
  <c r="S33" i="3"/>
  <c r="AG11" i="3"/>
  <c r="AH11" i="3"/>
  <c r="U10" i="3"/>
  <c r="D11" i="3" s="1"/>
  <c r="Y9" i="3"/>
  <c r="E11" i="3" l="1"/>
  <c r="H11" i="3" s="1"/>
  <c r="K11" i="3" s="1"/>
  <c r="A37" i="3"/>
  <c r="B37" i="3" s="1"/>
  <c r="AC36" i="3"/>
  <c r="P36" i="3"/>
  <c r="Q36" i="3" s="1"/>
  <c r="R36" i="3" s="1"/>
  <c r="AD36" i="3"/>
  <c r="AA36" i="3"/>
  <c r="Z36" i="3"/>
  <c r="G11" i="3"/>
  <c r="S34" i="3"/>
  <c r="T33" i="3"/>
  <c r="F11" i="3" l="1"/>
  <c r="P37" i="3"/>
  <c r="Q37" i="3" s="1"/>
  <c r="R37" i="3" s="1"/>
  <c r="A38" i="3"/>
  <c r="B38" i="3" s="1"/>
  <c r="Z37" i="3"/>
  <c r="AC37" i="3"/>
  <c r="AD37" i="3"/>
  <c r="AA37" i="3"/>
  <c r="V11" i="3"/>
  <c r="AE11" i="3"/>
  <c r="I11" i="3"/>
  <c r="J11" i="3"/>
  <c r="M11" i="3"/>
  <c r="N11" i="3" s="1"/>
  <c r="S35" i="3"/>
  <c r="T34" i="3"/>
  <c r="P38" i="3" l="1"/>
  <c r="Q38" i="3" s="1"/>
  <c r="R38" i="3" s="1"/>
  <c r="Z38" i="3"/>
  <c r="AC38" i="3"/>
  <c r="A39" i="3"/>
  <c r="B39" i="3" s="1"/>
  <c r="AD38" i="3"/>
  <c r="AA38" i="3"/>
  <c r="L11" i="3"/>
  <c r="S36" i="3"/>
  <c r="T35" i="3"/>
  <c r="W11" i="3"/>
  <c r="AC39" i="3" l="1"/>
  <c r="AD39" i="3"/>
  <c r="Z39" i="3"/>
  <c r="AA39" i="3"/>
  <c r="A40" i="3"/>
  <c r="B40" i="3" s="1"/>
  <c r="P39" i="3"/>
  <c r="Q39" i="3" s="1"/>
  <c r="R39" i="3" s="1"/>
  <c r="T36" i="3"/>
  <c r="S37" i="3"/>
  <c r="AG12" i="3"/>
  <c r="AH12" i="3"/>
  <c r="U11" i="3"/>
  <c r="D12" i="3" s="1"/>
  <c r="Y10" i="3"/>
  <c r="E12" i="3" l="1"/>
  <c r="H12" i="3" s="1"/>
  <c r="K12" i="3" s="1"/>
  <c r="AA40" i="3"/>
  <c r="AC40" i="3"/>
  <c r="AD40" i="3"/>
  <c r="P40" i="3"/>
  <c r="Q40" i="3" s="1"/>
  <c r="R40" i="3" s="1"/>
  <c r="Z40" i="3"/>
  <c r="A41" i="3"/>
  <c r="B41" i="3" s="1"/>
  <c r="G12" i="3"/>
  <c r="S38" i="3"/>
  <c r="T37" i="3"/>
  <c r="F12" i="3" l="1"/>
  <c r="A42" i="3"/>
  <c r="B42" i="3" s="1"/>
  <c r="Z41" i="3"/>
  <c r="AC41" i="3"/>
  <c r="AA41" i="3"/>
  <c r="AD41" i="3"/>
  <c r="P41" i="3"/>
  <c r="Q41" i="3" s="1"/>
  <c r="R41" i="3" s="1"/>
  <c r="T38" i="3"/>
  <c r="S39" i="3"/>
  <c r="V12" i="3"/>
  <c r="AE12" i="3"/>
  <c r="I12" i="3"/>
  <c r="J12" i="3"/>
  <c r="M12" i="3"/>
  <c r="N12" i="3" s="1"/>
  <c r="T39" i="3" l="1"/>
  <c r="S40" i="3"/>
  <c r="W12" i="3"/>
  <c r="AD42" i="3"/>
  <c r="AC42" i="3"/>
  <c r="A43" i="3"/>
  <c r="B43" i="3" s="1"/>
  <c r="P42" i="3"/>
  <c r="Q42" i="3" s="1"/>
  <c r="R42" i="3" s="1"/>
  <c r="Z42" i="3"/>
  <c r="AA42" i="3"/>
  <c r="L12" i="3"/>
  <c r="AD43" i="3" l="1"/>
  <c r="P43" i="3"/>
  <c r="Q43" i="3" s="1"/>
  <c r="R43" i="3" s="1"/>
  <c r="AC43" i="3"/>
  <c r="Z43" i="3"/>
  <c r="A44" i="3"/>
  <c r="B44" i="3" s="1"/>
  <c r="AA43" i="3"/>
  <c r="AH13" i="3"/>
  <c r="U12" i="3"/>
  <c r="D13" i="3" s="1"/>
  <c r="AG13" i="3"/>
  <c r="Y11" i="3"/>
  <c r="T40" i="3"/>
  <c r="S41" i="3"/>
  <c r="E13" i="3" l="1"/>
  <c r="H13" i="3" s="1"/>
  <c r="K13" i="3" s="1"/>
  <c r="G13" i="3"/>
  <c r="A45" i="3"/>
  <c r="B45" i="3" s="1"/>
  <c r="AC44" i="3"/>
  <c r="AD44" i="3"/>
  <c r="AA44" i="3"/>
  <c r="P44" i="3"/>
  <c r="Q44" i="3" s="1"/>
  <c r="R44" i="3" s="1"/>
  <c r="Z44" i="3"/>
  <c r="S42" i="3"/>
  <c r="T41" i="3"/>
  <c r="F13" i="3" l="1"/>
  <c r="V13" i="3"/>
  <c r="AE13" i="3"/>
  <c r="I13" i="3"/>
  <c r="J13" i="3"/>
  <c r="M13" i="3"/>
  <c r="N13" i="3" s="1"/>
  <c r="T42" i="3"/>
  <c r="S43" i="3"/>
  <c r="AA45" i="3"/>
  <c r="A46" i="3"/>
  <c r="B46" i="3" s="1"/>
  <c r="Z45" i="3"/>
  <c r="AC45" i="3"/>
  <c r="P45" i="3"/>
  <c r="Q45" i="3" s="1"/>
  <c r="R45" i="3" s="1"/>
  <c r="AD45" i="3"/>
  <c r="AD46" i="3" l="1"/>
  <c r="P46" i="3"/>
  <c r="Q46" i="3" s="1"/>
  <c r="R46" i="3" s="1"/>
  <c r="AC46" i="3"/>
  <c r="AA46" i="3"/>
  <c r="A47" i="3"/>
  <c r="B47" i="3" s="1"/>
  <c r="Z46" i="3"/>
  <c r="T43" i="3"/>
  <c r="S44" i="3"/>
  <c r="W13" i="3"/>
  <c r="L13" i="3"/>
  <c r="AD47" i="3" l="1"/>
  <c r="P47" i="3"/>
  <c r="Q47" i="3" s="1"/>
  <c r="R47" i="3" s="1"/>
  <c r="A48" i="3"/>
  <c r="B48" i="3" s="1"/>
  <c r="Z47" i="3"/>
  <c r="AA47" i="3"/>
  <c r="AC47" i="3"/>
  <c r="U13" i="3"/>
  <c r="E14" i="3" s="1"/>
  <c r="H14" i="3" s="1"/>
  <c r="AH14" i="3"/>
  <c r="AG14" i="3"/>
  <c r="Y12" i="3"/>
  <c r="T44" i="3"/>
  <c r="S45" i="3"/>
  <c r="D14" i="3" l="1"/>
  <c r="F14" i="3" s="1"/>
  <c r="P48" i="3"/>
  <c r="Q48" i="3" s="1"/>
  <c r="R48" i="3" s="1"/>
  <c r="AA48" i="3"/>
  <c r="AD48" i="3"/>
  <c r="AC48" i="3"/>
  <c r="A49" i="3"/>
  <c r="B49" i="3" s="1"/>
  <c r="Z48" i="3"/>
  <c r="K14" i="3"/>
  <c r="S46" i="3"/>
  <c r="T45" i="3"/>
  <c r="G14" i="3" l="1"/>
  <c r="M14" i="3" s="1"/>
  <c r="N14" i="3" s="1"/>
  <c r="AC49" i="3"/>
  <c r="AD49" i="3"/>
  <c r="P49" i="3"/>
  <c r="Q49" i="3" s="1"/>
  <c r="R49" i="3" s="1"/>
  <c r="AA49" i="3"/>
  <c r="Z49" i="3"/>
  <c r="A50" i="3"/>
  <c r="B50" i="3" s="1"/>
  <c r="S47" i="3"/>
  <c r="T46" i="3"/>
  <c r="V14" i="3"/>
  <c r="AE14" i="3"/>
  <c r="J14" i="3" l="1"/>
  <c r="L14" i="3" s="1"/>
  <c r="I14" i="3"/>
  <c r="W14" i="3" s="1"/>
  <c r="P50" i="3"/>
  <c r="Q50" i="3" s="1"/>
  <c r="R50" i="3" s="1"/>
  <c r="A51" i="3"/>
  <c r="B51" i="3" s="1"/>
  <c r="AC50" i="3"/>
  <c r="Z50" i="3"/>
  <c r="AA50" i="3"/>
  <c r="AD50" i="3"/>
  <c r="T47" i="3"/>
  <c r="S48" i="3"/>
  <c r="AD51" i="3" l="1"/>
  <c r="AC51" i="3"/>
  <c r="AA51" i="3"/>
  <c r="P51" i="3"/>
  <c r="Q51" i="3" s="1"/>
  <c r="R51" i="3" s="1"/>
  <c r="Z51" i="3"/>
  <c r="A52" i="3"/>
  <c r="B52" i="3" s="1"/>
  <c r="S49" i="3"/>
  <c r="T48" i="3"/>
  <c r="AG15" i="3"/>
  <c r="AH15" i="3"/>
  <c r="U14" i="3"/>
  <c r="D15" i="3" s="1"/>
  <c r="Y13" i="3"/>
  <c r="AD52" i="3" l="1"/>
  <c r="AA52" i="3"/>
  <c r="Z52" i="3"/>
  <c r="AC52" i="3"/>
  <c r="A53" i="3"/>
  <c r="B53" i="3" s="1"/>
  <c r="P52" i="3"/>
  <c r="Q52" i="3" s="1"/>
  <c r="R52" i="3" s="1"/>
  <c r="G15" i="3"/>
  <c r="E15" i="3"/>
  <c r="H15" i="3" s="1"/>
  <c r="S50" i="3"/>
  <c r="T49" i="3"/>
  <c r="AA53" i="3" l="1"/>
  <c r="AC53" i="3"/>
  <c r="AD53" i="3"/>
  <c r="A54" i="3"/>
  <c r="B54" i="3" s="1"/>
  <c r="P53" i="3"/>
  <c r="Q53" i="3" s="1"/>
  <c r="R53" i="3" s="1"/>
  <c r="Z53" i="3"/>
  <c r="T50" i="3"/>
  <c r="S51" i="3"/>
  <c r="I15" i="3"/>
  <c r="J15" i="3"/>
  <c r="M15" i="3"/>
  <c r="N15" i="3" s="1"/>
  <c r="K15" i="3"/>
  <c r="F15" i="3"/>
  <c r="AC54" i="3" l="1"/>
  <c r="A55" i="3"/>
  <c r="B55" i="3" s="1"/>
  <c r="Z54" i="3"/>
  <c r="P54" i="3"/>
  <c r="Q54" i="3" s="1"/>
  <c r="R54" i="3" s="1"/>
  <c r="AA54" i="3"/>
  <c r="AD54" i="3"/>
  <c r="L15" i="3"/>
  <c r="T51" i="3"/>
  <c r="S52" i="3"/>
  <c r="V15" i="3"/>
  <c r="W15" i="3" s="1"/>
  <c r="AE15" i="3"/>
  <c r="Z55" i="3" l="1"/>
  <c r="P55" i="3"/>
  <c r="Q55" i="3" s="1"/>
  <c r="R55" i="3" s="1"/>
  <c r="AD55" i="3"/>
  <c r="A56" i="3"/>
  <c r="B56" i="3" s="1"/>
  <c r="AC55" i="3"/>
  <c r="AA55" i="3"/>
  <c r="S53" i="3"/>
  <c r="T52" i="3"/>
  <c r="U15" i="3"/>
  <c r="D16" i="3" s="1"/>
  <c r="AH16" i="3"/>
  <c r="AG16" i="3"/>
  <c r="Y14" i="3"/>
  <c r="E16" i="3" l="1"/>
  <c r="H16" i="3" s="1"/>
  <c r="K16" i="3" s="1"/>
  <c r="AA56" i="3"/>
  <c r="P56" i="3"/>
  <c r="Q56" i="3" s="1"/>
  <c r="R56" i="3" s="1"/>
  <c r="A57" i="3"/>
  <c r="B57" i="3" s="1"/>
  <c r="Z56" i="3"/>
  <c r="AD56" i="3"/>
  <c r="AC56" i="3"/>
  <c r="G16" i="3"/>
  <c r="S54" i="3"/>
  <c r="T53" i="3"/>
  <c r="F16" i="3" l="1"/>
  <c r="AA57" i="3"/>
  <c r="A58" i="3"/>
  <c r="B58" i="3" s="1"/>
  <c r="AC57" i="3"/>
  <c r="P57" i="3"/>
  <c r="Q57" i="3" s="1"/>
  <c r="R57" i="3" s="1"/>
  <c r="AD57" i="3"/>
  <c r="Z57" i="3"/>
  <c r="V16" i="3"/>
  <c r="AE16" i="3"/>
  <c r="S55" i="3"/>
  <c r="T54" i="3"/>
  <c r="I16" i="3"/>
  <c r="J16" i="3"/>
  <c r="M16" i="3"/>
  <c r="N16" i="3" s="1"/>
  <c r="AD58" i="3" l="1"/>
  <c r="AA58" i="3"/>
  <c r="A59" i="3"/>
  <c r="B59" i="3" s="1"/>
  <c r="P58" i="3"/>
  <c r="Q58" i="3" s="1"/>
  <c r="R58" i="3" s="1"/>
  <c r="AC58" i="3"/>
  <c r="Z58" i="3"/>
  <c r="S56" i="3"/>
  <c r="T55" i="3"/>
  <c r="W16" i="3"/>
  <c r="L16" i="3"/>
  <c r="AH17" i="3" l="1"/>
  <c r="AG17" i="3"/>
  <c r="U16" i="3"/>
  <c r="E17" i="3" s="1"/>
  <c r="H17" i="3" s="1"/>
  <c r="Y15" i="3"/>
  <c r="P59" i="3"/>
  <c r="Q59" i="3" s="1"/>
  <c r="R59" i="3" s="1"/>
  <c r="AA59" i="3"/>
  <c r="Z59" i="3"/>
  <c r="A60" i="3"/>
  <c r="B60" i="3" s="1"/>
  <c r="AC59" i="3"/>
  <c r="AD59" i="3"/>
  <c r="T56" i="3"/>
  <c r="S57" i="3"/>
  <c r="D17" i="3" l="1"/>
  <c r="F17" i="3" s="1"/>
  <c r="AA60" i="3"/>
  <c r="AD60" i="3"/>
  <c r="Z60" i="3"/>
  <c r="AC60" i="3"/>
  <c r="P60" i="3"/>
  <c r="Q60" i="3" s="1"/>
  <c r="R60" i="3" s="1"/>
  <c r="A61" i="3"/>
  <c r="B61" i="3" s="1"/>
  <c r="K17" i="3"/>
  <c r="T57" i="3"/>
  <c r="S58" i="3"/>
  <c r="G17" i="3" l="1"/>
  <c r="I17" i="3" s="1"/>
  <c r="Z61" i="3"/>
  <c r="AA61" i="3"/>
  <c r="P61" i="3"/>
  <c r="Q61" i="3" s="1"/>
  <c r="R61" i="3" s="1"/>
  <c r="AD61" i="3"/>
  <c r="AC61" i="3"/>
  <c r="A62" i="3"/>
  <c r="B62" i="3" s="1"/>
  <c r="T58" i="3"/>
  <c r="S59" i="3"/>
  <c r="V17" i="3"/>
  <c r="AE17" i="3"/>
  <c r="J17" i="3" l="1"/>
  <c r="L17" i="3" s="1"/>
  <c r="M17" i="3"/>
  <c r="N17" i="3" s="1"/>
  <c r="Z62" i="3"/>
  <c r="AC62" i="3"/>
  <c r="AD62" i="3"/>
  <c r="A63" i="3"/>
  <c r="B63" i="3" s="1"/>
  <c r="P62" i="3"/>
  <c r="Q62" i="3" s="1"/>
  <c r="R62" i="3" s="1"/>
  <c r="AA62" i="3"/>
  <c r="W17" i="3"/>
  <c r="S60" i="3"/>
  <c r="T59" i="3"/>
  <c r="A64" i="3" l="1"/>
  <c r="B64" i="3" s="1"/>
  <c r="AD63" i="3"/>
  <c r="AC63" i="3"/>
  <c r="Z63" i="3"/>
  <c r="AA63" i="3"/>
  <c r="P63" i="3"/>
  <c r="Q63" i="3" s="1"/>
  <c r="R63" i="3" s="1"/>
  <c r="AH18" i="3"/>
  <c r="AG18" i="3"/>
  <c r="U17" i="3"/>
  <c r="E18" i="3" s="1"/>
  <c r="H18" i="3" s="1"/>
  <c r="Y16" i="3"/>
  <c r="S61" i="3"/>
  <c r="T60" i="3"/>
  <c r="D18" i="3" l="1"/>
  <c r="G18" i="3" s="1"/>
  <c r="T61" i="3"/>
  <c r="S62" i="3"/>
  <c r="K18" i="3"/>
  <c r="P64" i="3"/>
  <c r="Q64" i="3" s="1"/>
  <c r="R64" i="3" s="1"/>
  <c r="A65" i="3"/>
  <c r="B65" i="3" s="1"/>
  <c r="AA64" i="3"/>
  <c r="Z64" i="3"/>
  <c r="AC64" i="3"/>
  <c r="AD64" i="3"/>
  <c r="F18" i="3" l="1"/>
  <c r="V18" i="3"/>
  <c r="AE18" i="3"/>
  <c r="AC65" i="3"/>
  <c r="Z65" i="3"/>
  <c r="AA65" i="3"/>
  <c r="A66" i="3"/>
  <c r="B66" i="3" s="1"/>
  <c r="P65" i="3"/>
  <c r="Q65" i="3" s="1"/>
  <c r="R65" i="3" s="1"/>
  <c r="AD65" i="3"/>
  <c r="S63" i="3"/>
  <c r="T62" i="3"/>
  <c r="I18" i="3"/>
  <c r="J18" i="3"/>
  <c r="M18" i="3"/>
  <c r="N18" i="3" s="1"/>
  <c r="A67" i="3" l="1"/>
  <c r="B67" i="3" s="1"/>
  <c r="AA66" i="3"/>
  <c r="Z66" i="3"/>
  <c r="AD66" i="3"/>
  <c r="P66" i="3"/>
  <c r="Q66" i="3" s="1"/>
  <c r="R66" i="3" s="1"/>
  <c r="AC66" i="3"/>
  <c r="W18" i="3"/>
  <c r="S64" i="3"/>
  <c r="T63" i="3"/>
  <c r="L18" i="3"/>
  <c r="A68" i="3" l="1"/>
  <c r="B68" i="3" s="1"/>
  <c r="AA67" i="3"/>
  <c r="AD67" i="3"/>
  <c r="AC67" i="3"/>
  <c r="Z67" i="3"/>
  <c r="P67" i="3"/>
  <c r="Q67" i="3" s="1"/>
  <c r="R67" i="3" s="1"/>
  <c r="AG19" i="3"/>
  <c r="U18" i="3"/>
  <c r="D19" i="3" s="1"/>
  <c r="AH19" i="3"/>
  <c r="Y17" i="3"/>
  <c r="T64" i="3"/>
  <c r="S65" i="3"/>
  <c r="E19" i="3" l="1"/>
  <c r="H19" i="3" s="1"/>
  <c r="K19" i="3" s="1"/>
  <c r="Z68" i="3"/>
  <c r="A69" i="3"/>
  <c r="B69" i="3" s="1"/>
  <c r="AC68" i="3"/>
  <c r="AD68" i="3"/>
  <c r="AA68" i="3"/>
  <c r="P68" i="3"/>
  <c r="Q68" i="3" s="1"/>
  <c r="R68" i="3" s="1"/>
  <c r="G19" i="3"/>
  <c r="T65" i="3"/>
  <c r="S66" i="3"/>
  <c r="F19" i="3" l="1"/>
  <c r="S67" i="3"/>
  <c r="T66" i="3"/>
  <c r="I19" i="3"/>
  <c r="J19" i="3"/>
  <c r="M19" i="3"/>
  <c r="N19" i="3" s="1"/>
  <c r="V19" i="3"/>
  <c r="AE19" i="3"/>
  <c r="A70" i="3"/>
  <c r="B70" i="3" s="1"/>
  <c r="AC69" i="3"/>
  <c r="AA69" i="3"/>
  <c r="Z69" i="3"/>
  <c r="P69" i="3"/>
  <c r="Q69" i="3" s="1"/>
  <c r="R69" i="3" s="1"/>
  <c r="AD69" i="3"/>
  <c r="W19" i="3" l="1"/>
  <c r="AA70" i="3"/>
  <c r="A71" i="3"/>
  <c r="B71" i="3" s="1"/>
  <c r="AD70" i="3"/>
  <c r="AC70" i="3"/>
  <c r="P70" i="3"/>
  <c r="Q70" i="3" s="1"/>
  <c r="R70" i="3" s="1"/>
  <c r="Z70" i="3"/>
  <c r="L19" i="3"/>
  <c r="S68" i="3"/>
  <c r="T67" i="3"/>
  <c r="P71" i="3" l="1"/>
  <c r="Q71" i="3" s="1"/>
  <c r="R71" i="3" s="1"/>
  <c r="A72" i="3"/>
  <c r="B72" i="3" s="1"/>
  <c r="Z71" i="3"/>
  <c r="AC71" i="3"/>
  <c r="AD71" i="3"/>
  <c r="AA71" i="3"/>
  <c r="AH20" i="3"/>
  <c r="U19" i="3"/>
  <c r="E20" i="3" s="1"/>
  <c r="H20" i="3" s="1"/>
  <c r="AG20" i="3"/>
  <c r="Y18" i="3"/>
  <c r="S69" i="3"/>
  <c r="T68" i="3"/>
  <c r="K20" i="3" l="1"/>
  <c r="S70" i="3"/>
  <c r="T69" i="3"/>
  <c r="D20" i="3"/>
  <c r="P72" i="3"/>
  <c r="Q72" i="3" s="1"/>
  <c r="R72" i="3" s="1"/>
  <c r="AD72" i="3"/>
  <c r="AC72" i="3"/>
  <c r="Z72" i="3"/>
  <c r="AA72" i="3"/>
  <c r="A73" i="3"/>
  <c r="B73" i="3" s="1"/>
  <c r="Z73" i="3" l="1"/>
  <c r="AD73" i="3"/>
  <c r="AC73" i="3"/>
  <c r="P73" i="3"/>
  <c r="Q73" i="3" s="1"/>
  <c r="R73" i="3" s="1"/>
  <c r="A74" i="3"/>
  <c r="B74" i="3" s="1"/>
  <c r="AA73" i="3"/>
  <c r="F20" i="3"/>
  <c r="G20" i="3"/>
  <c r="T70" i="3"/>
  <c r="S71" i="3"/>
  <c r="V20" i="3"/>
  <c r="AE20" i="3"/>
  <c r="Z74" i="3" l="1"/>
  <c r="AD74" i="3"/>
  <c r="AC74" i="3"/>
  <c r="P74" i="3"/>
  <c r="Q74" i="3" s="1"/>
  <c r="R74" i="3" s="1"/>
  <c r="AA74" i="3"/>
  <c r="A75" i="3"/>
  <c r="B75" i="3" s="1"/>
  <c r="I20" i="3"/>
  <c r="W20" i="3" s="1"/>
  <c r="J20" i="3"/>
  <c r="M20" i="3"/>
  <c r="N20" i="3" s="1"/>
  <c r="T71" i="3"/>
  <c r="S72" i="3"/>
  <c r="AC75" i="3" l="1"/>
  <c r="P75" i="3"/>
  <c r="Q75" i="3" s="1"/>
  <c r="R75" i="3" s="1"/>
  <c r="AD75" i="3"/>
  <c r="Z75" i="3"/>
  <c r="A76" i="3"/>
  <c r="B76" i="3" s="1"/>
  <c r="AA75" i="3"/>
  <c r="S73" i="3"/>
  <c r="T72" i="3"/>
  <c r="L20" i="3"/>
  <c r="A77" i="3" l="1"/>
  <c r="B77" i="3" s="1"/>
  <c r="AD76" i="3"/>
  <c r="AC76" i="3"/>
  <c r="Z76" i="3"/>
  <c r="AA76" i="3"/>
  <c r="P76" i="3"/>
  <c r="Q76" i="3" s="1"/>
  <c r="R76" i="3" s="1"/>
  <c r="AG21" i="3"/>
  <c r="U20" i="3"/>
  <c r="E21" i="3" s="1"/>
  <c r="H21" i="3" s="1"/>
  <c r="AH21" i="3"/>
  <c r="Y19" i="3"/>
  <c r="S74" i="3"/>
  <c r="T73" i="3"/>
  <c r="K21" i="3" l="1"/>
  <c r="AD77" i="3"/>
  <c r="A78" i="3"/>
  <c r="B78" i="3" s="1"/>
  <c r="AC77" i="3"/>
  <c r="AA77" i="3"/>
  <c r="Z77" i="3"/>
  <c r="P77" i="3"/>
  <c r="Q77" i="3" s="1"/>
  <c r="R77" i="3" s="1"/>
  <c r="T74" i="3"/>
  <c r="S75" i="3"/>
  <c r="D21" i="3"/>
  <c r="AD78" i="3" l="1"/>
  <c r="P78" i="3"/>
  <c r="Q78" i="3" s="1"/>
  <c r="R78" i="3" s="1"/>
  <c r="Z78" i="3"/>
  <c r="A79" i="3"/>
  <c r="B79" i="3" s="1"/>
  <c r="AC78" i="3"/>
  <c r="AA78" i="3"/>
  <c r="S76" i="3"/>
  <c r="T75" i="3"/>
  <c r="V21" i="3"/>
  <c r="AE21" i="3"/>
  <c r="F21" i="3"/>
  <c r="G21" i="3"/>
  <c r="I21" i="3" l="1"/>
  <c r="W21" i="3" s="1"/>
  <c r="J21" i="3"/>
  <c r="M21" i="3"/>
  <c r="N21" i="3" s="1"/>
  <c r="P79" i="3"/>
  <c r="Q79" i="3" s="1"/>
  <c r="R79" i="3" s="1"/>
  <c r="A80" i="3"/>
  <c r="B80" i="3" s="1"/>
  <c r="AA79" i="3"/>
  <c r="AD79" i="3"/>
  <c r="Z79" i="3"/>
  <c r="AC79" i="3"/>
  <c r="S77" i="3"/>
  <c r="T76" i="3"/>
  <c r="P80" i="3" l="1"/>
  <c r="Q80" i="3" s="1"/>
  <c r="R80" i="3" s="1"/>
  <c r="AA80" i="3"/>
  <c r="Z80" i="3"/>
  <c r="AC80" i="3"/>
  <c r="A81" i="3"/>
  <c r="B81" i="3" s="1"/>
  <c r="AD80" i="3"/>
  <c r="T77" i="3"/>
  <c r="S78" i="3"/>
  <c r="L21" i="3"/>
  <c r="AC81" i="3" l="1"/>
  <c r="A82" i="3"/>
  <c r="B82" i="3" s="1"/>
  <c r="AA81" i="3"/>
  <c r="P81" i="3"/>
  <c r="Q81" i="3" s="1"/>
  <c r="R81" i="3" s="1"/>
  <c r="Z81" i="3"/>
  <c r="AD81" i="3"/>
  <c r="AG22" i="3"/>
  <c r="U21" i="3"/>
  <c r="D22" i="3" s="1"/>
  <c r="AH22" i="3"/>
  <c r="Y20" i="3"/>
  <c r="T78" i="3"/>
  <c r="S79" i="3"/>
  <c r="E22" i="3" l="1"/>
  <c r="H22" i="3" s="1"/>
  <c r="K22" i="3" s="1"/>
  <c r="G22" i="3"/>
  <c r="S80" i="3"/>
  <c r="T79" i="3"/>
  <c r="Z82" i="3"/>
  <c r="A83" i="3"/>
  <c r="B83" i="3" s="1"/>
  <c r="AD82" i="3"/>
  <c r="P82" i="3"/>
  <c r="Q82" i="3" s="1"/>
  <c r="R82" i="3" s="1"/>
  <c r="AC82" i="3"/>
  <c r="AA82" i="3"/>
  <c r="F22" i="3" l="1"/>
  <c r="V22" i="3"/>
  <c r="AE22" i="3"/>
  <c r="AD83" i="3"/>
  <c r="AC83" i="3"/>
  <c r="P83" i="3"/>
  <c r="Q83" i="3" s="1"/>
  <c r="R83" i="3" s="1"/>
  <c r="Z83" i="3"/>
  <c r="AA83" i="3"/>
  <c r="A84" i="3"/>
  <c r="B84" i="3" s="1"/>
  <c r="T80" i="3"/>
  <c r="S81" i="3"/>
  <c r="I22" i="3"/>
  <c r="J22" i="3"/>
  <c r="M22" i="3"/>
  <c r="N22" i="3" s="1"/>
  <c r="T81" i="3" l="1"/>
  <c r="S82" i="3"/>
  <c r="AA84" i="3"/>
  <c r="AC84" i="3"/>
  <c r="Z84" i="3"/>
  <c r="AD84" i="3"/>
  <c r="P84" i="3"/>
  <c r="Q84" i="3" s="1"/>
  <c r="R84" i="3" s="1"/>
  <c r="A85" i="3"/>
  <c r="B85" i="3" s="1"/>
  <c r="W22" i="3"/>
  <c r="L22" i="3"/>
  <c r="AC85" i="3" l="1"/>
  <c r="AD85" i="3"/>
  <c r="P85" i="3"/>
  <c r="Q85" i="3" s="1"/>
  <c r="R85" i="3" s="1"/>
  <c r="A86" i="3"/>
  <c r="B86" i="3" s="1"/>
  <c r="AA85" i="3"/>
  <c r="Z85" i="3"/>
  <c r="T82" i="3"/>
  <c r="S83" i="3"/>
  <c r="AH23" i="3"/>
  <c r="AG23" i="3"/>
  <c r="U22" i="3"/>
  <c r="E23" i="3" s="1"/>
  <c r="H23" i="3" s="1"/>
  <c r="Y21" i="3"/>
  <c r="D23" i="3" l="1"/>
  <c r="G23" i="3" s="1"/>
  <c r="K23" i="3"/>
  <c r="Z86" i="3"/>
  <c r="P86" i="3"/>
  <c r="Q86" i="3" s="1"/>
  <c r="R86" i="3" s="1"/>
  <c r="AA86" i="3"/>
  <c r="A87" i="3"/>
  <c r="B87" i="3" s="1"/>
  <c r="AC86" i="3"/>
  <c r="AD86" i="3"/>
  <c r="S84" i="3"/>
  <c r="T83" i="3"/>
  <c r="F23" i="3" l="1"/>
  <c r="AD87" i="3"/>
  <c r="P87" i="3"/>
  <c r="Q87" i="3" s="1"/>
  <c r="R87" i="3" s="1"/>
  <c r="AA87" i="3"/>
  <c r="Z87" i="3"/>
  <c r="A88" i="3"/>
  <c r="B88" i="3" s="1"/>
  <c r="AC87" i="3"/>
  <c r="S85" i="3"/>
  <c r="T84" i="3"/>
  <c r="V23" i="3"/>
  <c r="AE23" i="3"/>
  <c r="I23" i="3"/>
  <c r="J23" i="3"/>
  <c r="M23" i="3"/>
  <c r="N23" i="3" s="1"/>
  <c r="P88" i="3" l="1"/>
  <c r="Q88" i="3" s="1"/>
  <c r="R88" i="3" s="1"/>
  <c r="AC88" i="3"/>
  <c r="A89" i="3"/>
  <c r="B89" i="3" s="1"/>
  <c r="Z88" i="3"/>
  <c r="AD88" i="3"/>
  <c r="AA88" i="3"/>
  <c r="W23" i="3"/>
  <c r="L23" i="3"/>
  <c r="T85" i="3"/>
  <c r="S86" i="3"/>
  <c r="U23" i="3" l="1"/>
  <c r="E24" i="3" s="1"/>
  <c r="H24" i="3" s="1"/>
  <c r="AG24" i="3"/>
  <c r="AH24" i="3"/>
  <c r="Y22" i="3"/>
  <c r="T86" i="3"/>
  <c r="S87" i="3"/>
  <c r="Z89" i="3"/>
  <c r="AA89" i="3"/>
  <c r="AD89" i="3"/>
  <c r="AC89" i="3"/>
  <c r="A90" i="3"/>
  <c r="B90" i="3" s="1"/>
  <c r="P89" i="3"/>
  <c r="Q89" i="3" s="1"/>
  <c r="R89" i="3" s="1"/>
  <c r="D24" i="3" l="1"/>
  <c r="G24" i="3" s="1"/>
  <c r="AC90" i="3"/>
  <c r="AA90" i="3"/>
  <c r="Z90" i="3"/>
  <c r="AD90" i="3"/>
  <c r="A91" i="3"/>
  <c r="B91" i="3" s="1"/>
  <c r="P90" i="3"/>
  <c r="Q90" i="3" s="1"/>
  <c r="R90" i="3" s="1"/>
  <c r="K24" i="3"/>
  <c r="T87" i="3"/>
  <c r="S88" i="3"/>
  <c r="F24" i="3" l="1"/>
  <c r="P91" i="3"/>
  <c r="Q91" i="3" s="1"/>
  <c r="R91" i="3" s="1"/>
  <c r="AD91" i="3"/>
  <c r="AA91" i="3"/>
  <c r="A92" i="3"/>
  <c r="B92" i="3" s="1"/>
  <c r="AC91" i="3"/>
  <c r="Z91" i="3"/>
  <c r="T88" i="3"/>
  <c r="S89" i="3"/>
  <c r="I24" i="3"/>
  <c r="J24" i="3"/>
  <c r="M24" i="3"/>
  <c r="N24" i="3" s="1"/>
  <c r="V24" i="3"/>
  <c r="AE24" i="3"/>
  <c r="W24" i="3" l="1"/>
  <c r="P92" i="3"/>
  <c r="Q92" i="3" s="1"/>
  <c r="R92" i="3" s="1"/>
  <c r="A93" i="3"/>
  <c r="B93" i="3" s="1"/>
  <c r="AC92" i="3"/>
  <c r="Z92" i="3"/>
  <c r="AA92" i="3"/>
  <c r="AD92" i="3"/>
  <c r="L24" i="3"/>
  <c r="S90" i="3"/>
  <c r="T89" i="3"/>
  <c r="A94" i="3" l="1"/>
  <c r="B94" i="3" s="1"/>
  <c r="AD93" i="3"/>
  <c r="Z93" i="3"/>
  <c r="AC93" i="3"/>
  <c r="P93" i="3"/>
  <c r="Q93" i="3" s="1"/>
  <c r="R93" i="3" s="1"/>
  <c r="AA93" i="3"/>
  <c r="AH25" i="3"/>
  <c r="U24" i="3"/>
  <c r="D25" i="3" s="1"/>
  <c r="AG25" i="3"/>
  <c r="Y23" i="3"/>
  <c r="S91" i="3"/>
  <c r="T90" i="3"/>
  <c r="E25" i="3" l="1"/>
  <c r="H25" i="3" s="1"/>
  <c r="K25" i="3" s="1"/>
  <c r="P94" i="3"/>
  <c r="Q94" i="3" s="1"/>
  <c r="R94" i="3" s="1"/>
  <c r="AC94" i="3"/>
  <c r="Z94" i="3"/>
  <c r="A95" i="3"/>
  <c r="B95" i="3" s="1"/>
  <c r="AA94" i="3"/>
  <c r="AD94" i="3"/>
  <c r="T91" i="3"/>
  <c r="S92" i="3"/>
  <c r="G25" i="3"/>
  <c r="F25" i="3" l="1"/>
  <c r="P95" i="3"/>
  <c r="Q95" i="3" s="1"/>
  <c r="R95" i="3" s="1"/>
  <c r="AA95" i="3"/>
  <c r="Z95" i="3"/>
  <c r="AC95" i="3"/>
  <c r="AD95" i="3"/>
  <c r="A96" i="3"/>
  <c r="B96" i="3" s="1"/>
  <c r="V25" i="3"/>
  <c r="AE25" i="3"/>
  <c r="I25" i="3"/>
  <c r="J25" i="3"/>
  <c r="M25" i="3"/>
  <c r="N25" i="3" s="1"/>
  <c r="S93" i="3"/>
  <c r="T92" i="3"/>
  <c r="A97" i="3" l="1"/>
  <c r="B97" i="3" s="1"/>
  <c r="P96" i="3"/>
  <c r="Q96" i="3" s="1"/>
  <c r="R96" i="3" s="1"/>
  <c r="AD96" i="3"/>
  <c r="Z96" i="3"/>
  <c r="AC96" i="3"/>
  <c r="AA96" i="3"/>
  <c r="L25" i="3"/>
  <c r="W25" i="3"/>
  <c r="T93" i="3"/>
  <c r="S94" i="3"/>
  <c r="Z97" i="3" l="1"/>
  <c r="AC97" i="3"/>
  <c r="AD97" i="3"/>
  <c r="AA97" i="3"/>
  <c r="A98" i="3"/>
  <c r="B98" i="3" s="1"/>
  <c r="P97" i="3"/>
  <c r="Q97" i="3" s="1"/>
  <c r="R97" i="3" s="1"/>
  <c r="AH26" i="3"/>
  <c r="AG26" i="3"/>
  <c r="U25" i="3"/>
  <c r="E26" i="3" s="1"/>
  <c r="H26" i="3" s="1"/>
  <c r="Y24" i="3"/>
  <c r="T94" i="3"/>
  <c r="S95" i="3"/>
  <c r="D26" i="3" l="1"/>
  <c r="G26" i="3" s="1"/>
  <c r="AA98" i="3"/>
  <c r="AD98" i="3"/>
  <c r="P98" i="3"/>
  <c r="Q98" i="3" s="1"/>
  <c r="R98" i="3" s="1"/>
  <c r="A99" i="3"/>
  <c r="B99" i="3" s="1"/>
  <c r="Z98" i="3"/>
  <c r="AC98" i="3"/>
  <c r="K26" i="3"/>
  <c r="S96" i="3"/>
  <c r="T95" i="3"/>
  <c r="F26" i="3" l="1"/>
  <c r="Z99" i="3"/>
  <c r="A100" i="3"/>
  <c r="B100" i="3" s="1"/>
  <c r="P99" i="3"/>
  <c r="Q99" i="3" s="1"/>
  <c r="R99" i="3" s="1"/>
  <c r="AC99" i="3"/>
  <c r="AA99" i="3"/>
  <c r="AD99" i="3"/>
  <c r="I26" i="3"/>
  <c r="J26" i="3"/>
  <c r="M26" i="3"/>
  <c r="N26" i="3" s="1"/>
  <c r="T96" i="3"/>
  <c r="S97" i="3"/>
  <c r="V26" i="3"/>
  <c r="AE26" i="3"/>
  <c r="W26" i="3" l="1"/>
  <c r="AC100" i="3"/>
  <c r="AA100" i="3"/>
  <c r="Z100" i="3"/>
  <c r="AD100" i="3"/>
  <c r="P100" i="3"/>
  <c r="Q100" i="3" s="1"/>
  <c r="R100" i="3" s="1"/>
  <c r="A101" i="3"/>
  <c r="B101" i="3" s="1"/>
  <c r="S98" i="3"/>
  <c r="T97" i="3"/>
  <c r="L26" i="3"/>
  <c r="AC101" i="3" l="1"/>
  <c r="Z101" i="3"/>
  <c r="P101" i="3"/>
  <c r="Q101" i="3" s="1"/>
  <c r="R101" i="3" s="1"/>
  <c r="A102" i="3"/>
  <c r="B102" i="3" s="1"/>
  <c r="AA101" i="3"/>
  <c r="AD101" i="3"/>
  <c r="AG27" i="3"/>
  <c r="AH27" i="3"/>
  <c r="U26" i="3"/>
  <c r="D27" i="3" s="1"/>
  <c r="Y25" i="3"/>
  <c r="T98" i="3"/>
  <c r="S99" i="3"/>
  <c r="E27" i="3" l="1"/>
  <c r="H27" i="3" s="1"/>
  <c r="K27" i="3" s="1"/>
  <c r="AD102" i="3"/>
  <c r="P102" i="3"/>
  <c r="Q102" i="3" s="1"/>
  <c r="R102" i="3" s="1"/>
  <c r="A103" i="3"/>
  <c r="B103" i="3" s="1"/>
  <c r="Z102" i="3"/>
  <c r="AC102" i="3"/>
  <c r="AA102" i="3"/>
  <c r="G27" i="3"/>
  <c r="S100" i="3"/>
  <c r="T99" i="3"/>
  <c r="F27" i="3" l="1"/>
  <c r="T100" i="3"/>
  <c r="S101" i="3"/>
  <c r="AD103" i="3"/>
  <c r="A104" i="3"/>
  <c r="B104" i="3" s="1"/>
  <c r="Z103" i="3"/>
  <c r="P103" i="3"/>
  <c r="Q103" i="3" s="1"/>
  <c r="R103" i="3" s="1"/>
  <c r="AA103" i="3"/>
  <c r="AC103" i="3"/>
  <c r="I27" i="3"/>
  <c r="J27" i="3"/>
  <c r="M27" i="3"/>
  <c r="N27" i="3" s="1"/>
  <c r="V27" i="3"/>
  <c r="AE27" i="3"/>
  <c r="W27" i="3" l="1"/>
  <c r="AA104" i="3"/>
  <c r="P104" i="3"/>
  <c r="Q104" i="3" s="1"/>
  <c r="R104" i="3" s="1"/>
  <c r="A105" i="3"/>
  <c r="B105" i="3" s="1"/>
  <c r="Z104" i="3"/>
  <c r="AC104" i="3"/>
  <c r="L27" i="3"/>
  <c r="S102" i="3"/>
  <c r="T101" i="3"/>
  <c r="A106" i="3" l="1"/>
  <c r="B106" i="3" s="1"/>
  <c r="AC105" i="3"/>
  <c r="Z105" i="3"/>
  <c r="P105" i="3"/>
  <c r="Q105" i="3" s="1"/>
  <c r="R105" i="3" s="1"/>
  <c r="AD105" i="3"/>
  <c r="AA105" i="3"/>
  <c r="S103" i="3"/>
  <c r="T102" i="3"/>
  <c r="U27" i="3"/>
  <c r="E28" i="3" s="1"/>
  <c r="H28" i="3" s="1"/>
  <c r="AG28" i="3"/>
  <c r="AH28" i="3"/>
  <c r="Y26" i="3"/>
  <c r="D28" i="3" l="1"/>
  <c r="F28" i="3" s="1"/>
  <c r="AA106" i="3"/>
  <c r="AC106" i="3"/>
  <c r="P106" i="3"/>
  <c r="Q106" i="3" s="1"/>
  <c r="R106" i="3" s="1"/>
  <c r="A107" i="3"/>
  <c r="B107" i="3" s="1"/>
  <c r="AD106" i="3"/>
  <c r="Z106" i="3"/>
  <c r="K28" i="3"/>
  <c r="S104" i="3"/>
  <c r="T103" i="3"/>
  <c r="G28" i="3" l="1"/>
  <c r="M28" i="3" s="1"/>
  <c r="N28" i="3" s="1"/>
  <c r="AD107" i="3"/>
  <c r="AC107" i="3"/>
  <c r="P107" i="3"/>
  <c r="Q107" i="3" s="1"/>
  <c r="R107" i="3" s="1"/>
  <c r="Z107" i="3"/>
  <c r="AA107" i="3"/>
  <c r="A108" i="3"/>
  <c r="B108" i="3" s="1"/>
  <c r="T104" i="3"/>
  <c r="S105" i="3"/>
  <c r="V28" i="3"/>
  <c r="AE28" i="3"/>
  <c r="J28" i="3" l="1"/>
  <c r="L28" i="3" s="1"/>
  <c r="I28" i="3"/>
  <c r="W28" i="3" s="1"/>
  <c r="S106" i="3"/>
  <c r="T105" i="3"/>
  <c r="Z108" i="3"/>
  <c r="AC108" i="3"/>
  <c r="P108" i="3"/>
  <c r="Q108" i="3" s="1"/>
  <c r="R108" i="3" s="1"/>
  <c r="AA108" i="3"/>
  <c r="A109" i="3"/>
  <c r="B109" i="3" s="1"/>
  <c r="AD108" i="3"/>
  <c r="A110" i="3" l="1"/>
  <c r="B110" i="3" s="1"/>
  <c r="AD109" i="3"/>
  <c r="AA109" i="3"/>
  <c r="P109" i="3"/>
  <c r="Q109" i="3" s="1"/>
  <c r="R109" i="3" s="1"/>
  <c r="Z109" i="3"/>
  <c r="AC109" i="3"/>
  <c r="U28" i="3"/>
  <c r="E29" i="3" s="1"/>
  <c r="H29" i="3" s="1"/>
  <c r="AG29" i="3"/>
  <c r="AH29" i="3"/>
  <c r="Y27" i="3"/>
  <c r="T106" i="3"/>
  <c r="S107" i="3"/>
  <c r="D29" i="3" l="1"/>
  <c r="F29" i="3" s="1"/>
  <c r="K29" i="3"/>
  <c r="AA110" i="3"/>
  <c r="AC110" i="3"/>
  <c r="A111" i="3"/>
  <c r="B111" i="3" s="1"/>
  <c r="P110" i="3"/>
  <c r="Q110" i="3" s="1"/>
  <c r="R110" i="3" s="1"/>
  <c r="AD110" i="3"/>
  <c r="Z110" i="3"/>
  <c r="T107" i="3"/>
  <c r="S108" i="3"/>
  <c r="G29" i="3" l="1"/>
  <c r="I29" i="3" s="1"/>
  <c r="AD111" i="3"/>
  <c r="Z111" i="3"/>
  <c r="A112" i="3"/>
  <c r="B112" i="3" s="1"/>
  <c r="AC111" i="3"/>
  <c r="P111" i="3"/>
  <c r="Q111" i="3" s="1"/>
  <c r="R111" i="3" s="1"/>
  <c r="AA111" i="3"/>
  <c r="V29" i="3"/>
  <c r="AE29" i="3"/>
  <c r="S109" i="3"/>
  <c r="T108" i="3"/>
  <c r="M29" i="3" l="1"/>
  <c r="N29" i="3" s="1"/>
  <c r="J29" i="3"/>
  <c r="L29" i="3" s="1"/>
  <c r="AC112" i="3"/>
  <c r="AA112" i="3"/>
  <c r="AD112" i="3"/>
  <c r="Z112" i="3"/>
  <c r="P112" i="3"/>
  <c r="Q112" i="3" s="1"/>
  <c r="R112" i="3" s="1"/>
  <c r="A113" i="3"/>
  <c r="B113" i="3" s="1"/>
  <c r="S110" i="3"/>
  <c r="T109" i="3"/>
  <c r="W29" i="3"/>
  <c r="P113" i="3" l="1"/>
  <c r="Q113" i="3" s="1"/>
  <c r="R113" i="3" s="1"/>
  <c r="AA113" i="3"/>
  <c r="A114" i="3"/>
  <c r="B114" i="3" s="1"/>
  <c r="AD113" i="3"/>
  <c r="AC113" i="3"/>
  <c r="Z113" i="3"/>
  <c r="S111" i="3"/>
  <c r="T110" i="3"/>
  <c r="AG30" i="3"/>
  <c r="AH30" i="3"/>
  <c r="U29" i="3"/>
  <c r="D30" i="3" s="1"/>
  <c r="Y28" i="3"/>
  <c r="E30" i="3" l="1"/>
  <c r="H30" i="3" s="1"/>
  <c r="K30" i="3" s="1"/>
  <c r="G30" i="3"/>
  <c r="P114" i="3"/>
  <c r="Q114" i="3" s="1"/>
  <c r="R114" i="3" s="1"/>
  <c r="AD114" i="3"/>
  <c r="AA114" i="3"/>
  <c r="Z114" i="3"/>
  <c r="AC114" i="3"/>
  <c r="A115" i="3"/>
  <c r="B115" i="3" s="1"/>
  <c r="S112" i="3"/>
  <c r="T111" i="3"/>
  <c r="F30" i="3" l="1"/>
  <c r="AC115" i="3"/>
  <c r="AA115" i="3"/>
  <c r="AD115" i="3"/>
  <c r="P115" i="3"/>
  <c r="Q115" i="3" s="1"/>
  <c r="R115" i="3" s="1"/>
  <c r="Z115" i="3"/>
  <c r="A116" i="3"/>
  <c r="B116" i="3" s="1"/>
  <c r="T112" i="3"/>
  <c r="S113" i="3"/>
  <c r="V30" i="3"/>
  <c r="AE30" i="3"/>
  <c r="I30" i="3"/>
  <c r="J30" i="3"/>
  <c r="M30" i="3"/>
  <c r="N30" i="3" s="1"/>
  <c r="AA116" i="3" l="1"/>
  <c r="A117" i="3"/>
  <c r="B117" i="3" s="1"/>
  <c r="Z116" i="3"/>
  <c r="P116" i="3"/>
  <c r="Q116" i="3" s="1"/>
  <c r="R116" i="3" s="1"/>
  <c r="AC116" i="3"/>
  <c r="AD116" i="3"/>
  <c r="T113" i="3"/>
  <c r="S114" i="3"/>
  <c r="W30" i="3"/>
  <c r="L30" i="3"/>
  <c r="T114" i="3" l="1"/>
  <c r="S115" i="3"/>
  <c r="AH31" i="3"/>
  <c r="U30" i="3"/>
  <c r="D31" i="3" s="1"/>
  <c r="AG31" i="3"/>
  <c r="Y29" i="3"/>
  <c r="AC117" i="3"/>
  <c r="Z117" i="3"/>
  <c r="P117" i="3"/>
  <c r="Q117" i="3" s="1"/>
  <c r="R117" i="3" s="1"/>
  <c r="AD117" i="3"/>
  <c r="AA117" i="3"/>
  <c r="A118" i="3"/>
  <c r="B118" i="3" s="1"/>
  <c r="E31" i="3" l="1"/>
  <c r="H31" i="3" s="1"/>
  <c r="K31" i="3" s="1"/>
  <c r="AC118" i="3"/>
  <c r="Z118" i="3"/>
  <c r="AA118" i="3"/>
  <c r="AD118" i="3"/>
  <c r="A119" i="3"/>
  <c r="B119" i="3" s="1"/>
  <c r="P118" i="3"/>
  <c r="Q118" i="3" s="1"/>
  <c r="R118" i="3" s="1"/>
  <c r="G31" i="3"/>
  <c r="S116" i="3"/>
  <c r="T115" i="3"/>
  <c r="F31" i="3" l="1"/>
  <c r="A120" i="3"/>
  <c r="B120" i="3" s="1"/>
  <c r="AD119" i="3"/>
  <c r="AA119" i="3"/>
  <c r="AC119" i="3"/>
  <c r="Z119" i="3"/>
  <c r="P119" i="3"/>
  <c r="Q119" i="3" s="1"/>
  <c r="R119" i="3" s="1"/>
  <c r="S117" i="3"/>
  <c r="T116" i="3"/>
  <c r="V31" i="3"/>
  <c r="AE31" i="3"/>
  <c r="I31" i="3"/>
  <c r="J31" i="3"/>
  <c r="M31" i="3"/>
  <c r="N31" i="3" s="1"/>
  <c r="W31" i="3" l="1"/>
  <c r="AD120" i="3"/>
  <c r="A121" i="3"/>
  <c r="B121" i="3" s="1"/>
  <c r="AC120" i="3"/>
  <c r="P120" i="3"/>
  <c r="Q120" i="3" s="1"/>
  <c r="R120" i="3" s="1"/>
  <c r="AA120" i="3"/>
  <c r="Z120" i="3"/>
  <c r="L31" i="3"/>
  <c r="T117" i="3"/>
  <c r="S118" i="3"/>
  <c r="AH32" i="3" l="1"/>
  <c r="U31" i="3"/>
  <c r="D32" i="3" s="1"/>
  <c r="AG32" i="3"/>
  <c r="Y30" i="3"/>
  <c r="T118" i="3"/>
  <c r="S119" i="3"/>
  <c r="Z121" i="3"/>
  <c r="AD121" i="3"/>
  <c r="AA121" i="3"/>
  <c r="A122" i="3"/>
  <c r="B122" i="3" s="1"/>
  <c r="P121" i="3"/>
  <c r="Q121" i="3" s="1"/>
  <c r="R121" i="3" s="1"/>
  <c r="AC121" i="3"/>
  <c r="E32" i="3" l="1"/>
  <c r="H32" i="3" s="1"/>
  <c r="K32" i="3" s="1"/>
  <c r="G32" i="3"/>
  <c r="AC122" i="3"/>
  <c r="AD122" i="3"/>
  <c r="A123" i="3"/>
  <c r="B123" i="3" s="1"/>
  <c r="Z122" i="3"/>
  <c r="AA122" i="3"/>
  <c r="P122" i="3"/>
  <c r="Q122" i="3" s="1"/>
  <c r="R122" i="3" s="1"/>
  <c r="T119" i="3"/>
  <c r="S120" i="3"/>
  <c r="F32" i="3" l="1"/>
  <c r="V32" i="3"/>
  <c r="AE32" i="3"/>
  <c r="T120" i="3"/>
  <c r="S121" i="3"/>
  <c r="AC123" i="3"/>
  <c r="P123" i="3"/>
  <c r="Q123" i="3" s="1"/>
  <c r="R123" i="3" s="1"/>
  <c r="AD123" i="3"/>
  <c r="A124" i="3"/>
  <c r="B124" i="3" s="1"/>
  <c r="Z123" i="3"/>
  <c r="AA123" i="3"/>
  <c r="I32" i="3"/>
  <c r="J32" i="3"/>
  <c r="M32" i="3"/>
  <c r="N32" i="3" s="1"/>
  <c r="Z124" i="3" l="1"/>
  <c r="AD124" i="3"/>
  <c r="A125" i="3"/>
  <c r="B125" i="3" s="1"/>
  <c r="AC124" i="3"/>
  <c r="AA124" i="3"/>
  <c r="P124" i="3"/>
  <c r="Q124" i="3" s="1"/>
  <c r="R124" i="3" s="1"/>
  <c r="T121" i="3"/>
  <c r="S122" i="3"/>
  <c r="W32" i="3"/>
  <c r="L32" i="3"/>
  <c r="U32" i="3" l="1"/>
  <c r="E33" i="3" s="1"/>
  <c r="H33" i="3" s="1"/>
  <c r="AH33" i="3"/>
  <c r="AG33" i="3"/>
  <c r="Y31" i="3"/>
  <c r="AC125" i="3"/>
  <c r="Z125" i="3"/>
  <c r="P125" i="3"/>
  <c r="Q125" i="3" s="1"/>
  <c r="R125" i="3" s="1"/>
  <c r="AD125" i="3"/>
  <c r="AA125" i="3"/>
  <c r="A126" i="3"/>
  <c r="B126" i="3" s="1"/>
  <c r="S123" i="3"/>
  <c r="T122" i="3"/>
  <c r="D33" i="3" l="1"/>
  <c r="F33" i="3" s="1"/>
  <c r="Z126" i="3"/>
  <c r="AC126" i="3"/>
  <c r="A127" i="3"/>
  <c r="B127" i="3" s="1"/>
  <c r="P126" i="3"/>
  <c r="Q126" i="3" s="1"/>
  <c r="R126" i="3" s="1"/>
  <c r="AA126" i="3"/>
  <c r="AD126" i="3"/>
  <c r="S124" i="3"/>
  <c r="T123" i="3"/>
  <c r="K33" i="3"/>
  <c r="G33" i="3" l="1"/>
  <c r="I33" i="3" s="1"/>
  <c r="AD127" i="3"/>
  <c r="AC127" i="3"/>
  <c r="Z127" i="3"/>
  <c r="P127" i="3"/>
  <c r="Q127" i="3" s="1"/>
  <c r="R127" i="3" s="1"/>
  <c r="A128" i="3"/>
  <c r="B128" i="3" s="1"/>
  <c r="AA127" i="3"/>
  <c r="V33" i="3"/>
  <c r="AE33" i="3"/>
  <c r="S125" i="3"/>
  <c r="T124" i="3"/>
  <c r="M33" i="3" l="1"/>
  <c r="N33" i="3" s="1"/>
  <c r="J33" i="3"/>
  <c r="L33" i="3" s="1"/>
  <c r="W33" i="3"/>
  <c r="AC128" i="3"/>
  <c r="Z128" i="3"/>
  <c r="AD128" i="3"/>
  <c r="AA128" i="3"/>
  <c r="A129" i="3"/>
  <c r="B129" i="3" s="1"/>
  <c r="P128" i="3"/>
  <c r="Q128" i="3" s="1"/>
  <c r="R128" i="3" s="1"/>
  <c r="T125" i="3"/>
  <c r="S126" i="3"/>
  <c r="AD129" i="3" l="1"/>
  <c r="AA129" i="3"/>
  <c r="P129" i="3"/>
  <c r="Q129" i="3" s="1"/>
  <c r="R129" i="3" s="1"/>
  <c r="A130" i="3"/>
  <c r="B130" i="3" s="1"/>
  <c r="Z129" i="3"/>
  <c r="AC129" i="3"/>
  <c r="T126" i="3"/>
  <c r="S127" i="3"/>
  <c r="AH34" i="3"/>
  <c r="AG34" i="3"/>
  <c r="U33" i="3"/>
  <c r="E34" i="3" s="1"/>
  <c r="H34" i="3" s="1"/>
  <c r="Y32" i="3"/>
  <c r="D34" i="3" l="1"/>
  <c r="F34" i="3" s="1"/>
  <c r="AA130" i="3"/>
  <c r="Z130" i="3"/>
  <c r="A131" i="3"/>
  <c r="B131" i="3" s="1"/>
  <c r="P130" i="3"/>
  <c r="Q130" i="3" s="1"/>
  <c r="R130" i="3" s="1"/>
  <c r="AC130" i="3"/>
  <c r="AD130" i="3"/>
  <c r="K34" i="3"/>
  <c r="T127" i="3"/>
  <c r="S128" i="3"/>
  <c r="G34" i="3" l="1"/>
  <c r="I34" i="3" s="1"/>
  <c r="Z131" i="3"/>
  <c r="P131" i="3"/>
  <c r="Q131" i="3" s="1"/>
  <c r="R131" i="3" s="1"/>
  <c r="AC131" i="3"/>
  <c r="A132" i="3"/>
  <c r="B132" i="3" s="1"/>
  <c r="AD131" i="3"/>
  <c r="AA131" i="3"/>
  <c r="S129" i="3"/>
  <c r="T128" i="3"/>
  <c r="V34" i="3"/>
  <c r="AE34" i="3"/>
  <c r="M34" i="3" l="1"/>
  <c r="N34" i="3" s="1"/>
  <c r="J34" i="3"/>
  <c r="L34" i="3" s="1"/>
  <c r="W34" i="3"/>
  <c r="P132" i="3"/>
  <c r="Q132" i="3" s="1"/>
  <c r="R132" i="3" s="1"/>
  <c r="AD132" i="3"/>
  <c r="AC132" i="3"/>
  <c r="Z132" i="3"/>
  <c r="A133" i="3"/>
  <c r="B133" i="3" s="1"/>
  <c r="AA132" i="3"/>
  <c r="S130" i="3"/>
  <c r="T129" i="3"/>
  <c r="AC133" i="3" l="1"/>
  <c r="AD133" i="3"/>
  <c r="P133" i="3"/>
  <c r="Q133" i="3" s="1"/>
  <c r="R133" i="3" s="1"/>
  <c r="Z133" i="3"/>
  <c r="A134" i="3"/>
  <c r="B134" i="3" s="1"/>
  <c r="AA133" i="3"/>
  <c r="T130" i="3"/>
  <c r="S131" i="3"/>
  <c r="U34" i="3"/>
  <c r="E35" i="3" s="1"/>
  <c r="H35" i="3" s="1"/>
  <c r="AH35" i="3"/>
  <c r="AG35" i="3"/>
  <c r="Y33" i="3"/>
  <c r="D35" i="3" l="1"/>
  <c r="F35" i="3" s="1"/>
  <c r="AA134" i="3"/>
  <c r="AD134" i="3"/>
  <c r="A135" i="3"/>
  <c r="B135" i="3" s="1"/>
  <c r="Z134" i="3"/>
  <c r="AC134" i="3"/>
  <c r="P134" i="3"/>
  <c r="Q134" i="3" s="1"/>
  <c r="R134" i="3" s="1"/>
  <c r="K35" i="3"/>
  <c r="T131" i="3"/>
  <c r="S132" i="3"/>
  <c r="G35" i="3" l="1"/>
  <c r="M35" i="3" s="1"/>
  <c r="N35" i="3" s="1"/>
  <c r="AC135" i="3"/>
  <c r="Z135" i="3"/>
  <c r="P135" i="3"/>
  <c r="Q135" i="3" s="1"/>
  <c r="R135" i="3" s="1"/>
  <c r="AD135" i="3"/>
  <c r="A136" i="3"/>
  <c r="B136" i="3" s="1"/>
  <c r="AA135" i="3"/>
  <c r="T132" i="3"/>
  <c r="S133" i="3"/>
  <c r="V35" i="3"/>
  <c r="AE35" i="3"/>
  <c r="J35" i="3" l="1"/>
  <c r="L35" i="3" s="1"/>
  <c r="I35" i="3"/>
  <c r="W35" i="3" s="1"/>
  <c r="AA136" i="3"/>
  <c r="Z136" i="3"/>
  <c r="P136" i="3"/>
  <c r="Q136" i="3" s="1"/>
  <c r="R136" i="3" s="1"/>
  <c r="AD136" i="3"/>
  <c r="AC136" i="3"/>
  <c r="A137" i="3"/>
  <c r="B137" i="3" s="1"/>
  <c r="T133" i="3"/>
  <c r="S134" i="3"/>
  <c r="AA137" i="3" l="1"/>
  <c r="Z137" i="3"/>
  <c r="AD137" i="3"/>
  <c r="P137" i="3"/>
  <c r="Q137" i="3" s="1"/>
  <c r="R137" i="3" s="1"/>
  <c r="AC137" i="3"/>
  <c r="A138" i="3"/>
  <c r="B138" i="3" s="1"/>
  <c r="T134" i="3"/>
  <c r="S135" i="3"/>
  <c r="AG36" i="3"/>
  <c r="AH36" i="3"/>
  <c r="U35" i="3"/>
  <c r="E36" i="3" s="1"/>
  <c r="H36" i="3" s="1"/>
  <c r="Y34" i="3"/>
  <c r="D36" i="3" l="1"/>
  <c r="F36" i="3" s="1"/>
  <c r="K36" i="3"/>
  <c r="AA138" i="3"/>
  <c r="AC138" i="3"/>
  <c r="AD138" i="3"/>
  <c r="Z138" i="3"/>
  <c r="A139" i="3"/>
  <c r="B139" i="3" s="1"/>
  <c r="P138" i="3"/>
  <c r="Q138" i="3" s="1"/>
  <c r="R138" i="3" s="1"/>
  <c r="S136" i="3"/>
  <c r="T135" i="3"/>
  <c r="G36" i="3" l="1"/>
  <c r="I36" i="3" s="1"/>
  <c r="T136" i="3"/>
  <c r="S137" i="3"/>
  <c r="A140" i="3"/>
  <c r="B140" i="3" s="1"/>
  <c r="P139" i="3"/>
  <c r="Q139" i="3" s="1"/>
  <c r="R139" i="3" s="1"/>
  <c r="AD139" i="3"/>
  <c r="AC139" i="3"/>
  <c r="Z139" i="3"/>
  <c r="AA139" i="3"/>
  <c r="V36" i="3"/>
  <c r="AE36" i="3"/>
  <c r="M36" i="3" l="1"/>
  <c r="N36" i="3" s="1"/>
  <c r="J36" i="3"/>
  <c r="L36" i="3" s="1"/>
  <c r="W36" i="3"/>
  <c r="AC140" i="3"/>
  <c r="P140" i="3"/>
  <c r="Q140" i="3" s="1"/>
  <c r="R140" i="3" s="1"/>
  <c r="AA140" i="3"/>
  <c r="AD140" i="3"/>
  <c r="Z140" i="3"/>
  <c r="A141" i="3"/>
  <c r="B141" i="3" s="1"/>
  <c r="T137" i="3"/>
  <c r="S138" i="3"/>
  <c r="P141" i="3" l="1"/>
  <c r="Q141" i="3" s="1"/>
  <c r="R141" i="3" s="1"/>
  <c r="AD141" i="3"/>
  <c r="AC141" i="3"/>
  <c r="Z141" i="3"/>
  <c r="A142" i="3"/>
  <c r="B142" i="3" s="1"/>
  <c r="AA141" i="3"/>
  <c r="AH37" i="3"/>
  <c r="U36" i="3"/>
  <c r="E37" i="3" s="1"/>
  <c r="H37" i="3" s="1"/>
  <c r="AG37" i="3"/>
  <c r="Y35" i="3"/>
  <c r="T138" i="3"/>
  <c r="S139" i="3"/>
  <c r="D37" i="3" l="1"/>
  <c r="G37" i="3" s="1"/>
  <c r="AC142" i="3"/>
  <c r="AA142" i="3"/>
  <c r="AD142" i="3"/>
  <c r="Z142" i="3"/>
  <c r="P142" i="3"/>
  <c r="Q142" i="3" s="1"/>
  <c r="R142" i="3" s="1"/>
  <c r="A143" i="3"/>
  <c r="B143" i="3" s="1"/>
  <c r="K37" i="3"/>
  <c r="S140" i="3"/>
  <c r="T139" i="3"/>
  <c r="F37" i="3" l="1"/>
  <c r="AD143" i="3"/>
  <c r="AA143" i="3"/>
  <c r="Z143" i="3"/>
  <c r="A144" i="3"/>
  <c r="B144" i="3" s="1"/>
  <c r="P143" i="3"/>
  <c r="Q143" i="3" s="1"/>
  <c r="R143" i="3" s="1"/>
  <c r="AC143" i="3"/>
  <c r="S141" i="3"/>
  <c r="T140" i="3"/>
  <c r="I37" i="3"/>
  <c r="J37" i="3"/>
  <c r="M37" i="3"/>
  <c r="N37" i="3" s="1"/>
  <c r="V37" i="3"/>
  <c r="AE37" i="3"/>
  <c r="W37" i="3" l="1"/>
  <c r="AC144" i="3"/>
  <c r="AD144" i="3"/>
  <c r="P144" i="3"/>
  <c r="Q144" i="3" s="1"/>
  <c r="R144" i="3" s="1"/>
  <c r="Z144" i="3"/>
  <c r="AA144" i="3"/>
  <c r="A145" i="3"/>
  <c r="B145" i="3" s="1"/>
  <c r="L37" i="3"/>
  <c r="S142" i="3"/>
  <c r="T141" i="3"/>
  <c r="A146" i="3" l="1"/>
  <c r="B146" i="3" s="1"/>
  <c r="Z145" i="3"/>
  <c r="AA145" i="3"/>
  <c r="AC145" i="3"/>
  <c r="AD145" i="3"/>
  <c r="P145" i="3"/>
  <c r="Q145" i="3" s="1"/>
  <c r="R145" i="3" s="1"/>
  <c r="S143" i="3"/>
  <c r="T142" i="3"/>
  <c r="AG38" i="3"/>
  <c r="U37" i="3"/>
  <c r="D38" i="3" s="1"/>
  <c r="AH38" i="3"/>
  <c r="Y36" i="3"/>
  <c r="E38" i="3" l="1"/>
  <c r="H38" i="3" s="1"/>
  <c r="K38" i="3" s="1"/>
  <c r="G38" i="3"/>
  <c r="P146" i="3"/>
  <c r="Q146" i="3" s="1"/>
  <c r="R146" i="3" s="1"/>
  <c r="AA146" i="3"/>
  <c r="AC146" i="3"/>
  <c r="Z146" i="3"/>
  <c r="AD146" i="3"/>
  <c r="A147" i="3"/>
  <c r="B147" i="3" s="1"/>
  <c r="T143" i="3"/>
  <c r="S144" i="3"/>
  <c r="F38" i="3" l="1"/>
  <c r="T144" i="3"/>
  <c r="S145" i="3"/>
  <c r="V38" i="3"/>
  <c r="AE38" i="3"/>
  <c r="AD147" i="3"/>
  <c r="AA147" i="3"/>
  <c r="Z147" i="3"/>
  <c r="A148" i="3"/>
  <c r="B148" i="3" s="1"/>
  <c r="P147" i="3"/>
  <c r="Q147" i="3" s="1"/>
  <c r="R147" i="3" s="1"/>
  <c r="AC147" i="3"/>
  <c r="I38" i="3"/>
  <c r="J38" i="3"/>
  <c r="M38" i="3"/>
  <c r="N38" i="3" s="1"/>
  <c r="W38" i="3" l="1"/>
  <c r="P148" i="3"/>
  <c r="Q148" i="3" s="1"/>
  <c r="R148" i="3" s="1"/>
  <c r="AD148" i="3"/>
  <c r="A149" i="3"/>
  <c r="B149" i="3" s="1"/>
  <c r="Z148" i="3"/>
  <c r="AA148" i="3"/>
  <c r="AC148" i="3"/>
  <c r="S146" i="3"/>
  <c r="T145" i="3"/>
  <c r="L38" i="3"/>
  <c r="Z149" i="3" l="1"/>
  <c r="A150" i="3"/>
  <c r="B150" i="3" s="1"/>
  <c r="AD149" i="3"/>
  <c r="AA149" i="3"/>
  <c r="AC149" i="3"/>
  <c r="P149" i="3"/>
  <c r="Q149" i="3" s="1"/>
  <c r="R149" i="3" s="1"/>
  <c r="U38" i="3"/>
  <c r="D39" i="3" s="1"/>
  <c r="AG39" i="3"/>
  <c r="AH39" i="3"/>
  <c r="Y37" i="3"/>
  <c r="T146" i="3"/>
  <c r="S147" i="3"/>
  <c r="E39" i="3" l="1"/>
  <c r="H39" i="3" s="1"/>
  <c r="K39" i="3" s="1"/>
  <c r="P150" i="3"/>
  <c r="Q150" i="3" s="1"/>
  <c r="R150" i="3" s="1"/>
  <c r="AA150" i="3"/>
  <c r="AC150" i="3"/>
  <c r="A151" i="3"/>
  <c r="B151" i="3" s="1"/>
  <c r="AD150" i="3"/>
  <c r="Z150" i="3"/>
  <c r="G39" i="3"/>
  <c r="S148" i="3"/>
  <c r="T147" i="3"/>
  <c r="F39" i="3" l="1"/>
  <c r="P151" i="3"/>
  <c r="Q151" i="3" s="1"/>
  <c r="R151" i="3" s="1"/>
  <c r="AC151" i="3"/>
  <c r="AD151" i="3"/>
  <c r="AA151" i="3"/>
  <c r="Z151" i="3"/>
  <c r="A152" i="3"/>
  <c r="B152" i="3" s="1"/>
  <c r="I39" i="3"/>
  <c r="J39" i="3"/>
  <c r="M39" i="3"/>
  <c r="N39" i="3" s="1"/>
  <c r="V39" i="3"/>
  <c r="AE39" i="3"/>
  <c r="T148" i="3"/>
  <c r="S149" i="3"/>
  <c r="W39" i="3" l="1"/>
  <c r="P152" i="3"/>
  <c r="Q152" i="3" s="1"/>
  <c r="R152" i="3" s="1"/>
  <c r="AC152" i="3"/>
  <c r="AA152" i="3"/>
  <c r="AD152" i="3"/>
  <c r="A153" i="3"/>
  <c r="B153" i="3" s="1"/>
  <c r="Z152" i="3"/>
  <c r="L39" i="3"/>
  <c r="T149" i="3"/>
  <c r="S150" i="3"/>
  <c r="AC153" i="3" l="1"/>
  <c r="A154" i="3"/>
  <c r="B154" i="3" s="1"/>
  <c r="Z153" i="3"/>
  <c r="AD153" i="3"/>
  <c r="P153" i="3"/>
  <c r="Q153" i="3" s="1"/>
  <c r="R153" i="3" s="1"/>
  <c r="AA153" i="3"/>
  <c r="AH40" i="3"/>
  <c r="AG40" i="3"/>
  <c r="U39" i="3"/>
  <c r="E40" i="3" s="1"/>
  <c r="H40" i="3" s="1"/>
  <c r="Y38" i="3"/>
  <c r="S151" i="3"/>
  <c r="T150" i="3"/>
  <c r="D40" i="3" l="1"/>
  <c r="F40" i="3" s="1"/>
  <c r="K40" i="3"/>
  <c r="S152" i="3"/>
  <c r="T151" i="3"/>
  <c r="AC154" i="3"/>
  <c r="P154" i="3"/>
  <c r="Q154" i="3" s="1"/>
  <c r="R154" i="3" s="1"/>
  <c r="AA154" i="3"/>
  <c r="Z154" i="3"/>
  <c r="A155" i="3"/>
  <c r="B155" i="3" s="1"/>
  <c r="AD154" i="3"/>
  <c r="G40" i="3" l="1"/>
  <c r="M40" i="3" s="1"/>
  <c r="N40" i="3" s="1"/>
  <c r="A156" i="3"/>
  <c r="B156" i="3" s="1"/>
  <c r="AD155" i="3"/>
  <c r="P155" i="3"/>
  <c r="Q155" i="3" s="1"/>
  <c r="R155" i="3" s="1"/>
  <c r="AC155" i="3"/>
  <c r="AA155" i="3"/>
  <c r="Z155" i="3"/>
  <c r="T152" i="3"/>
  <c r="S153" i="3"/>
  <c r="V40" i="3"/>
  <c r="AE40" i="3"/>
  <c r="I40" i="3" l="1"/>
  <c r="W40" i="3" s="1"/>
  <c r="J40" i="3"/>
  <c r="L40" i="3" s="1"/>
  <c r="AC156" i="3"/>
  <c r="P156" i="3"/>
  <c r="Q156" i="3" s="1"/>
  <c r="R156" i="3" s="1"/>
  <c r="AD156" i="3"/>
  <c r="Z156" i="3"/>
  <c r="A157" i="3"/>
  <c r="B157" i="3" s="1"/>
  <c r="AA156" i="3"/>
  <c r="S154" i="3"/>
  <c r="T153" i="3"/>
  <c r="A158" i="3" l="1"/>
  <c r="B158" i="3" s="1"/>
  <c r="P157" i="3"/>
  <c r="Q157" i="3" s="1"/>
  <c r="R157" i="3" s="1"/>
  <c r="AD157" i="3"/>
  <c r="Z157" i="3"/>
  <c r="AC157" i="3"/>
  <c r="AA157" i="3"/>
  <c r="AG41" i="3"/>
  <c r="AH41" i="3"/>
  <c r="U40" i="3"/>
  <c r="D41" i="3" s="1"/>
  <c r="Y39" i="3"/>
  <c r="T154" i="3"/>
  <c r="S155" i="3"/>
  <c r="E41" i="3" l="1"/>
  <c r="H41" i="3" s="1"/>
  <c r="K41" i="3" s="1"/>
  <c r="G41" i="3"/>
  <c r="P158" i="3"/>
  <c r="Q158" i="3" s="1"/>
  <c r="R158" i="3" s="1"/>
  <c r="AD158" i="3"/>
  <c r="A159" i="3"/>
  <c r="B159" i="3" s="1"/>
  <c r="AA158" i="3"/>
  <c r="Z158" i="3"/>
  <c r="AC158" i="3"/>
  <c r="S156" i="3"/>
  <c r="T155" i="3"/>
  <c r="F41" i="3" l="1"/>
  <c r="AD159" i="3"/>
  <c r="Z159" i="3"/>
  <c r="AA159" i="3"/>
  <c r="P159" i="3"/>
  <c r="Q159" i="3" s="1"/>
  <c r="R159" i="3" s="1"/>
  <c r="A160" i="3"/>
  <c r="B160" i="3" s="1"/>
  <c r="AC159" i="3"/>
  <c r="S157" i="3"/>
  <c r="T156" i="3"/>
  <c r="V41" i="3"/>
  <c r="AE41" i="3"/>
  <c r="I41" i="3"/>
  <c r="J41" i="3"/>
  <c r="M41" i="3"/>
  <c r="N41" i="3" s="1"/>
  <c r="A161" i="3" l="1"/>
  <c r="B161" i="3" s="1"/>
  <c r="P160" i="3"/>
  <c r="Q160" i="3" s="1"/>
  <c r="R160" i="3" s="1"/>
  <c r="AA160" i="3"/>
  <c r="AC160" i="3"/>
  <c r="Z160" i="3"/>
  <c r="AD160" i="3"/>
  <c r="W41" i="3"/>
  <c r="L41" i="3"/>
  <c r="S158" i="3"/>
  <c r="T157" i="3"/>
  <c r="A162" i="3" l="1"/>
  <c r="B162" i="3" s="1"/>
  <c r="AA161" i="3"/>
  <c r="Z161" i="3"/>
  <c r="AC161" i="3"/>
  <c r="AD161" i="3"/>
  <c r="P161" i="3"/>
  <c r="Q161" i="3" s="1"/>
  <c r="R161" i="3" s="1"/>
  <c r="T158" i="3"/>
  <c r="S159" i="3"/>
  <c r="AH42" i="3"/>
  <c r="U41" i="3"/>
  <c r="E42" i="3" s="1"/>
  <c r="H42" i="3" s="1"/>
  <c r="AG42" i="3"/>
  <c r="Y40" i="3"/>
  <c r="D42" i="3" l="1"/>
  <c r="F42" i="3" s="1"/>
  <c r="K42" i="3"/>
  <c r="A163" i="3"/>
  <c r="B163" i="3" s="1"/>
  <c r="Z162" i="3"/>
  <c r="AD162" i="3"/>
  <c r="AC162" i="3"/>
  <c r="AA162" i="3"/>
  <c r="P162" i="3"/>
  <c r="Q162" i="3" s="1"/>
  <c r="R162" i="3" s="1"/>
  <c r="S160" i="3"/>
  <c r="T159" i="3"/>
  <c r="G42" i="3" l="1"/>
  <c r="M42" i="3" s="1"/>
  <c r="N42" i="3" s="1"/>
  <c r="T160" i="3"/>
  <c r="S161" i="3"/>
  <c r="P163" i="3"/>
  <c r="Q163" i="3" s="1"/>
  <c r="R163" i="3" s="1"/>
  <c r="AC163" i="3"/>
  <c r="A164" i="3"/>
  <c r="B164" i="3" s="1"/>
  <c r="AA163" i="3"/>
  <c r="AD163" i="3"/>
  <c r="Z163" i="3"/>
  <c r="V42" i="3"/>
  <c r="AE42" i="3"/>
  <c r="J42" i="3" l="1"/>
  <c r="L42" i="3" s="1"/>
  <c r="I42" i="3"/>
  <c r="W42" i="3" s="1"/>
  <c r="AD164" i="3"/>
  <c r="AA164" i="3"/>
  <c r="Z164" i="3"/>
  <c r="A165" i="3"/>
  <c r="B165" i="3" s="1"/>
  <c r="AC164" i="3"/>
  <c r="P164" i="3"/>
  <c r="Q164" i="3" s="1"/>
  <c r="R164" i="3" s="1"/>
  <c r="T161" i="3"/>
  <c r="S162" i="3"/>
  <c r="AD165" i="3" l="1"/>
  <c r="A166" i="3"/>
  <c r="B166" i="3" s="1"/>
  <c r="AA165" i="3"/>
  <c r="AC165" i="3"/>
  <c r="Z165" i="3"/>
  <c r="P165" i="3"/>
  <c r="Q165" i="3" s="1"/>
  <c r="R165" i="3" s="1"/>
  <c r="T162" i="3"/>
  <c r="S163" i="3"/>
  <c r="AG43" i="3"/>
  <c r="AH43" i="3"/>
  <c r="U42" i="3"/>
  <c r="D43" i="3" s="1"/>
  <c r="Y41" i="3"/>
  <c r="E43" i="3" l="1"/>
  <c r="H43" i="3" s="1"/>
  <c r="K43" i="3" s="1"/>
  <c r="AD166" i="3"/>
  <c r="AC166" i="3"/>
  <c r="AA166" i="3"/>
  <c r="Z166" i="3"/>
  <c r="A167" i="3"/>
  <c r="B167" i="3" s="1"/>
  <c r="P166" i="3"/>
  <c r="Q166" i="3" s="1"/>
  <c r="R166" i="3" s="1"/>
  <c r="S164" i="3"/>
  <c r="T163" i="3"/>
  <c r="G43" i="3"/>
  <c r="F43" i="3" l="1"/>
  <c r="AD167" i="3"/>
  <c r="P167" i="3"/>
  <c r="Q167" i="3" s="1"/>
  <c r="R167" i="3" s="1"/>
  <c r="A168" i="3"/>
  <c r="B168" i="3" s="1"/>
  <c r="AA167" i="3"/>
  <c r="AC167" i="3"/>
  <c r="Z167" i="3"/>
  <c r="T164" i="3"/>
  <c r="S165" i="3"/>
  <c r="V43" i="3"/>
  <c r="AE43" i="3"/>
  <c r="I43" i="3"/>
  <c r="J43" i="3"/>
  <c r="M43" i="3"/>
  <c r="N43" i="3" s="1"/>
  <c r="W43" i="3" l="1"/>
  <c r="AD168" i="3"/>
  <c r="AC168" i="3"/>
  <c r="P168" i="3"/>
  <c r="Q168" i="3" s="1"/>
  <c r="R168" i="3" s="1"/>
  <c r="AA168" i="3"/>
  <c r="A169" i="3"/>
  <c r="B169" i="3" s="1"/>
  <c r="Z168" i="3"/>
  <c r="S166" i="3"/>
  <c r="T165" i="3"/>
  <c r="L43" i="3"/>
  <c r="AC169" i="3" l="1"/>
  <c r="P169" i="3"/>
  <c r="Q169" i="3" s="1"/>
  <c r="R169" i="3" s="1"/>
  <c r="AD169" i="3"/>
  <c r="Z169" i="3"/>
  <c r="AA169" i="3"/>
  <c r="A170" i="3"/>
  <c r="B170" i="3" s="1"/>
  <c r="AG44" i="3"/>
  <c r="AH44" i="3"/>
  <c r="U43" i="3"/>
  <c r="D44" i="3" s="1"/>
  <c r="Y42" i="3"/>
  <c r="T166" i="3"/>
  <c r="S167" i="3"/>
  <c r="E44" i="3" l="1"/>
  <c r="H44" i="3" s="1"/>
  <c r="K44" i="3" s="1"/>
  <c r="A171" i="3"/>
  <c r="B171" i="3" s="1"/>
  <c r="P170" i="3"/>
  <c r="Q170" i="3" s="1"/>
  <c r="R170" i="3" s="1"/>
  <c r="AA170" i="3"/>
  <c r="Z170" i="3"/>
  <c r="AD170" i="3"/>
  <c r="AC170" i="3"/>
  <c r="G44" i="3"/>
  <c r="T167" i="3"/>
  <c r="S168" i="3"/>
  <c r="F44" i="3" l="1"/>
  <c r="P171" i="3"/>
  <c r="Q171" i="3" s="1"/>
  <c r="R171" i="3" s="1"/>
  <c r="Z171" i="3"/>
  <c r="AD171" i="3"/>
  <c r="AC171" i="3"/>
  <c r="AA171" i="3"/>
  <c r="A172" i="3"/>
  <c r="B172" i="3" s="1"/>
  <c r="I44" i="3"/>
  <c r="J44" i="3"/>
  <c r="M44" i="3"/>
  <c r="N44" i="3" s="1"/>
  <c r="V44" i="3"/>
  <c r="AE44" i="3"/>
  <c r="T168" i="3"/>
  <c r="S169" i="3"/>
  <c r="W44" i="3" l="1"/>
  <c r="L44" i="3"/>
  <c r="AC172" i="3"/>
  <c r="AD172" i="3"/>
  <c r="Z172" i="3"/>
  <c r="A173" i="3"/>
  <c r="B173" i="3" s="1"/>
  <c r="AA172" i="3"/>
  <c r="P172" i="3"/>
  <c r="Q172" i="3" s="1"/>
  <c r="R172" i="3" s="1"/>
  <c r="S170" i="3"/>
  <c r="T169" i="3"/>
  <c r="AC173" i="3" l="1"/>
  <c r="AA173" i="3"/>
  <c r="A174" i="3"/>
  <c r="B174" i="3" s="1"/>
  <c r="P173" i="3"/>
  <c r="Q173" i="3" s="1"/>
  <c r="R173" i="3" s="1"/>
  <c r="AD173" i="3"/>
  <c r="Z173" i="3"/>
  <c r="S171" i="3"/>
  <c r="T170" i="3"/>
  <c r="U44" i="3"/>
  <c r="D45" i="3" s="1"/>
  <c r="AH45" i="3"/>
  <c r="AG45" i="3"/>
  <c r="Y43" i="3"/>
  <c r="E45" i="3" l="1"/>
  <c r="H45" i="3" s="1"/>
  <c r="K45" i="3" s="1"/>
  <c r="G45" i="3"/>
  <c r="AC174" i="3"/>
  <c r="AD174" i="3"/>
  <c r="AA174" i="3"/>
  <c r="P174" i="3"/>
  <c r="Q174" i="3" s="1"/>
  <c r="R174" i="3" s="1"/>
  <c r="Z174" i="3"/>
  <c r="A175" i="3"/>
  <c r="B175" i="3" s="1"/>
  <c r="S172" i="3"/>
  <c r="T171" i="3"/>
  <c r="F45" i="3" l="1"/>
  <c r="S173" i="3"/>
  <c r="T172" i="3"/>
  <c r="Z175" i="3"/>
  <c r="A176" i="3"/>
  <c r="B176" i="3" s="1"/>
  <c r="P175" i="3"/>
  <c r="Q175" i="3" s="1"/>
  <c r="R175" i="3" s="1"/>
  <c r="AD175" i="3"/>
  <c r="AA175" i="3"/>
  <c r="AC175" i="3"/>
  <c r="V45" i="3"/>
  <c r="AE45" i="3"/>
  <c r="I45" i="3"/>
  <c r="J45" i="3"/>
  <c r="M45" i="3"/>
  <c r="N45" i="3" s="1"/>
  <c r="W45" i="3" l="1"/>
  <c r="A177" i="3"/>
  <c r="B177" i="3" s="1"/>
  <c r="AA176" i="3"/>
  <c r="Z176" i="3"/>
  <c r="AC176" i="3"/>
  <c r="AD176" i="3"/>
  <c r="P176" i="3"/>
  <c r="Q176" i="3" s="1"/>
  <c r="R176" i="3" s="1"/>
  <c r="L45" i="3"/>
  <c r="S174" i="3"/>
  <c r="T173" i="3"/>
  <c r="P177" i="3" l="1"/>
  <c r="Q177" i="3" s="1"/>
  <c r="R177" i="3" s="1"/>
  <c r="A178" i="3"/>
  <c r="B178" i="3" s="1"/>
  <c r="AC177" i="3"/>
  <c r="AA177" i="3"/>
  <c r="AD177" i="3"/>
  <c r="Z177" i="3"/>
  <c r="T174" i="3"/>
  <c r="S175" i="3"/>
  <c r="U45" i="3"/>
  <c r="D46" i="3" s="1"/>
  <c r="AH46" i="3"/>
  <c r="AG46" i="3"/>
  <c r="Y44" i="3"/>
  <c r="E46" i="3" l="1"/>
  <c r="H46" i="3" s="1"/>
  <c r="K46" i="3" s="1"/>
  <c r="AC178" i="3"/>
  <c r="AD178" i="3"/>
  <c r="Z178" i="3"/>
  <c r="P178" i="3"/>
  <c r="Q178" i="3" s="1"/>
  <c r="R178" i="3" s="1"/>
  <c r="A179" i="3"/>
  <c r="B179" i="3" s="1"/>
  <c r="AA178" i="3"/>
  <c r="G46" i="3"/>
  <c r="S176" i="3"/>
  <c r="T175" i="3"/>
  <c r="F46" i="3" l="1"/>
  <c r="AA179" i="3"/>
  <c r="AC179" i="3"/>
  <c r="P179" i="3"/>
  <c r="Q179" i="3" s="1"/>
  <c r="R179" i="3" s="1"/>
  <c r="Z179" i="3"/>
  <c r="A180" i="3"/>
  <c r="B180" i="3" s="1"/>
  <c r="AD179" i="3"/>
  <c r="V46" i="3"/>
  <c r="AE46" i="3"/>
  <c r="T176" i="3"/>
  <c r="S177" i="3"/>
  <c r="I46" i="3"/>
  <c r="J46" i="3"/>
  <c r="M46" i="3"/>
  <c r="N46" i="3" s="1"/>
  <c r="AC180" i="3" l="1"/>
  <c r="A181" i="3"/>
  <c r="B181" i="3" s="1"/>
  <c r="AD180" i="3"/>
  <c r="P180" i="3"/>
  <c r="Q180" i="3" s="1"/>
  <c r="R180" i="3" s="1"/>
  <c r="Z180" i="3"/>
  <c r="AA180" i="3"/>
  <c r="S178" i="3"/>
  <c r="T177" i="3"/>
  <c r="L46" i="3"/>
  <c r="W46" i="3"/>
  <c r="AH47" i="3" l="1"/>
  <c r="U46" i="3"/>
  <c r="E47" i="3" s="1"/>
  <c r="H47" i="3" s="1"/>
  <c r="AG47" i="3"/>
  <c r="Y45" i="3"/>
  <c r="A182" i="3"/>
  <c r="B182" i="3" s="1"/>
  <c r="AD181" i="3"/>
  <c r="AA181" i="3"/>
  <c r="Z181" i="3"/>
  <c r="AC181" i="3"/>
  <c r="P181" i="3"/>
  <c r="Q181" i="3" s="1"/>
  <c r="R181" i="3" s="1"/>
  <c r="T178" i="3"/>
  <c r="S179" i="3"/>
  <c r="D47" i="3" l="1"/>
  <c r="G47" i="3" s="1"/>
  <c r="AC182" i="3"/>
  <c r="A183" i="3"/>
  <c r="B183" i="3" s="1"/>
  <c r="Z182" i="3"/>
  <c r="AD182" i="3"/>
  <c r="P182" i="3"/>
  <c r="Q182" i="3" s="1"/>
  <c r="R182" i="3" s="1"/>
  <c r="AA182" i="3"/>
  <c r="K47" i="3"/>
  <c r="S180" i="3"/>
  <c r="T179" i="3"/>
  <c r="F47" i="3" l="1"/>
  <c r="AA183" i="3"/>
  <c r="AC183" i="3"/>
  <c r="AD183" i="3"/>
  <c r="A184" i="3"/>
  <c r="B184" i="3" s="1"/>
  <c r="P183" i="3"/>
  <c r="Q183" i="3" s="1"/>
  <c r="R183" i="3" s="1"/>
  <c r="Z183" i="3"/>
  <c r="T180" i="3"/>
  <c r="S181" i="3"/>
  <c r="I47" i="3"/>
  <c r="J47" i="3"/>
  <c r="M47" i="3"/>
  <c r="N47" i="3" s="1"/>
  <c r="V47" i="3"/>
  <c r="AE47" i="3"/>
  <c r="W47" i="3" l="1"/>
  <c r="AA184" i="3"/>
  <c r="AD184" i="3"/>
  <c r="A185" i="3"/>
  <c r="B185" i="3" s="1"/>
  <c r="Z184" i="3"/>
  <c r="P184" i="3"/>
  <c r="Q184" i="3" s="1"/>
  <c r="R184" i="3" s="1"/>
  <c r="AC184" i="3"/>
  <c r="S182" i="3"/>
  <c r="T181" i="3"/>
  <c r="L47" i="3"/>
  <c r="U47" i="3" l="1"/>
  <c r="D48" i="3" s="1"/>
  <c r="AH48" i="3"/>
  <c r="AG48" i="3"/>
  <c r="Y46" i="3"/>
  <c r="AC185" i="3"/>
  <c r="AA185" i="3"/>
  <c r="AD185" i="3"/>
  <c r="A186" i="3"/>
  <c r="B186" i="3" s="1"/>
  <c r="Z185" i="3"/>
  <c r="P185" i="3"/>
  <c r="Q185" i="3" s="1"/>
  <c r="R185" i="3" s="1"/>
  <c r="T182" i="3"/>
  <c r="S183" i="3"/>
  <c r="E48" i="3" l="1"/>
  <c r="H48" i="3" s="1"/>
  <c r="K48" i="3" s="1"/>
  <c r="G48" i="3"/>
  <c r="Z186" i="3"/>
  <c r="AA186" i="3"/>
  <c r="P186" i="3"/>
  <c r="Q186" i="3" s="1"/>
  <c r="R186" i="3" s="1"/>
  <c r="AD186" i="3"/>
  <c r="A187" i="3"/>
  <c r="B187" i="3" s="1"/>
  <c r="AC186" i="3"/>
  <c r="T183" i="3"/>
  <c r="S184" i="3"/>
  <c r="F48" i="3" l="1"/>
  <c r="P187" i="3"/>
  <c r="Q187" i="3" s="1"/>
  <c r="R187" i="3" s="1"/>
  <c r="AC187" i="3"/>
  <c r="Z187" i="3"/>
  <c r="A188" i="3"/>
  <c r="B188" i="3" s="1"/>
  <c r="AA187" i="3"/>
  <c r="AD187" i="3"/>
  <c r="T184" i="3"/>
  <c r="S185" i="3"/>
  <c r="V48" i="3"/>
  <c r="AE48" i="3"/>
  <c r="I48" i="3"/>
  <c r="J48" i="3"/>
  <c r="M48" i="3"/>
  <c r="N48" i="3" s="1"/>
  <c r="W48" i="3" l="1"/>
  <c r="AA188" i="3"/>
  <c r="AC188" i="3"/>
  <c r="Z188" i="3"/>
  <c r="AD188" i="3"/>
  <c r="P188" i="3"/>
  <c r="Q188" i="3" s="1"/>
  <c r="R188" i="3" s="1"/>
  <c r="A189" i="3"/>
  <c r="B189" i="3" s="1"/>
  <c r="S186" i="3"/>
  <c r="T185" i="3"/>
  <c r="L48" i="3"/>
  <c r="AG49" i="3" l="1"/>
  <c r="AH49" i="3"/>
  <c r="U48" i="3"/>
  <c r="E49" i="3" s="1"/>
  <c r="H49" i="3" s="1"/>
  <c r="Y47" i="3"/>
  <c r="AA189" i="3"/>
  <c r="Z189" i="3"/>
  <c r="P189" i="3"/>
  <c r="Q189" i="3" s="1"/>
  <c r="R189" i="3" s="1"/>
  <c r="AC189" i="3"/>
  <c r="AD189" i="3"/>
  <c r="A190" i="3"/>
  <c r="B190" i="3" s="1"/>
  <c r="S187" i="3"/>
  <c r="T186" i="3"/>
  <c r="D49" i="3" l="1"/>
  <c r="F49" i="3" s="1"/>
  <c r="AD190" i="3"/>
  <c r="AA190" i="3"/>
  <c r="AC190" i="3"/>
  <c r="P190" i="3"/>
  <c r="Q190" i="3" s="1"/>
  <c r="R190" i="3" s="1"/>
  <c r="Z190" i="3"/>
  <c r="A191" i="3"/>
  <c r="B191" i="3" s="1"/>
  <c r="T187" i="3"/>
  <c r="S188" i="3"/>
  <c r="K49" i="3"/>
  <c r="G49" i="3" l="1"/>
  <c r="I49" i="3" s="1"/>
  <c r="Z191" i="3"/>
  <c r="P191" i="3"/>
  <c r="Q191" i="3" s="1"/>
  <c r="R191" i="3" s="1"/>
  <c r="AD191" i="3"/>
  <c r="AA191" i="3"/>
  <c r="AC191" i="3"/>
  <c r="A192" i="3"/>
  <c r="B192" i="3" s="1"/>
  <c r="V49" i="3"/>
  <c r="AE49" i="3"/>
  <c r="S189" i="3"/>
  <c r="T188" i="3"/>
  <c r="M49" i="3" l="1"/>
  <c r="N49" i="3" s="1"/>
  <c r="J49" i="3"/>
  <c r="L49" i="3" s="1"/>
  <c r="W49" i="3"/>
  <c r="P192" i="3"/>
  <c r="Q192" i="3" s="1"/>
  <c r="R192" i="3" s="1"/>
  <c r="AC192" i="3"/>
  <c r="AD192" i="3"/>
  <c r="AA192" i="3"/>
  <c r="A193" i="3"/>
  <c r="B193" i="3" s="1"/>
  <c r="Z192" i="3"/>
  <c r="T189" i="3"/>
  <c r="S190" i="3"/>
  <c r="Z193" i="3" l="1"/>
  <c r="AC193" i="3"/>
  <c r="AA193" i="3"/>
  <c r="A194" i="3"/>
  <c r="B194" i="3" s="1"/>
  <c r="AD193" i="3"/>
  <c r="P193" i="3"/>
  <c r="Q193" i="3" s="1"/>
  <c r="R193" i="3" s="1"/>
  <c r="AG50" i="3"/>
  <c r="AH50" i="3"/>
  <c r="U49" i="3"/>
  <c r="E50" i="3" s="1"/>
  <c r="H50" i="3" s="1"/>
  <c r="Y48" i="3"/>
  <c r="S191" i="3"/>
  <c r="T190" i="3"/>
  <c r="D50" i="3" l="1"/>
  <c r="F50" i="3" s="1"/>
  <c r="Z194" i="3"/>
  <c r="AC194" i="3"/>
  <c r="AD194" i="3"/>
  <c r="A195" i="3"/>
  <c r="B195" i="3" s="1"/>
  <c r="AA194" i="3"/>
  <c r="P194" i="3"/>
  <c r="Q194" i="3" s="1"/>
  <c r="R194" i="3" s="1"/>
  <c r="S192" i="3"/>
  <c r="T191" i="3"/>
  <c r="K50" i="3"/>
  <c r="G50" i="3" l="1"/>
  <c r="I50" i="3" s="1"/>
  <c r="AA195" i="3"/>
  <c r="P195" i="3"/>
  <c r="Q195" i="3" s="1"/>
  <c r="R195" i="3" s="1"/>
  <c r="Z195" i="3"/>
  <c r="AD195" i="3"/>
  <c r="AC195" i="3"/>
  <c r="A196" i="3"/>
  <c r="B196" i="3" s="1"/>
  <c r="V50" i="3"/>
  <c r="AE50" i="3"/>
  <c r="S193" i="3"/>
  <c r="T192" i="3"/>
  <c r="J50" i="3" l="1"/>
  <c r="L50" i="3" s="1"/>
  <c r="M50" i="3"/>
  <c r="N50" i="3" s="1"/>
  <c r="W50" i="3"/>
  <c r="A197" i="3"/>
  <c r="B197" i="3" s="1"/>
  <c r="Z196" i="3"/>
  <c r="AA196" i="3"/>
  <c r="P196" i="3"/>
  <c r="Q196" i="3" s="1"/>
  <c r="R196" i="3" s="1"/>
  <c r="AC196" i="3"/>
  <c r="AD196" i="3"/>
  <c r="T193" i="3"/>
  <c r="S194" i="3"/>
  <c r="AG51" i="3" l="1"/>
  <c r="AH51" i="3"/>
  <c r="U50" i="3"/>
  <c r="D51" i="3" s="1"/>
  <c r="Y49" i="3"/>
  <c r="S195" i="3"/>
  <c r="T194" i="3"/>
  <c r="AC197" i="3"/>
  <c r="Z197" i="3"/>
  <c r="AD197" i="3"/>
  <c r="A198" i="3"/>
  <c r="B198" i="3" s="1"/>
  <c r="AA197" i="3"/>
  <c r="P197" i="3"/>
  <c r="Q197" i="3" s="1"/>
  <c r="R197" i="3" s="1"/>
  <c r="E51" i="3" l="1"/>
  <c r="H51" i="3" s="1"/>
  <c r="K51" i="3" s="1"/>
  <c r="G51" i="3"/>
  <c r="A199" i="3"/>
  <c r="B199" i="3" s="1"/>
  <c r="P198" i="3"/>
  <c r="Q198" i="3" s="1"/>
  <c r="R198" i="3" s="1"/>
  <c r="AD198" i="3"/>
  <c r="AA198" i="3"/>
  <c r="Z198" i="3"/>
  <c r="AC198" i="3"/>
  <c r="T195" i="3"/>
  <c r="S196" i="3"/>
  <c r="F51" i="3" l="1"/>
  <c r="Z199" i="3"/>
  <c r="AD199" i="3"/>
  <c r="P199" i="3"/>
  <c r="Q199" i="3" s="1"/>
  <c r="R199" i="3" s="1"/>
  <c r="AA199" i="3"/>
  <c r="AC199" i="3"/>
  <c r="A200" i="3"/>
  <c r="B200" i="3" s="1"/>
  <c r="S197" i="3"/>
  <c r="T196" i="3"/>
  <c r="V51" i="3"/>
  <c r="AE51" i="3"/>
  <c r="I51" i="3"/>
  <c r="J51" i="3"/>
  <c r="M51" i="3"/>
  <c r="N51" i="3" s="1"/>
  <c r="W51" i="3" l="1"/>
  <c r="AA200" i="3"/>
  <c r="A201" i="3"/>
  <c r="B201" i="3" s="1"/>
  <c r="AD200" i="3"/>
  <c r="Z200" i="3"/>
  <c r="AC200" i="3"/>
  <c r="P200" i="3"/>
  <c r="Q200" i="3" s="1"/>
  <c r="R200" i="3" s="1"/>
  <c r="L51" i="3"/>
  <c r="S198" i="3"/>
  <c r="T197" i="3"/>
  <c r="T198" i="3" l="1"/>
  <c r="S199" i="3"/>
  <c r="AA201" i="3"/>
  <c r="P201" i="3"/>
  <c r="Q201" i="3" s="1"/>
  <c r="R201" i="3" s="1"/>
  <c r="AD201" i="3"/>
  <c r="Z201" i="3"/>
  <c r="AC201" i="3"/>
  <c r="A202" i="3"/>
  <c r="B202" i="3" s="1"/>
  <c r="U51" i="3"/>
  <c r="D52" i="3" s="1"/>
  <c r="AH52" i="3"/>
  <c r="AG52" i="3"/>
  <c r="Y50" i="3"/>
  <c r="E52" i="3" l="1"/>
  <c r="H52" i="3" s="1"/>
  <c r="K52" i="3" s="1"/>
  <c r="G52" i="3"/>
  <c r="AC202" i="3"/>
  <c r="AA202" i="3"/>
  <c r="P202" i="3"/>
  <c r="Q202" i="3" s="1"/>
  <c r="R202" i="3" s="1"/>
  <c r="AD202" i="3"/>
  <c r="Z202" i="3"/>
  <c r="A203" i="3"/>
  <c r="B203" i="3" s="1"/>
  <c r="S200" i="3"/>
  <c r="T199" i="3"/>
  <c r="F52" i="3" l="1"/>
  <c r="S201" i="3"/>
  <c r="T200" i="3"/>
  <c r="V52" i="3"/>
  <c r="AE52" i="3"/>
  <c r="AC203" i="3"/>
  <c r="Z203" i="3"/>
  <c r="A204" i="3"/>
  <c r="B204" i="3" s="1"/>
  <c r="AA203" i="3"/>
  <c r="AD203" i="3"/>
  <c r="P203" i="3"/>
  <c r="Q203" i="3" s="1"/>
  <c r="R203" i="3" s="1"/>
  <c r="I52" i="3"/>
  <c r="J52" i="3"/>
  <c r="M52" i="3"/>
  <c r="N52" i="3" s="1"/>
  <c r="W52" i="3" l="1"/>
  <c r="AC204" i="3"/>
  <c r="P204" i="3"/>
  <c r="Q204" i="3" s="1"/>
  <c r="R204" i="3" s="1"/>
  <c r="AA204" i="3"/>
  <c r="Z204" i="3"/>
  <c r="L52" i="3"/>
  <c r="S202" i="3"/>
  <c r="T201" i="3"/>
  <c r="T202" i="3" l="1"/>
  <c r="S203" i="3"/>
  <c r="AG53" i="3"/>
  <c r="AH53" i="3"/>
  <c r="U52" i="3"/>
  <c r="D53" i="3" s="1"/>
  <c r="Y51" i="3"/>
  <c r="E53" i="3" l="1"/>
  <c r="H53" i="3" s="1"/>
  <c r="K53" i="3" s="1"/>
  <c r="G53" i="3"/>
  <c r="T203" i="3"/>
  <c r="S204" i="3"/>
  <c r="F53" i="3" l="1"/>
  <c r="T204" i="3"/>
  <c r="V53" i="3"/>
  <c r="AE53" i="3"/>
  <c r="I53" i="3"/>
  <c r="J53" i="3"/>
  <c r="M53" i="3"/>
  <c r="N53" i="3" s="1"/>
  <c r="W53" i="3" l="1"/>
  <c r="L53" i="3"/>
  <c r="AH54" i="3" l="1"/>
  <c r="U53" i="3"/>
  <c r="E54" i="3" s="1"/>
  <c r="H54" i="3" s="1"/>
  <c r="AG54" i="3"/>
  <c r="Y52" i="3"/>
  <c r="D54" i="3" l="1"/>
  <c r="F54" i="3" s="1"/>
  <c r="K54" i="3"/>
  <c r="G54" i="3" l="1"/>
  <c r="I54" i="3" s="1"/>
  <c r="V54" i="3"/>
  <c r="AE54" i="3"/>
  <c r="W54" i="3" l="1"/>
  <c r="M54" i="3"/>
  <c r="N54" i="3" s="1"/>
  <c r="J54" i="3"/>
  <c r="L54" i="3" s="1"/>
  <c r="U54" i="3" l="1"/>
  <c r="D55" i="3" s="1"/>
  <c r="AH55" i="3"/>
  <c r="AG55" i="3"/>
  <c r="Y53" i="3"/>
  <c r="E55" i="3" l="1"/>
  <c r="H55" i="3" s="1"/>
  <c r="K55" i="3" s="1"/>
  <c r="G55" i="3"/>
  <c r="F55" i="3" l="1"/>
  <c r="V55" i="3"/>
  <c r="AE55" i="3"/>
  <c r="I55" i="3"/>
  <c r="J55" i="3"/>
  <c r="M55" i="3"/>
  <c r="N55" i="3" s="1"/>
  <c r="W55" i="3" l="1"/>
  <c r="L55" i="3"/>
  <c r="AG56" i="3" l="1"/>
  <c r="AH56" i="3"/>
  <c r="U55" i="3"/>
  <c r="E56" i="3" s="1"/>
  <c r="H56" i="3" s="1"/>
  <c r="Y54" i="3"/>
  <c r="K56" i="3" l="1"/>
  <c r="D56" i="3"/>
  <c r="F56" i="3" l="1"/>
  <c r="G56" i="3"/>
  <c r="V56" i="3"/>
  <c r="AE56" i="3"/>
  <c r="I56" i="3" l="1"/>
  <c r="W56" i="3" s="1"/>
  <c r="J56" i="3"/>
  <c r="M56" i="3"/>
  <c r="N56" i="3" s="1"/>
  <c r="L56" i="3" l="1"/>
  <c r="U56" i="3" l="1"/>
  <c r="D57" i="3" s="1"/>
  <c r="AG57" i="3"/>
  <c r="AH57" i="3"/>
  <c r="Y55" i="3"/>
  <c r="E57" i="3" l="1"/>
  <c r="H57" i="3" s="1"/>
  <c r="K57" i="3" s="1"/>
  <c r="G57" i="3"/>
  <c r="F57" i="3" l="1"/>
  <c r="V57" i="3"/>
  <c r="AE57" i="3"/>
  <c r="I57" i="3"/>
  <c r="J57" i="3"/>
  <c r="M57" i="3"/>
  <c r="N57" i="3" s="1"/>
  <c r="W57" i="3" l="1"/>
  <c r="L57" i="3"/>
  <c r="AH58" i="3" l="1"/>
  <c r="U57" i="3"/>
  <c r="E58" i="3" s="1"/>
  <c r="H58" i="3" s="1"/>
  <c r="AG58" i="3"/>
  <c r="Y56" i="3"/>
  <c r="D58" i="3" l="1"/>
  <c r="F58" i="3" s="1"/>
  <c r="K58" i="3"/>
  <c r="G58" i="3" l="1"/>
  <c r="I58" i="3" s="1"/>
  <c r="V58" i="3"/>
  <c r="AE58" i="3"/>
  <c r="W58" i="3" l="1"/>
  <c r="M58" i="3"/>
  <c r="N58" i="3" s="1"/>
  <c r="J58" i="3"/>
  <c r="L58" i="3" s="1"/>
  <c r="AH59" i="3" l="1"/>
  <c r="AG59" i="3"/>
  <c r="U58" i="3"/>
  <c r="D59" i="3" s="1"/>
  <c r="Y57" i="3"/>
  <c r="G59" i="3" l="1"/>
  <c r="E59" i="3"/>
  <c r="H59" i="3" s="1"/>
  <c r="K59" i="3" l="1"/>
  <c r="I59" i="3"/>
  <c r="J59" i="3"/>
  <c r="M59" i="3"/>
  <c r="N59" i="3" s="1"/>
  <c r="F59" i="3"/>
  <c r="L59" i="3" l="1"/>
  <c r="V59" i="3"/>
  <c r="W59" i="3" s="1"/>
  <c r="AE59" i="3"/>
  <c r="AH60" i="3" l="1"/>
  <c r="U59" i="3"/>
  <c r="D60" i="3" s="1"/>
  <c r="AG60" i="3"/>
  <c r="Y58" i="3"/>
  <c r="E60" i="3" l="1"/>
  <c r="H60" i="3" s="1"/>
  <c r="K60" i="3" s="1"/>
  <c r="G60" i="3"/>
  <c r="F60" i="3" l="1"/>
  <c r="V60" i="3"/>
  <c r="AE60" i="3"/>
  <c r="I60" i="3"/>
  <c r="J60" i="3"/>
  <c r="M60" i="3"/>
  <c r="N60" i="3" s="1"/>
  <c r="W60" i="3" l="1"/>
  <c r="L60" i="3"/>
  <c r="U60" i="3" l="1"/>
  <c r="D61" i="3" s="1"/>
  <c r="AH61" i="3"/>
  <c r="AG61" i="3"/>
  <c r="Y59" i="3"/>
  <c r="E61" i="3" l="1"/>
  <c r="H61" i="3" s="1"/>
  <c r="K61" i="3" s="1"/>
  <c r="G61" i="3"/>
  <c r="F61" i="3" l="1"/>
  <c r="I61" i="3"/>
  <c r="J61" i="3"/>
  <c r="M61" i="3"/>
  <c r="N61" i="3" s="1"/>
  <c r="V61" i="3"/>
  <c r="AE61" i="3"/>
  <c r="W61" i="3" l="1"/>
  <c r="L61" i="3"/>
  <c r="AG62" i="3" l="1"/>
  <c r="U61" i="3"/>
  <c r="D62" i="3" s="1"/>
  <c r="AH62" i="3"/>
  <c r="Y60" i="3"/>
  <c r="E62" i="3" l="1"/>
  <c r="H62" i="3" s="1"/>
  <c r="K62" i="3" s="1"/>
  <c r="G62" i="3"/>
  <c r="F62" i="3" l="1"/>
  <c r="V62" i="3"/>
  <c r="AE62" i="3"/>
  <c r="I62" i="3"/>
  <c r="J62" i="3"/>
  <c r="M62" i="3"/>
  <c r="N62" i="3" s="1"/>
  <c r="W62" i="3" l="1"/>
  <c r="L62" i="3"/>
  <c r="AH63" i="3" l="1"/>
  <c r="U62" i="3"/>
  <c r="D63" i="3" s="1"/>
  <c r="AG63" i="3"/>
  <c r="Y61" i="3"/>
  <c r="E63" i="3" l="1"/>
  <c r="H63" i="3" s="1"/>
  <c r="K63" i="3" s="1"/>
  <c r="G63" i="3"/>
  <c r="F63" i="3" l="1"/>
  <c r="V63" i="3"/>
  <c r="AE63" i="3"/>
  <c r="I63" i="3"/>
  <c r="J63" i="3"/>
  <c r="M63" i="3"/>
  <c r="N63" i="3" s="1"/>
  <c r="L63" i="3" l="1"/>
  <c r="W63" i="3"/>
  <c r="AH64" i="3" l="1"/>
  <c r="AG64" i="3"/>
  <c r="U63" i="3"/>
  <c r="D64" i="3" s="1"/>
  <c r="Y62" i="3"/>
  <c r="G64" i="3" l="1"/>
  <c r="E64" i="3"/>
  <c r="H64" i="3" s="1"/>
  <c r="K64" i="3" l="1"/>
  <c r="I64" i="3"/>
  <c r="J64" i="3"/>
  <c r="M64" i="3"/>
  <c r="N64" i="3" s="1"/>
  <c r="F64" i="3"/>
  <c r="L64" i="3" l="1"/>
  <c r="V64" i="3"/>
  <c r="W64" i="3" s="1"/>
  <c r="AE64" i="3"/>
  <c r="AG65" i="3" l="1"/>
  <c r="U64" i="3"/>
  <c r="E65" i="3" s="1"/>
  <c r="H65" i="3" s="1"/>
  <c r="AH65" i="3"/>
  <c r="Y63" i="3"/>
  <c r="D65" i="3" l="1"/>
  <c r="G65" i="3" s="1"/>
  <c r="K65" i="3"/>
  <c r="F65" i="3" l="1"/>
  <c r="I65" i="3"/>
  <c r="J65" i="3"/>
  <c r="M65" i="3"/>
  <c r="N65" i="3" s="1"/>
  <c r="V65" i="3"/>
  <c r="AE65" i="3"/>
  <c r="W65" i="3" l="1"/>
  <c r="L65" i="3"/>
  <c r="AH66" i="3" l="1"/>
  <c r="AG66" i="3"/>
  <c r="U65" i="3"/>
  <c r="E66" i="3" s="1"/>
  <c r="H66" i="3" s="1"/>
  <c r="Y64" i="3"/>
  <c r="K66" i="3" l="1"/>
  <c r="D66" i="3"/>
  <c r="F66" i="3" l="1"/>
  <c r="G66" i="3"/>
  <c r="V66" i="3"/>
  <c r="AE66" i="3"/>
  <c r="I66" i="3" l="1"/>
  <c r="W66" i="3" s="1"/>
  <c r="J66" i="3"/>
  <c r="M66" i="3"/>
  <c r="N66" i="3" s="1"/>
  <c r="L66" i="3" l="1"/>
  <c r="U66" i="3" l="1"/>
  <c r="E67" i="3" s="1"/>
  <c r="H67" i="3" s="1"/>
  <c r="AH67" i="3"/>
  <c r="AG67" i="3"/>
  <c r="Y65" i="3"/>
  <c r="D67" i="3" l="1"/>
  <c r="F67" i="3" s="1"/>
  <c r="K67" i="3"/>
  <c r="G67" i="3" l="1"/>
  <c r="I67" i="3" s="1"/>
  <c r="V67" i="3"/>
  <c r="AE67" i="3"/>
  <c r="M67" i="3" l="1"/>
  <c r="N67" i="3" s="1"/>
  <c r="J67" i="3"/>
  <c r="L67" i="3" s="1"/>
  <c r="W67" i="3"/>
  <c r="U67" i="3" l="1"/>
  <c r="D68" i="3" s="1"/>
  <c r="AG68" i="3"/>
  <c r="AH68" i="3"/>
  <c r="Y66" i="3"/>
  <c r="E68" i="3" l="1"/>
  <c r="H68" i="3" s="1"/>
  <c r="K68" i="3" s="1"/>
  <c r="G68" i="3"/>
  <c r="F68" i="3" l="1"/>
  <c r="I68" i="3"/>
  <c r="J68" i="3"/>
  <c r="M68" i="3"/>
  <c r="N68" i="3" s="1"/>
  <c r="V68" i="3"/>
  <c r="AE68" i="3"/>
  <c r="W68" i="3" l="1"/>
  <c r="L68" i="3"/>
  <c r="AG69" i="3" l="1"/>
  <c r="AH69" i="3"/>
  <c r="U68" i="3"/>
  <c r="E69" i="3" s="1"/>
  <c r="H69" i="3" s="1"/>
  <c r="Y67" i="3"/>
  <c r="D69" i="3" l="1"/>
  <c r="F69" i="3" s="1"/>
  <c r="K69" i="3"/>
  <c r="G69" i="3" l="1"/>
  <c r="I69" i="3" s="1"/>
  <c r="V69" i="3"/>
  <c r="AE69" i="3"/>
  <c r="M69" i="3" l="1"/>
  <c r="N69" i="3" s="1"/>
  <c r="W69" i="3"/>
  <c r="J69" i="3"/>
  <c r="L69" i="3" s="1"/>
  <c r="AH70" i="3" l="1"/>
  <c r="U69" i="3"/>
  <c r="D70" i="3" s="1"/>
  <c r="AG70" i="3"/>
  <c r="Y68" i="3"/>
  <c r="E70" i="3" l="1"/>
  <c r="H70" i="3" s="1"/>
  <c r="K70" i="3" s="1"/>
  <c r="G70" i="3"/>
  <c r="F70" i="3" l="1"/>
  <c r="V70" i="3"/>
  <c r="AE70" i="3"/>
  <c r="I70" i="3"/>
  <c r="J70" i="3"/>
  <c r="M70" i="3"/>
  <c r="N70" i="3" s="1"/>
  <c r="L70" i="3" l="1"/>
  <c r="W70" i="3"/>
  <c r="U70" i="3" l="1"/>
  <c r="E71" i="3" s="1"/>
  <c r="H71" i="3" s="1"/>
  <c r="AH71" i="3"/>
  <c r="AG71" i="3"/>
  <c r="Y69" i="3"/>
  <c r="D71" i="3" l="1"/>
  <c r="F71" i="3" s="1"/>
  <c r="K71" i="3"/>
  <c r="G71" i="3" l="1"/>
  <c r="I71" i="3" s="1"/>
  <c r="V71" i="3"/>
  <c r="AE71" i="3"/>
  <c r="J71" i="3" l="1"/>
  <c r="L71" i="3" s="1"/>
  <c r="M71" i="3"/>
  <c r="N71" i="3" s="1"/>
  <c r="W71" i="3"/>
  <c r="U71" i="3" l="1"/>
  <c r="D72" i="3" s="1"/>
  <c r="AH72" i="3"/>
  <c r="AG72" i="3"/>
  <c r="Y70" i="3"/>
  <c r="E72" i="3" l="1"/>
  <c r="H72" i="3" s="1"/>
  <c r="K72" i="3" s="1"/>
  <c r="G72" i="3"/>
  <c r="F72" i="3" l="1"/>
  <c r="V72" i="3"/>
  <c r="AE72" i="3"/>
  <c r="I72" i="3"/>
  <c r="J72" i="3"/>
  <c r="M72" i="3"/>
  <c r="N72" i="3" s="1"/>
  <c r="L72" i="3" l="1"/>
  <c r="W72" i="3"/>
  <c r="AG73" i="3" l="1"/>
  <c r="AH73" i="3"/>
  <c r="U72" i="3"/>
  <c r="D73" i="3" s="1"/>
  <c r="Y71" i="3"/>
  <c r="E73" i="3" l="1"/>
  <c r="H73" i="3" s="1"/>
  <c r="K73" i="3" s="1"/>
  <c r="G73" i="3"/>
  <c r="F73" i="3" l="1"/>
  <c r="V73" i="3"/>
  <c r="AE73" i="3"/>
  <c r="I73" i="3"/>
  <c r="J73" i="3"/>
  <c r="M73" i="3"/>
  <c r="N73" i="3" s="1"/>
  <c r="L73" i="3" l="1"/>
  <c r="W73" i="3"/>
  <c r="AH74" i="3" l="1"/>
  <c r="U73" i="3"/>
  <c r="D74" i="3" s="1"/>
  <c r="AG74" i="3"/>
  <c r="Y72" i="3"/>
  <c r="E74" i="3" l="1"/>
  <c r="H74" i="3" s="1"/>
  <c r="K74" i="3" s="1"/>
  <c r="G74" i="3"/>
  <c r="F74" i="3" l="1"/>
  <c r="V74" i="3"/>
  <c r="AE74" i="3"/>
  <c r="I74" i="3"/>
  <c r="J74" i="3"/>
  <c r="M74" i="3"/>
  <c r="N74" i="3" s="1"/>
  <c r="L74" i="3" l="1"/>
  <c r="W74" i="3"/>
  <c r="AG75" i="3" l="1"/>
  <c r="U74" i="3"/>
  <c r="E75" i="3" s="1"/>
  <c r="H75" i="3" s="1"/>
  <c r="AH75" i="3"/>
  <c r="Y73" i="3"/>
  <c r="D75" i="3" l="1"/>
  <c r="F75" i="3" s="1"/>
  <c r="K75" i="3"/>
  <c r="G75" i="3" l="1"/>
  <c r="M75" i="3" s="1"/>
  <c r="N75" i="3" s="1"/>
  <c r="V75" i="3"/>
  <c r="AE75" i="3"/>
  <c r="J75" i="3" l="1"/>
  <c r="L75" i="3" s="1"/>
  <c r="I75" i="3"/>
  <c r="W75" i="3" s="1"/>
  <c r="AG76" i="3" l="1"/>
  <c r="U75" i="3"/>
  <c r="D76" i="3" s="1"/>
  <c r="AH76" i="3"/>
  <c r="Y74" i="3"/>
  <c r="E76" i="3" l="1"/>
  <c r="H76" i="3" s="1"/>
  <c r="K76" i="3" s="1"/>
  <c r="G76" i="3"/>
  <c r="F76" i="3" l="1"/>
  <c r="V76" i="3"/>
  <c r="AE76" i="3"/>
  <c r="I76" i="3"/>
  <c r="J76" i="3"/>
  <c r="M76" i="3"/>
  <c r="N76" i="3" s="1"/>
  <c r="L76" i="3" l="1"/>
  <c r="W76" i="3"/>
  <c r="AG77" i="3" l="1"/>
  <c r="U76" i="3"/>
  <c r="D77" i="3" s="1"/>
  <c r="AH77" i="3"/>
  <c r="Y75" i="3"/>
  <c r="E77" i="3" l="1"/>
  <c r="H77" i="3" s="1"/>
  <c r="K77" i="3" s="1"/>
  <c r="G77" i="3"/>
  <c r="F77" i="3" l="1"/>
  <c r="V77" i="3"/>
  <c r="AE77" i="3"/>
  <c r="I77" i="3"/>
  <c r="J77" i="3"/>
  <c r="M77" i="3"/>
  <c r="N77" i="3" s="1"/>
  <c r="L77" i="3" l="1"/>
  <c r="W77" i="3"/>
  <c r="U77" i="3" l="1"/>
  <c r="E78" i="3" s="1"/>
  <c r="H78" i="3" s="1"/>
  <c r="AH78" i="3"/>
  <c r="AG78" i="3"/>
  <c r="Y76" i="3"/>
  <c r="D78" i="3" l="1"/>
  <c r="G78" i="3" s="1"/>
  <c r="K78" i="3"/>
  <c r="F78" i="3" l="1"/>
  <c r="I78" i="3"/>
  <c r="J78" i="3"/>
  <c r="M78" i="3"/>
  <c r="N78" i="3" s="1"/>
  <c r="V78" i="3"/>
  <c r="AE78" i="3"/>
  <c r="W78" i="3" l="1"/>
  <c r="L78" i="3"/>
  <c r="U78" i="3" l="1"/>
  <c r="E79" i="3" s="1"/>
  <c r="H79" i="3" s="1"/>
  <c r="AG79" i="3"/>
  <c r="AH79" i="3"/>
  <c r="Y77" i="3"/>
  <c r="D79" i="3" l="1"/>
  <c r="F79" i="3" s="1"/>
  <c r="K79" i="3"/>
  <c r="G79" i="3" l="1"/>
  <c r="I79" i="3" s="1"/>
  <c r="V79" i="3"/>
  <c r="AE79" i="3"/>
  <c r="M79" i="3" l="1"/>
  <c r="N79" i="3" s="1"/>
  <c r="J79" i="3"/>
  <c r="L79" i="3" s="1"/>
  <c r="W79" i="3"/>
  <c r="AH80" i="3" l="1"/>
  <c r="AG80" i="3"/>
  <c r="U79" i="3"/>
  <c r="E80" i="3" s="1"/>
  <c r="H80" i="3" s="1"/>
  <c r="Y78" i="3"/>
  <c r="D80" i="3" l="1"/>
  <c r="F80" i="3" s="1"/>
  <c r="K80" i="3"/>
  <c r="G80" i="3" l="1"/>
  <c r="J80" i="3" s="1"/>
  <c r="V80" i="3"/>
  <c r="AE80" i="3"/>
  <c r="I80" i="3" l="1"/>
  <c r="W80" i="3" s="1"/>
  <c r="M80" i="3"/>
  <c r="N80" i="3" s="1"/>
  <c r="L80" i="3"/>
  <c r="AG81" i="3" l="1"/>
  <c r="U80" i="3"/>
  <c r="E81" i="3" s="1"/>
  <c r="H81" i="3" s="1"/>
  <c r="AH81" i="3"/>
  <c r="Y79" i="3"/>
  <c r="D81" i="3" l="1"/>
  <c r="F81" i="3" s="1"/>
  <c r="K81" i="3"/>
  <c r="G81" i="3" l="1"/>
  <c r="I81" i="3" s="1"/>
  <c r="V81" i="3"/>
  <c r="AE81" i="3"/>
  <c r="M81" i="3" l="1"/>
  <c r="N81" i="3" s="1"/>
  <c r="J81" i="3"/>
  <c r="L81" i="3" s="1"/>
  <c r="W81" i="3"/>
  <c r="AG82" i="3" l="1"/>
  <c r="AH82" i="3"/>
  <c r="U81" i="3"/>
  <c r="E82" i="3" s="1"/>
  <c r="H82" i="3" s="1"/>
  <c r="Y80" i="3"/>
  <c r="D82" i="3" l="1"/>
  <c r="F82" i="3" s="1"/>
  <c r="K82" i="3"/>
  <c r="G82" i="3" l="1"/>
  <c r="M82" i="3" s="1"/>
  <c r="N82" i="3" s="1"/>
  <c r="V82" i="3"/>
  <c r="AE82" i="3"/>
  <c r="J82" i="3" l="1"/>
  <c r="L82" i="3" s="1"/>
  <c r="I82" i="3"/>
  <c r="W82" i="3" s="1"/>
  <c r="AG83" i="3" l="1"/>
  <c r="U82" i="3"/>
  <c r="D83" i="3" s="1"/>
  <c r="AH83" i="3"/>
  <c r="Y81" i="3"/>
  <c r="E83" i="3" l="1"/>
  <c r="H83" i="3" s="1"/>
  <c r="K83" i="3" s="1"/>
  <c r="G83" i="3"/>
  <c r="F83" i="3" l="1"/>
  <c r="V83" i="3"/>
  <c r="AE83" i="3"/>
  <c r="I83" i="3"/>
  <c r="J83" i="3"/>
  <c r="M83" i="3"/>
  <c r="N83" i="3" s="1"/>
  <c r="L83" i="3" l="1"/>
  <c r="W83" i="3"/>
  <c r="AG84" i="3" l="1"/>
  <c r="AH84" i="3"/>
  <c r="U83" i="3"/>
  <c r="E84" i="3" s="1"/>
  <c r="H84" i="3" s="1"/>
  <c r="Y82" i="3"/>
  <c r="K84" i="3" l="1"/>
  <c r="D84" i="3"/>
  <c r="V84" i="3" l="1"/>
  <c r="AE84" i="3"/>
  <c r="F84" i="3"/>
  <c r="G84" i="3"/>
  <c r="I84" i="3" l="1"/>
  <c r="W84" i="3" s="1"/>
  <c r="J84" i="3"/>
  <c r="M84" i="3"/>
  <c r="N84" i="3" s="1"/>
  <c r="L84" i="3" l="1"/>
  <c r="AH85" i="3" l="1"/>
  <c r="AG85" i="3"/>
  <c r="U84" i="3"/>
  <c r="E85" i="3" s="1"/>
  <c r="H85" i="3" s="1"/>
  <c r="Y83" i="3"/>
  <c r="D85" i="3" l="1"/>
  <c r="F85" i="3" s="1"/>
  <c r="K85" i="3"/>
  <c r="G85" i="3" l="1"/>
  <c r="I85" i="3" s="1"/>
  <c r="V85" i="3"/>
  <c r="AE85" i="3"/>
  <c r="W85" i="3" l="1"/>
  <c r="M85" i="3"/>
  <c r="N85" i="3" s="1"/>
  <c r="J85" i="3"/>
  <c r="L85" i="3" s="1"/>
  <c r="AG86" i="3" l="1"/>
  <c r="AH86" i="3"/>
  <c r="U85" i="3"/>
  <c r="D86" i="3" s="1"/>
  <c r="Y84" i="3"/>
  <c r="E86" i="3" l="1"/>
  <c r="H86" i="3" s="1"/>
  <c r="K86" i="3" s="1"/>
  <c r="G86" i="3"/>
  <c r="F86" i="3" l="1"/>
  <c r="V86" i="3"/>
  <c r="AE86" i="3"/>
  <c r="I86" i="3"/>
  <c r="J86" i="3"/>
  <c r="M86" i="3"/>
  <c r="N86" i="3" s="1"/>
  <c r="L86" i="3" l="1"/>
  <c r="W86" i="3"/>
  <c r="AH87" i="3" l="1"/>
  <c r="U86" i="3"/>
  <c r="D87" i="3" s="1"/>
  <c r="AG87" i="3"/>
  <c r="Y85" i="3"/>
  <c r="E87" i="3" l="1"/>
  <c r="H87" i="3" s="1"/>
  <c r="K87" i="3" s="1"/>
  <c r="G87" i="3"/>
  <c r="F87" i="3" l="1"/>
  <c r="V87" i="3"/>
  <c r="AE87" i="3"/>
  <c r="I87" i="3"/>
  <c r="J87" i="3"/>
  <c r="M87" i="3"/>
  <c r="N87" i="3" s="1"/>
  <c r="L87" i="3" l="1"/>
  <c r="W87" i="3"/>
  <c r="AG88" i="3" l="1"/>
  <c r="U87" i="3"/>
  <c r="E88" i="3" s="1"/>
  <c r="H88" i="3" s="1"/>
  <c r="AH88" i="3"/>
  <c r="Y86" i="3"/>
  <c r="D88" i="3" l="1"/>
  <c r="F88" i="3" s="1"/>
  <c r="K88" i="3"/>
  <c r="G88" i="3" l="1"/>
  <c r="I88" i="3" s="1"/>
  <c r="V88" i="3"/>
  <c r="AE88" i="3"/>
  <c r="M88" i="3" l="1"/>
  <c r="N88" i="3" s="1"/>
  <c r="J88" i="3"/>
  <c r="L88" i="3" s="1"/>
  <c r="W88" i="3"/>
  <c r="AG89" i="3" l="1"/>
  <c r="U88" i="3"/>
  <c r="D89" i="3" s="1"/>
  <c r="AH89" i="3"/>
  <c r="Y87" i="3"/>
  <c r="E89" i="3" l="1"/>
  <c r="H89" i="3" s="1"/>
  <c r="K89" i="3" s="1"/>
  <c r="G89" i="3"/>
  <c r="F89" i="3" l="1"/>
  <c r="V89" i="3"/>
  <c r="AE89" i="3"/>
  <c r="I89" i="3"/>
  <c r="J89" i="3"/>
  <c r="M89" i="3"/>
  <c r="N89" i="3" s="1"/>
  <c r="L89" i="3" l="1"/>
  <c r="W89" i="3"/>
  <c r="AH90" i="3" l="1"/>
  <c r="AG90" i="3"/>
  <c r="U89" i="3"/>
  <c r="D90" i="3" s="1"/>
  <c r="Y88" i="3"/>
  <c r="E90" i="3" l="1"/>
  <c r="H90" i="3" s="1"/>
  <c r="K90" i="3" s="1"/>
  <c r="G90" i="3"/>
  <c r="F90" i="3" l="1"/>
  <c r="V90" i="3"/>
  <c r="AE90" i="3"/>
  <c r="I90" i="3"/>
  <c r="J90" i="3"/>
  <c r="M90" i="3"/>
  <c r="N90" i="3" s="1"/>
  <c r="L90" i="3" l="1"/>
  <c r="W90" i="3"/>
  <c r="U90" i="3" l="1"/>
  <c r="D91" i="3" s="1"/>
  <c r="AG91" i="3"/>
  <c r="AH91" i="3"/>
  <c r="Y89" i="3"/>
  <c r="E91" i="3" l="1"/>
  <c r="H91" i="3" s="1"/>
  <c r="K91" i="3" s="1"/>
  <c r="G91" i="3"/>
  <c r="F91" i="3" l="1"/>
  <c r="I91" i="3"/>
  <c r="J91" i="3"/>
  <c r="M91" i="3"/>
  <c r="N91" i="3" s="1"/>
  <c r="V91" i="3"/>
  <c r="AE91" i="3"/>
  <c r="W91" i="3" l="1"/>
  <c r="L91" i="3"/>
  <c r="U91" i="3" l="1"/>
  <c r="E92" i="3" s="1"/>
  <c r="H92" i="3" s="1"/>
  <c r="AH92" i="3"/>
  <c r="AG92" i="3"/>
  <c r="Y90" i="3"/>
  <c r="D92" i="3" l="1"/>
  <c r="F92" i="3" s="1"/>
  <c r="K92" i="3"/>
  <c r="G92" i="3" l="1"/>
  <c r="I92" i="3" s="1"/>
  <c r="V92" i="3"/>
  <c r="AE92" i="3"/>
  <c r="M92" i="3" l="1"/>
  <c r="N92" i="3" s="1"/>
  <c r="J92" i="3"/>
  <c r="L92" i="3" s="1"/>
  <c r="W92" i="3"/>
  <c r="AG93" i="3" l="1"/>
  <c r="AH93" i="3"/>
  <c r="U92" i="3"/>
  <c r="E93" i="3" s="1"/>
  <c r="H93" i="3" s="1"/>
  <c r="Y91" i="3"/>
  <c r="D93" i="3" l="1"/>
  <c r="F93" i="3" s="1"/>
  <c r="K93" i="3"/>
  <c r="G93" i="3" l="1"/>
  <c r="I93" i="3" s="1"/>
  <c r="V93" i="3"/>
  <c r="AE93" i="3"/>
  <c r="M93" i="3" l="1"/>
  <c r="N93" i="3" s="1"/>
  <c r="J93" i="3"/>
  <c r="L93" i="3" s="1"/>
  <c r="W93" i="3"/>
  <c r="AH94" i="3" l="1"/>
  <c r="AG94" i="3"/>
  <c r="U93" i="3"/>
  <c r="D94" i="3" s="1"/>
  <c r="Y92" i="3"/>
  <c r="G94" i="3" l="1"/>
  <c r="E94" i="3"/>
  <c r="H94" i="3" s="1"/>
  <c r="K94" i="3" l="1"/>
  <c r="I94" i="3"/>
  <c r="J94" i="3"/>
  <c r="M94" i="3"/>
  <c r="N94" i="3" s="1"/>
  <c r="F94" i="3"/>
  <c r="V94" i="3" l="1"/>
  <c r="W94" i="3" s="1"/>
  <c r="AE94" i="3"/>
  <c r="L94" i="3"/>
  <c r="AH95" i="3" l="1"/>
  <c r="U94" i="3"/>
  <c r="E95" i="3" s="1"/>
  <c r="H95" i="3" s="1"/>
  <c r="AG95" i="3"/>
  <c r="Y93" i="3"/>
  <c r="D95" i="3" l="1"/>
  <c r="F95" i="3" s="1"/>
  <c r="K95" i="3"/>
  <c r="G95" i="3" l="1"/>
  <c r="I95" i="3" s="1"/>
  <c r="V95" i="3"/>
  <c r="AE95" i="3"/>
  <c r="M95" i="3" l="1"/>
  <c r="N95" i="3" s="1"/>
  <c r="J95" i="3"/>
  <c r="L95" i="3" s="1"/>
  <c r="W95" i="3"/>
  <c r="AH96" i="3" l="1"/>
  <c r="AG96" i="3"/>
  <c r="U95" i="3"/>
  <c r="E96" i="3" s="1"/>
  <c r="H96" i="3" s="1"/>
  <c r="Y94" i="3"/>
  <c r="K96" i="3" l="1"/>
  <c r="D96" i="3"/>
  <c r="F96" i="3" l="1"/>
  <c r="G96" i="3"/>
  <c r="V96" i="3"/>
  <c r="AE96" i="3"/>
  <c r="I96" i="3" l="1"/>
  <c r="W96" i="3" s="1"/>
  <c r="J96" i="3"/>
  <c r="M96" i="3"/>
  <c r="N96" i="3" s="1"/>
  <c r="L96" i="3" l="1"/>
  <c r="AH97" i="3" l="1"/>
  <c r="AG97" i="3"/>
  <c r="U96" i="3"/>
  <c r="E97" i="3" s="1"/>
  <c r="H97" i="3" s="1"/>
  <c r="Y95" i="3"/>
  <c r="K97" i="3" l="1"/>
  <c r="D97" i="3"/>
  <c r="F97" i="3" l="1"/>
  <c r="G97" i="3"/>
  <c r="V97" i="3"/>
  <c r="AE97" i="3"/>
  <c r="I97" i="3" l="1"/>
  <c r="W97" i="3" s="1"/>
  <c r="J97" i="3"/>
  <c r="M97" i="3"/>
  <c r="N97" i="3" s="1"/>
  <c r="L97" i="3" l="1"/>
  <c r="AH98" i="3" l="1"/>
  <c r="U97" i="3"/>
  <c r="D98" i="3" s="1"/>
  <c r="AG98" i="3"/>
  <c r="Y96" i="3"/>
  <c r="G98" i="3" l="1"/>
  <c r="E98" i="3"/>
  <c r="H98" i="3" s="1"/>
  <c r="K98" i="3" l="1"/>
  <c r="I98" i="3"/>
  <c r="J98" i="3"/>
  <c r="M98" i="3"/>
  <c r="N98" i="3" s="1"/>
  <c r="F98" i="3"/>
  <c r="L98" i="3" l="1"/>
  <c r="V98" i="3"/>
  <c r="W98" i="3" s="1"/>
  <c r="AE98" i="3"/>
  <c r="U98" i="3" l="1"/>
  <c r="E99" i="3" s="1"/>
  <c r="H99" i="3" s="1"/>
  <c r="AH99" i="3"/>
  <c r="AG99" i="3"/>
  <c r="Y97" i="3"/>
  <c r="D99" i="3" l="1"/>
  <c r="F99" i="3" s="1"/>
  <c r="K99" i="3"/>
  <c r="G99" i="3" l="1"/>
  <c r="I99" i="3" s="1"/>
  <c r="V99" i="3"/>
  <c r="AE99" i="3"/>
  <c r="M99" i="3" l="1"/>
  <c r="N99" i="3" s="1"/>
  <c r="W99" i="3"/>
  <c r="J99" i="3"/>
  <c r="L99" i="3" s="1"/>
  <c r="AH100" i="3" l="1"/>
  <c r="AG100" i="3"/>
  <c r="U99" i="3"/>
  <c r="E100" i="3" s="1"/>
  <c r="H100" i="3" s="1"/>
  <c r="Y98" i="3"/>
  <c r="K100" i="3" l="1"/>
  <c r="D100" i="3"/>
  <c r="F100" i="3" l="1"/>
  <c r="G100" i="3"/>
  <c r="V100" i="3"/>
  <c r="AE100" i="3"/>
  <c r="I100" i="3" l="1"/>
  <c r="W100" i="3" s="1"/>
  <c r="J100" i="3"/>
  <c r="M100" i="3"/>
  <c r="N100" i="3" s="1"/>
  <c r="L100" i="3" l="1"/>
  <c r="AG101" i="3" l="1"/>
  <c r="AH101" i="3"/>
  <c r="U100" i="3"/>
  <c r="D101" i="3" s="1"/>
  <c r="Y99" i="3"/>
  <c r="E101" i="3" l="1"/>
  <c r="H101" i="3" s="1"/>
  <c r="K101" i="3" s="1"/>
  <c r="G101" i="3"/>
  <c r="F101" i="3" l="1"/>
  <c r="V101" i="3"/>
  <c r="AE101" i="3"/>
  <c r="I101" i="3"/>
  <c r="J101" i="3"/>
  <c r="M101" i="3"/>
  <c r="N101" i="3" s="1"/>
  <c r="L101" i="3" l="1"/>
  <c r="W101" i="3"/>
  <c r="AH102" i="3" l="1"/>
  <c r="AG102" i="3"/>
  <c r="U101" i="3"/>
  <c r="E102" i="3" s="1"/>
  <c r="H102" i="3" s="1"/>
  <c r="Y100" i="3"/>
  <c r="D102" i="3" l="1"/>
  <c r="F102" i="3" s="1"/>
  <c r="K102" i="3"/>
  <c r="G102" i="3" l="1"/>
  <c r="I102" i="3" s="1"/>
  <c r="V102" i="3"/>
  <c r="AE102" i="3"/>
  <c r="J102" i="3" l="1"/>
  <c r="L102" i="3" s="1"/>
  <c r="M102" i="3"/>
  <c r="N102" i="3" s="1"/>
  <c r="W102" i="3"/>
  <c r="AG103" i="3" l="1"/>
  <c r="AH103" i="3"/>
  <c r="U102" i="3"/>
  <c r="D103" i="3" s="1"/>
  <c r="Y101" i="3"/>
  <c r="E103" i="3" l="1"/>
  <c r="H103" i="3" s="1"/>
  <c r="K103" i="3" s="1"/>
  <c r="G103" i="3"/>
  <c r="F103" i="3" l="1"/>
  <c r="I103" i="3"/>
  <c r="J103" i="3"/>
  <c r="M103" i="3"/>
  <c r="N103" i="3" s="1"/>
  <c r="V103" i="3"/>
  <c r="AE103" i="3"/>
  <c r="W103" i="3" l="1"/>
  <c r="L103" i="3"/>
  <c r="U103" i="3" l="1"/>
  <c r="D104" i="3" s="1"/>
  <c r="AG104" i="3"/>
  <c r="AH104" i="3"/>
  <c r="Y102" i="3"/>
  <c r="E104" i="3" l="1"/>
  <c r="H104" i="3" s="1"/>
  <c r="K104" i="3" s="1"/>
  <c r="G104" i="3"/>
  <c r="F104" i="3" l="1"/>
  <c r="I104" i="3"/>
  <c r="J104" i="3"/>
  <c r="M104" i="3"/>
  <c r="N104" i="3" s="1"/>
  <c r="V104" i="3"/>
  <c r="AE104" i="3"/>
  <c r="W104" i="3" l="1"/>
  <c r="L104" i="3"/>
  <c r="AD104" i="3"/>
  <c r="AG105" i="3" l="1"/>
  <c r="U104" i="3"/>
  <c r="E105" i="3" s="1"/>
  <c r="H105" i="3" s="1"/>
  <c r="AH105" i="3"/>
  <c r="Y103" i="3"/>
  <c r="D105" i="3" l="1"/>
  <c r="G105" i="3" s="1"/>
  <c r="K105" i="3"/>
  <c r="F105" i="3" l="1"/>
  <c r="I105" i="3"/>
  <c r="J105" i="3"/>
  <c r="M105" i="3"/>
  <c r="N105" i="3" s="1"/>
  <c r="V105" i="3"/>
  <c r="AE105" i="3"/>
  <c r="W105" i="3" l="1"/>
  <c r="L105" i="3"/>
  <c r="AH106" i="3" l="1"/>
  <c r="AG106" i="3"/>
  <c r="U105" i="3"/>
  <c r="D106" i="3" s="1"/>
  <c r="Y104" i="3"/>
  <c r="G106" i="3" l="1"/>
  <c r="E106" i="3"/>
  <c r="H106" i="3" s="1"/>
  <c r="I106" i="3" l="1"/>
  <c r="J106" i="3"/>
  <c r="M106" i="3"/>
  <c r="N106" i="3" s="1"/>
  <c r="K106" i="3"/>
  <c r="F106" i="3"/>
  <c r="V106" i="3" l="1"/>
  <c r="W106" i="3" s="1"/>
  <c r="AE106" i="3"/>
  <c r="L106" i="3"/>
  <c r="U106" i="3" l="1"/>
  <c r="E107" i="3" s="1"/>
  <c r="H107" i="3" s="1"/>
  <c r="AH107" i="3"/>
  <c r="AG107" i="3"/>
  <c r="Y105" i="3"/>
  <c r="K107" i="3" l="1"/>
  <c r="D107" i="3"/>
  <c r="F107" i="3" l="1"/>
  <c r="G107" i="3"/>
  <c r="V107" i="3"/>
  <c r="AE107" i="3"/>
  <c r="I107" i="3" l="1"/>
  <c r="W107" i="3" s="1"/>
  <c r="J107" i="3"/>
  <c r="M107" i="3"/>
  <c r="N107" i="3" s="1"/>
  <c r="L107" i="3" l="1"/>
  <c r="AG108" i="3" l="1"/>
  <c r="U107" i="3"/>
  <c r="D108" i="3" s="1"/>
  <c r="AH108" i="3"/>
  <c r="Y106" i="3"/>
  <c r="E108" i="3" l="1"/>
  <c r="H108" i="3" s="1"/>
  <c r="K108" i="3" s="1"/>
  <c r="G108" i="3"/>
  <c r="F108" i="3" l="1"/>
  <c r="I108" i="3"/>
  <c r="J108" i="3"/>
  <c r="M108" i="3"/>
  <c r="N108" i="3" s="1"/>
  <c r="V108" i="3"/>
  <c r="AE108" i="3"/>
  <c r="W108" i="3" l="1"/>
  <c r="L108" i="3"/>
  <c r="U108" i="3" l="1"/>
  <c r="D109" i="3" s="1"/>
  <c r="AH109" i="3"/>
  <c r="AG109" i="3"/>
  <c r="Y107" i="3"/>
  <c r="E109" i="3" l="1"/>
  <c r="H109" i="3" s="1"/>
  <c r="K109" i="3" s="1"/>
  <c r="G109" i="3"/>
  <c r="F109" i="3" l="1"/>
  <c r="I109" i="3"/>
  <c r="J109" i="3"/>
  <c r="M109" i="3"/>
  <c r="N109" i="3" s="1"/>
  <c r="V109" i="3"/>
  <c r="AE109" i="3"/>
  <c r="W109" i="3" l="1"/>
  <c r="L109" i="3"/>
  <c r="AH110" i="3" l="1"/>
  <c r="AG110" i="3"/>
  <c r="U109" i="3"/>
  <c r="E110" i="3" s="1"/>
  <c r="H110" i="3" s="1"/>
  <c r="Y108" i="3"/>
  <c r="D110" i="3" l="1"/>
  <c r="F110" i="3" s="1"/>
  <c r="K110" i="3"/>
  <c r="G110" i="3" l="1"/>
  <c r="I110" i="3" s="1"/>
  <c r="V110" i="3"/>
  <c r="AE110" i="3"/>
  <c r="M110" i="3" l="1"/>
  <c r="N110" i="3" s="1"/>
  <c r="J110" i="3"/>
  <c r="L110" i="3" s="1"/>
  <c r="W110" i="3"/>
  <c r="AG111" i="3" l="1"/>
  <c r="AH111" i="3"/>
  <c r="U110" i="3"/>
  <c r="E111" i="3" s="1"/>
  <c r="H111" i="3" s="1"/>
  <c r="Y109" i="3"/>
  <c r="D111" i="3" l="1"/>
  <c r="F111" i="3" s="1"/>
  <c r="K111" i="3"/>
  <c r="G111" i="3" l="1"/>
  <c r="I111" i="3" s="1"/>
  <c r="V111" i="3"/>
  <c r="AE111" i="3"/>
  <c r="W111" i="3" l="1"/>
  <c r="M111" i="3"/>
  <c r="N111" i="3" s="1"/>
  <c r="J111" i="3"/>
  <c r="L111" i="3" s="1"/>
  <c r="AG112" i="3" l="1"/>
  <c r="U111" i="3"/>
  <c r="E112" i="3" s="1"/>
  <c r="H112" i="3" s="1"/>
  <c r="AH112" i="3"/>
  <c r="Y110" i="3"/>
  <c r="D112" i="3" l="1"/>
  <c r="F112" i="3" s="1"/>
  <c r="K112" i="3"/>
  <c r="G112" i="3" l="1"/>
  <c r="I112" i="3" s="1"/>
  <c r="V112" i="3"/>
  <c r="AE112" i="3"/>
  <c r="J112" i="3" l="1"/>
  <c r="L112" i="3" s="1"/>
  <c r="M112" i="3"/>
  <c r="N112" i="3" s="1"/>
  <c r="W112" i="3"/>
  <c r="U112" i="3" l="1"/>
  <c r="D113" i="3" s="1"/>
  <c r="AH113" i="3"/>
  <c r="AG113" i="3"/>
  <c r="Y111" i="3"/>
  <c r="E113" i="3" l="1"/>
  <c r="H113" i="3" s="1"/>
  <c r="K113" i="3" s="1"/>
  <c r="G113" i="3"/>
  <c r="F113" i="3" l="1"/>
  <c r="I113" i="3"/>
  <c r="J113" i="3"/>
  <c r="M113" i="3"/>
  <c r="N113" i="3" s="1"/>
  <c r="V113" i="3"/>
  <c r="AE113" i="3"/>
  <c r="W113" i="3" l="1"/>
  <c r="L113" i="3"/>
  <c r="AH114" i="3" l="1"/>
  <c r="U113" i="3"/>
  <c r="E114" i="3" s="1"/>
  <c r="H114" i="3" s="1"/>
  <c r="AG114" i="3"/>
  <c r="Y112" i="3"/>
  <c r="D114" i="3" l="1"/>
  <c r="F114" i="3" s="1"/>
  <c r="K114" i="3"/>
  <c r="G114" i="3" l="1"/>
  <c r="I114" i="3" s="1"/>
  <c r="V114" i="3"/>
  <c r="AE114" i="3"/>
  <c r="M114" i="3" l="1"/>
  <c r="N114" i="3" s="1"/>
  <c r="J114" i="3"/>
  <c r="L114" i="3" s="1"/>
  <c r="W114" i="3"/>
  <c r="AG115" i="3" l="1"/>
  <c r="AH115" i="3"/>
  <c r="U114" i="3"/>
  <c r="E115" i="3" s="1"/>
  <c r="H115" i="3" s="1"/>
  <c r="Y113" i="3"/>
  <c r="K115" i="3" l="1"/>
  <c r="D115" i="3"/>
  <c r="V115" i="3" l="1"/>
  <c r="AE115" i="3"/>
  <c r="F115" i="3"/>
  <c r="G115" i="3"/>
  <c r="I115" i="3" l="1"/>
  <c r="W115" i="3" s="1"/>
  <c r="J115" i="3"/>
  <c r="M115" i="3"/>
  <c r="N115" i="3" s="1"/>
  <c r="L115" i="3" l="1"/>
  <c r="AG116" i="3" l="1"/>
  <c r="U115" i="3"/>
  <c r="E116" i="3" s="1"/>
  <c r="H116" i="3" s="1"/>
  <c r="AH116" i="3"/>
  <c r="Y114" i="3"/>
  <c r="D116" i="3" l="1"/>
  <c r="F116" i="3" s="1"/>
  <c r="K116" i="3"/>
  <c r="G116" i="3" l="1"/>
  <c r="I116" i="3" s="1"/>
  <c r="V116" i="3"/>
  <c r="AE116" i="3"/>
  <c r="M116" i="3" l="1"/>
  <c r="N116" i="3" s="1"/>
  <c r="J116" i="3"/>
  <c r="L116" i="3" s="1"/>
  <c r="W116" i="3"/>
  <c r="AH117" i="3" l="1"/>
  <c r="AG117" i="3"/>
  <c r="U116" i="3"/>
  <c r="D117" i="3" s="1"/>
  <c r="Y115" i="3"/>
  <c r="E117" i="3" l="1"/>
  <c r="H117" i="3" s="1"/>
  <c r="K117" i="3" s="1"/>
  <c r="G117" i="3"/>
  <c r="F117" i="3" l="1"/>
  <c r="V117" i="3"/>
  <c r="AE117" i="3"/>
  <c r="I117" i="3"/>
  <c r="J117" i="3"/>
  <c r="M117" i="3"/>
  <c r="N117" i="3" s="1"/>
  <c r="L117" i="3" l="1"/>
  <c r="W117" i="3"/>
  <c r="AH118" i="3" l="1"/>
  <c r="U117" i="3"/>
  <c r="D118" i="3" s="1"/>
  <c r="AG118" i="3"/>
  <c r="Y116" i="3"/>
  <c r="E118" i="3" l="1"/>
  <c r="H118" i="3" s="1"/>
  <c r="K118" i="3" s="1"/>
  <c r="G118" i="3"/>
  <c r="F118" i="3" l="1"/>
  <c r="V118" i="3"/>
  <c r="AE118" i="3"/>
  <c r="I118" i="3"/>
  <c r="J118" i="3"/>
  <c r="M118" i="3"/>
  <c r="N118" i="3" s="1"/>
  <c r="L118" i="3" l="1"/>
  <c r="W118" i="3"/>
  <c r="AG119" i="3" l="1"/>
  <c r="AH119" i="3"/>
  <c r="U118" i="3"/>
  <c r="D119" i="3" s="1"/>
  <c r="Y117" i="3"/>
  <c r="G119" i="3" l="1"/>
  <c r="E119" i="3"/>
  <c r="H119" i="3" s="1"/>
  <c r="K119" i="3" l="1"/>
  <c r="I119" i="3"/>
  <c r="J119" i="3"/>
  <c r="M119" i="3"/>
  <c r="N119" i="3" s="1"/>
  <c r="F119" i="3"/>
  <c r="L119" i="3" l="1"/>
  <c r="V119" i="3"/>
  <c r="W119" i="3" s="1"/>
  <c r="AE119" i="3"/>
  <c r="AG120" i="3" l="1"/>
  <c r="AH120" i="3"/>
  <c r="U119" i="3"/>
  <c r="D120" i="3" s="1"/>
  <c r="Y118" i="3"/>
  <c r="G120" i="3" l="1"/>
  <c r="E120" i="3"/>
  <c r="H120" i="3" s="1"/>
  <c r="I120" i="3" l="1"/>
  <c r="J120" i="3"/>
  <c r="M120" i="3"/>
  <c r="N120" i="3" s="1"/>
  <c r="K120" i="3"/>
  <c r="F120" i="3"/>
  <c r="V120" i="3" l="1"/>
  <c r="W120" i="3" s="1"/>
  <c r="AE120" i="3"/>
  <c r="L120" i="3"/>
  <c r="U120" i="3" l="1"/>
  <c r="E121" i="3" s="1"/>
  <c r="H121" i="3" s="1"/>
  <c r="AG121" i="3"/>
  <c r="AH121" i="3"/>
  <c r="Y119" i="3"/>
  <c r="D121" i="3" l="1"/>
  <c r="F121" i="3" s="1"/>
  <c r="K121" i="3"/>
  <c r="G121" i="3" l="1"/>
  <c r="I121" i="3" s="1"/>
  <c r="V121" i="3"/>
  <c r="AE121" i="3"/>
  <c r="M121" i="3" l="1"/>
  <c r="N121" i="3" s="1"/>
  <c r="J121" i="3"/>
  <c r="L121" i="3" s="1"/>
  <c r="W121" i="3"/>
  <c r="AH122" i="3" l="1"/>
  <c r="AG122" i="3"/>
  <c r="U121" i="3"/>
  <c r="D122" i="3" s="1"/>
  <c r="Y120" i="3"/>
  <c r="E122" i="3" l="1"/>
  <c r="H122" i="3" s="1"/>
  <c r="K122" i="3" s="1"/>
  <c r="G122" i="3"/>
  <c r="F122" i="3" l="1"/>
  <c r="I122" i="3"/>
  <c r="J122" i="3"/>
  <c r="M122" i="3"/>
  <c r="N122" i="3" s="1"/>
  <c r="V122" i="3"/>
  <c r="AE122" i="3"/>
  <c r="W122" i="3" l="1"/>
  <c r="L122" i="3"/>
  <c r="AH123" i="3" l="1"/>
  <c r="AG123" i="3"/>
  <c r="U122" i="3"/>
  <c r="D123" i="3" s="1"/>
  <c r="Y121" i="3"/>
  <c r="G123" i="3" l="1"/>
  <c r="E123" i="3"/>
  <c r="H123" i="3" s="1"/>
  <c r="K123" i="3" l="1"/>
  <c r="I123" i="3"/>
  <c r="J123" i="3"/>
  <c r="M123" i="3"/>
  <c r="N123" i="3" s="1"/>
  <c r="F123" i="3"/>
  <c r="L123" i="3" l="1"/>
  <c r="V123" i="3"/>
  <c r="W123" i="3" s="1"/>
  <c r="AE123" i="3"/>
  <c r="AH124" i="3" l="1"/>
  <c r="U123" i="3"/>
  <c r="E124" i="3" s="1"/>
  <c r="H124" i="3" s="1"/>
  <c r="AG124" i="3"/>
  <c r="Y122" i="3"/>
  <c r="D124" i="3" l="1"/>
  <c r="G124" i="3" s="1"/>
  <c r="K124" i="3"/>
  <c r="F124" i="3" l="1"/>
  <c r="I124" i="3"/>
  <c r="J124" i="3"/>
  <c r="M124" i="3"/>
  <c r="N124" i="3" s="1"/>
  <c r="V124" i="3"/>
  <c r="AE124" i="3"/>
  <c r="W124" i="3" l="1"/>
  <c r="L124" i="3"/>
  <c r="U124" i="3" l="1"/>
  <c r="E125" i="3" s="1"/>
  <c r="H125" i="3" s="1"/>
  <c r="AH125" i="3"/>
  <c r="AG125" i="3"/>
  <c r="Y123" i="3"/>
  <c r="D125" i="3" l="1"/>
  <c r="F125" i="3" s="1"/>
  <c r="K125" i="3"/>
  <c r="G125" i="3" l="1"/>
  <c r="I125" i="3" s="1"/>
  <c r="V125" i="3"/>
  <c r="AE125" i="3"/>
  <c r="J125" i="3" l="1"/>
  <c r="L125" i="3" s="1"/>
  <c r="M125" i="3"/>
  <c r="N125" i="3" s="1"/>
  <c r="W125" i="3"/>
  <c r="AH126" i="3" l="1"/>
  <c r="AG126" i="3"/>
  <c r="U125" i="3"/>
  <c r="E126" i="3" s="1"/>
  <c r="H126" i="3" s="1"/>
  <c r="Y124" i="3"/>
  <c r="K126" i="3" l="1"/>
  <c r="D126" i="3"/>
  <c r="V126" i="3" l="1"/>
  <c r="AE126" i="3"/>
  <c r="F126" i="3"/>
  <c r="G126" i="3"/>
  <c r="I126" i="3" l="1"/>
  <c r="W126" i="3" s="1"/>
  <c r="J126" i="3"/>
  <c r="M126" i="3"/>
  <c r="N126" i="3" s="1"/>
  <c r="L126" i="3" l="1"/>
  <c r="U126" i="3" l="1"/>
  <c r="E127" i="3" s="1"/>
  <c r="H127" i="3" s="1"/>
  <c r="AG127" i="3"/>
  <c r="AH127" i="3"/>
  <c r="Y125" i="3"/>
  <c r="D127" i="3" l="1"/>
  <c r="F127" i="3" s="1"/>
  <c r="K127" i="3"/>
  <c r="G127" i="3" l="1"/>
  <c r="J127" i="3" s="1"/>
  <c r="V127" i="3"/>
  <c r="AE127" i="3"/>
  <c r="M127" i="3" l="1"/>
  <c r="N127" i="3" s="1"/>
  <c r="I127" i="3"/>
  <c r="W127" i="3" s="1"/>
  <c r="L127" i="3"/>
  <c r="AG128" i="3" l="1"/>
  <c r="AH128" i="3"/>
  <c r="U127" i="3"/>
  <c r="D128" i="3" s="1"/>
  <c r="Y126" i="3"/>
  <c r="E128" i="3" l="1"/>
  <c r="H128" i="3" s="1"/>
  <c r="K128" i="3" s="1"/>
  <c r="G128" i="3"/>
  <c r="F128" i="3" l="1"/>
  <c r="I128" i="3"/>
  <c r="J128" i="3"/>
  <c r="M128" i="3"/>
  <c r="N128" i="3" s="1"/>
  <c r="V128" i="3"/>
  <c r="AE128" i="3"/>
  <c r="W128" i="3" l="1"/>
  <c r="L128" i="3"/>
  <c r="AH129" i="3" l="1"/>
  <c r="U128" i="3"/>
  <c r="D129" i="3" s="1"/>
  <c r="AG129" i="3"/>
  <c r="Y127" i="3"/>
  <c r="E129" i="3" l="1"/>
  <c r="H129" i="3" s="1"/>
  <c r="K129" i="3" s="1"/>
  <c r="G129" i="3"/>
  <c r="F129" i="3" l="1"/>
  <c r="V129" i="3"/>
  <c r="AE129" i="3"/>
  <c r="I129" i="3"/>
  <c r="J129" i="3"/>
  <c r="M129" i="3"/>
  <c r="N129" i="3" s="1"/>
  <c r="L129" i="3" l="1"/>
  <c r="W129" i="3"/>
  <c r="AH130" i="3" l="1"/>
  <c r="AG130" i="3"/>
  <c r="U129" i="3"/>
  <c r="D130" i="3" s="1"/>
  <c r="Y128" i="3"/>
  <c r="E130" i="3" l="1"/>
  <c r="H130" i="3" s="1"/>
  <c r="K130" i="3" s="1"/>
  <c r="G130" i="3"/>
  <c r="F130" i="3" l="1"/>
  <c r="V130" i="3"/>
  <c r="AE130" i="3"/>
  <c r="I130" i="3"/>
  <c r="J130" i="3"/>
  <c r="M130" i="3"/>
  <c r="N130" i="3" s="1"/>
  <c r="L130" i="3" l="1"/>
  <c r="W130" i="3"/>
  <c r="AG131" i="3" l="1"/>
  <c r="AH131" i="3"/>
  <c r="U130" i="3"/>
  <c r="E131" i="3" s="1"/>
  <c r="H131" i="3" s="1"/>
  <c r="Y129" i="3"/>
  <c r="K131" i="3" l="1"/>
  <c r="D131" i="3"/>
  <c r="V131" i="3" l="1"/>
  <c r="AE131" i="3"/>
  <c r="F131" i="3"/>
  <c r="G131" i="3"/>
  <c r="I131" i="3" l="1"/>
  <c r="W131" i="3" s="1"/>
  <c r="J131" i="3"/>
  <c r="M131" i="3"/>
  <c r="N131" i="3" s="1"/>
  <c r="L131" i="3" l="1"/>
  <c r="AG132" i="3" l="1"/>
  <c r="AH132" i="3"/>
  <c r="U131" i="3"/>
  <c r="E132" i="3" s="1"/>
  <c r="H132" i="3" s="1"/>
  <c r="Y130" i="3"/>
  <c r="D132" i="3" l="1"/>
  <c r="F132" i="3" s="1"/>
  <c r="K132" i="3"/>
  <c r="G132" i="3" l="1"/>
  <c r="I132" i="3" s="1"/>
  <c r="V132" i="3"/>
  <c r="AE132" i="3"/>
  <c r="M132" i="3" l="1"/>
  <c r="N132" i="3" s="1"/>
  <c r="J132" i="3"/>
  <c r="L132" i="3" s="1"/>
  <c r="W132" i="3"/>
  <c r="U132" i="3" l="1"/>
  <c r="E133" i="3" s="1"/>
  <c r="H133" i="3" s="1"/>
  <c r="AH133" i="3"/>
  <c r="AG133" i="3"/>
  <c r="Y131" i="3"/>
  <c r="D133" i="3" l="1"/>
  <c r="F133" i="3" s="1"/>
  <c r="K133" i="3"/>
  <c r="G133" i="3" l="1"/>
  <c r="I133" i="3" s="1"/>
  <c r="V133" i="3"/>
  <c r="AE133" i="3"/>
  <c r="M133" i="3" l="1"/>
  <c r="N133" i="3" s="1"/>
  <c r="J133" i="3"/>
  <c r="L133" i="3" s="1"/>
  <c r="W133" i="3"/>
  <c r="AH134" i="3" l="1"/>
  <c r="U133" i="3"/>
  <c r="E134" i="3" s="1"/>
  <c r="H134" i="3" s="1"/>
  <c r="AG134" i="3"/>
  <c r="Y132" i="3"/>
  <c r="D134" i="3" l="1"/>
  <c r="F134" i="3" s="1"/>
  <c r="K134" i="3"/>
  <c r="G134" i="3" l="1"/>
  <c r="I134" i="3" s="1"/>
  <c r="V134" i="3"/>
  <c r="AE134" i="3"/>
  <c r="M134" i="3" l="1"/>
  <c r="N134" i="3" s="1"/>
  <c r="J134" i="3"/>
  <c r="L134" i="3" s="1"/>
  <c r="W134" i="3"/>
  <c r="AH135" i="3" l="1"/>
  <c r="U134" i="3"/>
  <c r="E135" i="3" s="1"/>
  <c r="H135" i="3" s="1"/>
  <c r="AG135" i="3"/>
  <c r="Y133" i="3"/>
  <c r="D135" i="3" l="1"/>
  <c r="F135" i="3" s="1"/>
  <c r="K135" i="3"/>
  <c r="G135" i="3" l="1"/>
  <c r="I135" i="3" s="1"/>
  <c r="V135" i="3"/>
  <c r="AE135" i="3"/>
  <c r="M135" i="3" l="1"/>
  <c r="N135" i="3" s="1"/>
  <c r="J135" i="3"/>
  <c r="L135" i="3" s="1"/>
  <c r="W135" i="3"/>
  <c r="AG136" i="3" l="1"/>
  <c r="AH136" i="3"/>
  <c r="U135" i="3"/>
  <c r="D136" i="3" s="1"/>
  <c r="Y134" i="3"/>
  <c r="G136" i="3" l="1"/>
  <c r="E136" i="3"/>
  <c r="H136" i="3" s="1"/>
  <c r="K136" i="3" l="1"/>
  <c r="I136" i="3"/>
  <c r="J136" i="3"/>
  <c r="M136" i="3"/>
  <c r="N136" i="3" s="1"/>
  <c r="F136" i="3"/>
  <c r="L136" i="3" l="1"/>
  <c r="V136" i="3"/>
  <c r="W136" i="3" s="1"/>
  <c r="AE136" i="3"/>
  <c r="AG137" i="3" l="1"/>
  <c r="AH137" i="3"/>
  <c r="U136" i="3"/>
  <c r="D137" i="3" s="1"/>
  <c r="Y135" i="3"/>
  <c r="E137" i="3" l="1"/>
  <c r="H137" i="3" s="1"/>
  <c r="K137" i="3" s="1"/>
  <c r="G137" i="3"/>
  <c r="F137" i="3" l="1"/>
  <c r="V137" i="3"/>
  <c r="AE137" i="3"/>
  <c r="I137" i="3"/>
  <c r="J137" i="3"/>
  <c r="M137" i="3"/>
  <c r="N137" i="3" s="1"/>
  <c r="L137" i="3" l="1"/>
  <c r="W137" i="3"/>
  <c r="AG138" i="3" l="1"/>
  <c r="U137" i="3"/>
  <c r="E138" i="3" s="1"/>
  <c r="H138" i="3" s="1"/>
  <c r="AH138" i="3"/>
  <c r="Y136" i="3"/>
  <c r="D138" i="3" l="1"/>
  <c r="F138" i="3" s="1"/>
  <c r="K138" i="3"/>
  <c r="G138" i="3" l="1"/>
  <c r="I138" i="3" s="1"/>
  <c r="V138" i="3"/>
  <c r="AE138" i="3"/>
  <c r="M138" i="3" l="1"/>
  <c r="N138" i="3" s="1"/>
  <c r="J138" i="3"/>
  <c r="L138" i="3" s="1"/>
  <c r="W138" i="3"/>
  <c r="AG139" i="3" l="1"/>
  <c r="U138" i="3"/>
  <c r="E139" i="3" s="1"/>
  <c r="H139" i="3" s="1"/>
  <c r="AH139" i="3"/>
  <c r="Y137" i="3"/>
  <c r="D139" i="3" l="1"/>
  <c r="F139" i="3" s="1"/>
  <c r="K139" i="3"/>
  <c r="G139" i="3" l="1"/>
  <c r="I139" i="3" s="1"/>
  <c r="V139" i="3"/>
  <c r="AE139" i="3"/>
  <c r="M139" i="3" l="1"/>
  <c r="N139" i="3" s="1"/>
  <c r="J139" i="3"/>
  <c r="L139" i="3" s="1"/>
  <c r="W139" i="3"/>
  <c r="AH140" i="3" l="1"/>
  <c r="AG140" i="3"/>
  <c r="U139" i="3"/>
  <c r="D140" i="3" s="1"/>
  <c r="Y138" i="3"/>
  <c r="E140" i="3" l="1"/>
  <c r="H140" i="3" s="1"/>
  <c r="K140" i="3" s="1"/>
  <c r="G140" i="3"/>
  <c r="F140" i="3" l="1"/>
  <c r="V140" i="3"/>
  <c r="AE140" i="3"/>
  <c r="I140" i="3"/>
  <c r="J140" i="3"/>
  <c r="M140" i="3"/>
  <c r="N140" i="3" s="1"/>
  <c r="L140" i="3" l="1"/>
  <c r="W140" i="3"/>
  <c r="AH141" i="3" l="1"/>
  <c r="AG141" i="3"/>
  <c r="U140" i="3"/>
  <c r="D141" i="3" s="1"/>
  <c r="Y139" i="3"/>
  <c r="E141" i="3" l="1"/>
  <c r="H141" i="3" s="1"/>
  <c r="K141" i="3" s="1"/>
  <c r="G141" i="3"/>
  <c r="F141" i="3" l="1"/>
  <c r="I141" i="3"/>
  <c r="J141" i="3"/>
  <c r="M141" i="3"/>
  <c r="N141" i="3" s="1"/>
  <c r="V141" i="3"/>
  <c r="AE141" i="3"/>
  <c r="W141" i="3" l="1"/>
  <c r="L141" i="3"/>
  <c r="AH142" i="3" l="1"/>
  <c r="AG142" i="3"/>
  <c r="U141" i="3"/>
  <c r="D142" i="3" s="1"/>
  <c r="Y140" i="3"/>
  <c r="E142" i="3" l="1"/>
  <c r="H142" i="3" s="1"/>
  <c r="K142" i="3" s="1"/>
  <c r="G142" i="3"/>
  <c r="F142" i="3" l="1"/>
  <c r="I142" i="3"/>
  <c r="J142" i="3"/>
  <c r="M142" i="3"/>
  <c r="N142" i="3" s="1"/>
  <c r="V142" i="3"/>
  <c r="AE142" i="3"/>
  <c r="W142" i="3" l="1"/>
  <c r="L142" i="3"/>
  <c r="U142" i="3" l="1"/>
  <c r="E143" i="3" s="1"/>
  <c r="H143" i="3" s="1"/>
  <c r="AG143" i="3"/>
  <c r="AH143" i="3"/>
  <c r="Y141" i="3"/>
  <c r="D143" i="3" l="1"/>
  <c r="F143" i="3" s="1"/>
  <c r="K143" i="3"/>
  <c r="G143" i="3" l="1"/>
  <c r="I143" i="3" s="1"/>
  <c r="V143" i="3"/>
  <c r="AE143" i="3"/>
  <c r="M143" i="3" l="1"/>
  <c r="N143" i="3" s="1"/>
  <c r="J143" i="3"/>
  <c r="L143" i="3" s="1"/>
  <c r="W143" i="3"/>
  <c r="AH144" i="3" l="1"/>
  <c r="U143" i="3"/>
  <c r="E144" i="3" s="1"/>
  <c r="H144" i="3" s="1"/>
  <c r="AG144" i="3"/>
  <c r="Y142" i="3"/>
  <c r="D144" i="3" l="1"/>
  <c r="F144" i="3" s="1"/>
  <c r="K144" i="3"/>
  <c r="G144" i="3" l="1"/>
  <c r="I144" i="3" s="1"/>
  <c r="V144" i="3"/>
  <c r="AE144" i="3"/>
  <c r="M144" i="3" l="1"/>
  <c r="N144" i="3" s="1"/>
  <c r="J144" i="3"/>
  <c r="L144" i="3" s="1"/>
  <c r="W144" i="3"/>
  <c r="AG145" i="3" l="1"/>
  <c r="AH145" i="3"/>
  <c r="U144" i="3"/>
  <c r="D145" i="3" s="1"/>
  <c r="Y143" i="3"/>
  <c r="E145" i="3" l="1"/>
  <c r="H145" i="3" s="1"/>
  <c r="K145" i="3" s="1"/>
  <c r="G145" i="3"/>
  <c r="F145" i="3" l="1"/>
  <c r="V145" i="3"/>
  <c r="AE145" i="3"/>
  <c r="I145" i="3"/>
  <c r="J145" i="3"/>
  <c r="M145" i="3"/>
  <c r="N145" i="3" s="1"/>
  <c r="L145" i="3" l="1"/>
  <c r="W145" i="3"/>
  <c r="AH146" i="3" l="1"/>
  <c r="U145" i="3"/>
  <c r="E146" i="3" s="1"/>
  <c r="H146" i="3" s="1"/>
  <c r="AG146" i="3"/>
  <c r="Y144" i="3"/>
  <c r="D146" i="3" l="1"/>
  <c r="F146" i="3" s="1"/>
  <c r="K146" i="3"/>
  <c r="G146" i="3" l="1"/>
  <c r="I146" i="3" s="1"/>
  <c r="V146" i="3"/>
  <c r="AE146" i="3"/>
  <c r="M146" i="3" l="1"/>
  <c r="N146" i="3" s="1"/>
  <c r="J146" i="3"/>
  <c r="L146" i="3" s="1"/>
  <c r="W146" i="3"/>
  <c r="AG147" i="3" l="1"/>
  <c r="AH147" i="3"/>
  <c r="U146" i="3"/>
  <c r="E147" i="3" s="1"/>
  <c r="H147" i="3" s="1"/>
  <c r="Y145" i="3"/>
  <c r="K147" i="3" l="1"/>
  <c r="D147" i="3"/>
  <c r="F147" i="3" l="1"/>
  <c r="G147" i="3"/>
  <c r="V147" i="3"/>
  <c r="AE147" i="3"/>
  <c r="I147" i="3" l="1"/>
  <c r="W147" i="3" s="1"/>
  <c r="J147" i="3"/>
  <c r="M147" i="3"/>
  <c r="N147" i="3" s="1"/>
  <c r="L147" i="3" l="1"/>
  <c r="U147" i="3" l="1"/>
  <c r="E148" i="3" s="1"/>
  <c r="H148" i="3" s="1"/>
  <c r="AH148" i="3"/>
  <c r="AG148" i="3"/>
  <c r="Y146" i="3"/>
  <c r="D148" i="3" l="1"/>
  <c r="F148" i="3" s="1"/>
  <c r="K148" i="3"/>
  <c r="G148" i="3" l="1"/>
  <c r="M148" i="3" s="1"/>
  <c r="N148" i="3" s="1"/>
  <c r="V148" i="3"/>
  <c r="AE148" i="3"/>
  <c r="J148" i="3" l="1"/>
  <c r="L148" i="3" s="1"/>
  <c r="I148" i="3"/>
  <c r="W148" i="3" s="1"/>
  <c r="U148" i="3" l="1"/>
  <c r="D149" i="3" s="1"/>
  <c r="AH149" i="3"/>
  <c r="AG149" i="3"/>
  <c r="Y147" i="3"/>
  <c r="E149" i="3" l="1"/>
  <c r="H149" i="3" s="1"/>
  <c r="K149" i="3" s="1"/>
  <c r="G149" i="3"/>
  <c r="F149" i="3" l="1"/>
  <c r="I149" i="3"/>
  <c r="J149" i="3"/>
  <c r="M149" i="3"/>
  <c r="N149" i="3" s="1"/>
  <c r="V149" i="3"/>
  <c r="AE149" i="3"/>
  <c r="W149" i="3" l="1"/>
  <c r="L149" i="3"/>
  <c r="AG150" i="3" l="1"/>
  <c r="U149" i="3"/>
  <c r="E150" i="3" s="1"/>
  <c r="H150" i="3" s="1"/>
  <c r="AH150" i="3"/>
  <c r="Y148" i="3"/>
  <c r="D150" i="3" l="1"/>
  <c r="F150" i="3" s="1"/>
  <c r="K150" i="3"/>
  <c r="G150" i="3" l="1"/>
  <c r="M150" i="3" s="1"/>
  <c r="N150" i="3" s="1"/>
  <c r="V150" i="3"/>
  <c r="AE150" i="3"/>
  <c r="J150" i="3" l="1"/>
  <c r="L150" i="3" s="1"/>
  <c r="I150" i="3"/>
  <c r="W150" i="3" s="1"/>
  <c r="AG151" i="3" l="1"/>
  <c r="U150" i="3"/>
  <c r="E151" i="3" s="1"/>
  <c r="H151" i="3" s="1"/>
  <c r="AH151" i="3"/>
  <c r="Y149" i="3"/>
  <c r="D151" i="3" l="1"/>
  <c r="F151" i="3" s="1"/>
  <c r="K151" i="3"/>
  <c r="G151" i="3" l="1"/>
  <c r="I151" i="3" s="1"/>
  <c r="V151" i="3"/>
  <c r="AE151" i="3"/>
  <c r="M151" i="3" l="1"/>
  <c r="N151" i="3" s="1"/>
  <c r="J151" i="3"/>
  <c r="L151" i="3" s="1"/>
  <c r="W151" i="3"/>
  <c r="U151" i="3" l="1"/>
  <c r="D152" i="3" s="1"/>
  <c r="AG152" i="3"/>
  <c r="AH152" i="3"/>
  <c r="Y150" i="3"/>
  <c r="E152" i="3" l="1"/>
  <c r="H152" i="3" s="1"/>
  <c r="K152" i="3" s="1"/>
  <c r="G152" i="3"/>
  <c r="F152" i="3" l="1"/>
  <c r="V152" i="3"/>
  <c r="AE152" i="3"/>
  <c r="I152" i="3"/>
  <c r="J152" i="3"/>
  <c r="M152" i="3"/>
  <c r="N152" i="3" s="1"/>
  <c r="L152" i="3" l="1"/>
  <c r="W152" i="3"/>
  <c r="U152" i="3" l="1"/>
  <c r="D153" i="3" s="1"/>
  <c r="AG153" i="3"/>
  <c r="AH153" i="3"/>
  <c r="Y151" i="3"/>
  <c r="E153" i="3" l="1"/>
  <c r="H153" i="3" s="1"/>
  <c r="K153" i="3" s="1"/>
  <c r="G153" i="3"/>
  <c r="F153" i="3" l="1"/>
  <c r="I153" i="3"/>
  <c r="J153" i="3"/>
  <c r="M153" i="3"/>
  <c r="N153" i="3" s="1"/>
  <c r="V153" i="3"/>
  <c r="AE153" i="3"/>
  <c r="W153" i="3" l="1"/>
  <c r="L153" i="3"/>
  <c r="AH154" i="3" l="1"/>
  <c r="AG154" i="3"/>
  <c r="U153" i="3"/>
  <c r="E154" i="3" s="1"/>
  <c r="H154" i="3" s="1"/>
  <c r="Y152" i="3"/>
  <c r="D154" i="3" l="1"/>
  <c r="F154" i="3" s="1"/>
  <c r="K154" i="3"/>
  <c r="G154" i="3" l="1"/>
  <c r="I154" i="3" s="1"/>
  <c r="V154" i="3"/>
  <c r="AE154" i="3"/>
  <c r="M154" i="3" l="1"/>
  <c r="N154" i="3" s="1"/>
  <c r="J154" i="3"/>
  <c r="L154" i="3" s="1"/>
  <c r="W154" i="3"/>
  <c r="AH155" i="3" l="1"/>
  <c r="AG155" i="3"/>
  <c r="U154" i="3"/>
  <c r="D155" i="3" s="1"/>
  <c r="Y153" i="3"/>
  <c r="E155" i="3" l="1"/>
  <c r="H155" i="3" s="1"/>
  <c r="K155" i="3" s="1"/>
  <c r="G155" i="3"/>
  <c r="F155" i="3" l="1"/>
  <c r="V155" i="3"/>
  <c r="AE155" i="3"/>
  <c r="I155" i="3"/>
  <c r="J155" i="3"/>
  <c r="M155" i="3"/>
  <c r="N155" i="3" s="1"/>
  <c r="W155" i="3" l="1"/>
  <c r="L155" i="3"/>
  <c r="AH156" i="3" l="1"/>
  <c r="AG156" i="3"/>
  <c r="U155" i="3"/>
  <c r="E156" i="3" s="1"/>
  <c r="H156" i="3" s="1"/>
  <c r="Y154" i="3"/>
  <c r="D156" i="3" l="1"/>
  <c r="F156" i="3" s="1"/>
  <c r="K156" i="3"/>
  <c r="G156" i="3" l="1"/>
  <c r="I156" i="3" s="1"/>
  <c r="V156" i="3"/>
  <c r="AE156" i="3"/>
  <c r="M156" i="3" l="1"/>
  <c r="N156" i="3" s="1"/>
  <c r="J156" i="3"/>
  <c r="L156" i="3" s="1"/>
  <c r="W156" i="3"/>
  <c r="AG157" i="3" l="1"/>
  <c r="AH157" i="3"/>
  <c r="U156" i="3"/>
  <c r="E157" i="3" s="1"/>
  <c r="H157" i="3" s="1"/>
  <c r="Y155" i="3"/>
  <c r="D157" i="3" l="1"/>
  <c r="F157" i="3" s="1"/>
  <c r="K157" i="3"/>
  <c r="G157" i="3" l="1"/>
  <c r="I157" i="3" s="1"/>
  <c r="V157" i="3"/>
  <c r="AE157" i="3"/>
  <c r="M157" i="3" l="1"/>
  <c r="N157" i="3" s="1"/>
  <c r="J157" i="3"/>
  <c r="L157" i="3" s="1"/>
  <c r="W157" i="3"/>
  <c r="AG158" i="3" l="1"/>
  <c r="AH158" i="3"/>
  <c r="U157" i="3"/>
  <c r="D158" i="3" s="1"/>
  <c r="Y156" i="3"/>
  <c r="E158" i="3" l="1"/>
  <c r="H158" i="3" s="1"/>
  <c r="K158" i="3" s="1"/>
  <c r="G158" i="3"/>
  <c r="F158" i="3" l="1"/>
  <c r="V158" i="3"/>
  <c r="AE158" i="3"/>
  <c r="I158" i="3"/>
  <c r="J158" i="3"/>
  <c r="M158" i="3"/>
  <c r="N158" i="3" s="1"/>
  <c r="L158" i="3" l="1"/>
  <c r="W158" i="3"/>
  <c r="AH159" i="3" l="1"/>
  <c r="AG159" i="3"/>
  <c r="U158" i="3"/>
  <c r="D159" i="3" s="1"/>
  <c r="Y157" i="3"/>
  <c r="E159" i="3" l="1"/>
  <c r="H159" i="3" s="1"/>
  <c r="K159" i="3" s="1"/>
  <c r="G159" i="3"/>
  <c r="F159" i="3" l="1"/>
  <c r="V159" i="3"/>
  <c r="AE159" i="3"/>
  <c r="I159" i="3"/>
  <c r="J159" i="3"/>
  <c r="M159" i="3"/>
  <c r="N159" i="3" s="1"/>
  <c r="L159" i="3" l="1"/>
  <c r="W159" i="3"/>
  <c r="AG160" i="3" l="1"/>
  <c r="AH160" i="3"/>
  <c r="U159" i="3"/>
  <c r="E160" i="3" s="1"/>
  <c r="H160" i="3" s="1"/>
  <c r="Y158" i="3"/>
  <c r="D160" i="3" l="1"/>
  <c r="F160" i="3" s="1"/>
  <c r="K160" i="3"/>
  <c r="G160" i="3" l="1"/>
  <c r="I160" i="3" s="1"/>
  <c r="V160" i="3"/>
  <c r="AE160" i="3"/>
  <c r="W160" i="3" l="1"/>
  <c r="M160" i="3"/>
  <c r="N160" i="3" s="1"/>
  <c r="J160" i="3"/>
  <c r="L160" i="3" s="1"/>
  <c r="AG161" i="3" l="1"/>
  <c r="AH161" i="3"/>
  <c r="U160" i="3"/>
  <c r="E161" i="3" s="1"/>
  <c r="H161" i="3" s="1"/>
  <c r="Y159" i="3"/>
  <c r="D161" i="3" l="1"/>
  <c r="F161" i="3" s="1"/>
  <c r="K161" i="3"/>
  <c r="G161" i="3" l="1"/>
  <c r="J161" i="3" s="1"/>
  <c r="V161" i="3"/>
  <c r="AE161" i="3"/>
  <c r="I161" i="3" l="1"/>
  <c r="W161" i="3" s="1"/>
  <c r="M161" i="3"/>
  <c r="N161" i="3" s="1"/>
  <c r="L161" i="3"/>
  <c r="AG162" i="3" l="1"/>
  <c r="AH162" i="3"/>
  <c r="U161" i="3"/>
  <c r="E162" i="3" s="1"/>
  <c r="H162" i="3" s="1"/>
  <c r="Y160" i="3"/>
  <c r="D162" i="3" l="1"/>
  <c r="F162" i="3" s="1"/>
  <c r="K162" i="3"/>
  <c r="G162" i="3" l="1"/>
  <c r="I162" i="3" s="1"/>
  <c r="V162" i="3"/>
  <c r="AE162" i="3"/>
  <c r="M162" i="3" l="1"/>
  <c r="N162" i="3" s="1"/>
  <c r="J162" i="3"/>
  <c r="L162" i="3" s="1"/>
  <c r="W162" i="3"/>
  <c r="U162" i="3" l="1"/>
  <c r="E163" i="3" s="1"/>
  <c r="H163" i="3" s="1"/>
  <c r="AH163" i="3"/>
  <c r="AG163" i="3"/>
  <c r="Y161" i="3"/>
  <c r="D163" i="3" l="1"/>
  <c r="F163" i="3" s="1"/>
  <c r="K163" i="3"/>
  <c r="G163" i="3" l="1"/>
  <c r="I163" i="3" s="1"/>
  <c r="V163" i="3"/>
  <c r="AE163" i="3"/>
  <c r="M163" i="3" l="1"/>
  <c r="N163" i="3" s="1"/>
  <c r="J163" i="3"/>
  <c r="L163" i="3" s="1"/>
  <c r="W163" i="3"/>
  <c r="AH164" i="3" l="1"/>
  <c r="AG164" i="3"/>
  <c r="U163" i="3"/>
  <c r="D164" i="3" s="1"/>
  <c r="Y162" i="3"/>
  <c r="E164" i="3" l="1"/>
  <c r="H164" i="3" s="1"/>
  <c r="K164" i="3" s="1"/>
  <c r="G164" i="3"/>
  <c r="F164" i="3" l="1"/>
  <c r="V164" i="3"/>
  <c r="AE164" i="3"/>
  <c r="I164" i="3"/>
  <c r="J164" i="3"/>
  <c r="M164" i="3"/>
  <c r="N164" i="3" s="1"/>
  <c r="L164" i="3" l="1"/>
  <c r="W164" i="3"/>
  <c r="AH165" i="3" l="1"/>
  <c r="AG165" i="3"/>
  <c r="U164" i="3"/>
  <c r="D165" i="3" s="1"/>
  <c r="Y163" i="3"/>
  <c r="E165" i="3" l="1"/>
  <c r="H165" i="3" s="1"/>
  <c r="K165" i="3" s="1"/>
  <c r="G165" i="3"/>
  <c r="F165" i="3" l="1"/>
  <c r="V165" i="3"/>
  <c r="AE165" i="3"/>
  <c r="I165" i="3"/>
  <c r="J165" i="3"/>
  <c r="M165" i="3"/>
  <c r="N165" i="3" s="1"/>
  <c r="L165" i="3" l="1"/>
  <c r="W165" i="3"/>
  <c r="AG166" i="3" l="1"/>
  <c r="U165" i="3"/>
  <c r="E166" i="3" s="1"/>
  <c r="H166" i="3" s="1"/>
  <c r="AH166" i="3"/>
  <c r="Y164" i="3"/>
  <c r="D166" i="3" l="1"/>
  <c r="F166" i="3" s="1"/>
  <c r="K166" i="3"/>
  <c r="G166" i="3" l="1"/>
  <c r="I166" i="3" s="1"/>
  <c r="V166" i="3"/>
  <c r="AE166" i="3"/>
  <c r="M166" i="3" l="1"/>
  <c r="N166" i="3" s="1"/>
  <c r="J166" i="3"/>
  <c r="L166" i="3" s="1"/>
  <c r="W166" i="3"/>
  <c r="AH167" i="3" l="1"/>
  <c r="AG167" i="3"/>
  <c r="U166" i="3"/>
  <c r="E167" i="3" s="1"/>
  <c r="H167" i="3" s="1"/>
  <c r="Y165" i="3"/>
  <c r="D167" i="3" l="1"/>
  <c r="F167" i="3" s="1"/>
  <c r="K167" i="3"/>
  <c r="G167" i="3" l="1"/>
  <c r="I167" i="3" s="1"/>
  <c r="V167" i="3"/>
  <c r="AE167" i="3"/>
  <c r="M167" i="3" l="1"/>
  <c r="N167" i="3" s="1"/>
  <c r="W167" i="3"/>
  <c r="J167" i="3"/>
  <c r="L167" i="3" s="1"/>
  <c r="AH168" i="3" l="1"/>
  <c r="AG168" i="3"/>
  <c r="U167" i="3"/>
  <c r="E168" i="3" s="1"/>
  <c r="H168" i="3" s="1"/>
  <c r="Y166" i="3"/>
  <c r="K168" i="3" l="1"/>
  <c r="D168" i="3"/>
  <c r="F168" i="3" l="1"/>
  <c r="G168" i="3"/>
  <c r="V168" i="3"/>
  <c r="AE168" i="3"/>
  <c r="I168" i="3" l="1"/>
  <c r="W168" i="3" s="1"/>
  <c r="J168" i="3"/>
  <c r="M168" i="3"/>
  <c r="N168" i="3" s="1"/>
  <c r="L168" i="3" l="1"/>
  <c r="AG169" i="3" l="1"/>
  <c r="AH169" i="3"/>
  <c r="U168" i="3"/>
  <c r="E169" i="3" s="1"/>
  <c r="H169" i="3" s="1"/>
  <c r="Y167" i="3"/>
  <c r="D169" i="3" l="1"/>
  <c r="F169" i="3" s="1"/>
  <c r="K169" i="3"/>
  <c r="G169" i="3" l="1"/>
  <c r="I169" i="3" s="1"/>
  <c r="V169" i="3"/>
  <c r="AE169" i="3"/>
  <c r="M169" i="3" l="1"/>
  <c r="N169" i="3" s="1"/>
  <c r="J169" i="3"/>
  <c r="L169" i="3" s="1"/>
  <c r="W169" i="3"/>
  <c r="AG170" i="3" l="1"/>
  <c r="AH170" i="3"/>
  <c r="U169" i="3"/>
  <c r="E170" i="3" s="1"/>
  <c r="H170" i="3" s="1"/>
  <c r="Y168" i="3"/>
  <c r="K170" i="3" l="1"/>
  <c r="D170" i="3"/>
  <c r="F170" i="3" l="1"/>
  <c r="G170" i="3"/>
  <c r="V170" i="3"/>
  <c r="AE170" i="3"/>
  <c r="I170" i="3" l="1"/>
  <c r="W170" i="3" s="1"/>
  <c r="J170" i="3"/>
  <c r="M170" i="3"/>
  <c r="N170" i="3" s="1"/>
  <c r="L170" i="3" l="1"/>
  <c r="AG171" i="3" l="1"/>
  <c r="AH171" i="3"/>
  <c r="U170" i="3"/>
  <c r="D171" i="3" s="1"/>
  <c r="Y169" i="3"/>
  <c r="E171" i="3" l="1"/>
  <c r="H171" i="3" s="1"/>
  <c r="K171" i="3" s="1"/>
  <c r="G171" i="3"/>
  <c r="F171" i="3" l="1"/>
  <c r="V171" i="3"/>
  <c r="AE171" i="3"/>
  <c r="I171" i="3"/>
  <c r="J171" i="3"/>
  <c r="M171" i="3"/>
  <c r="N171" i="3" s="1"/>
  <c r="L171" i="3" l="1"/>
  <c r="W171" i="3"/>
  <c r="U171" i="3" l="1"/>
  <c r="D172" i="3" s="1"/>
  <c r="AG172" i="3"/>
  <c r="AH172" i="3"/>
  <c r="Y170" i="3"/>
  <c r="E172" i="3" l="1"/>
  <c r="H172" i="3" s="1"/>
  <c r="K172" i="3" s="1"/>
  <c r="G172" i="3"/>
  <c r="F172" i="3" l="1"/>
  <c r="V172" i="3"/>
  <c r="AE172" i="3"/>
  <c r="I172" i="3"/>
  <c r="J172" i="3"/>
  <c r="M172" i="3"/>
  <c r="N172" i="3" s="1"/>
  <c r="W172" i="3" l="1"/>
  <c r="L172" i="3"/>
  <c r="AG173" i="3" l="1"/>
  <c r="U172" i="3"/>
  <c r="D173" i="3" s="1"/>
  <c r="AH173" i="3"/>
  <c r="Y171" i="3"/>
  <c r="E173" i="3" l="1"/>
  <c r="H173" i="3" s="1"/>
  <c r="K173" i="3" s="1"/>
  <c r="G173" i="3"/>
  <c r="F173" i="3" l="1"/>
  <c r="V173" i="3"/>
  <c r="AE173" i="3"/>
  <c r="I173" i="3"/>
  <c r="J173" i="3"/>
  <c r="M173" i="3"/>
  <c r="N173" i="3" s="1"/>
  <c r="L173" i="3" l="1"/>
  <c r="W173" i="3"/>
  <c r="U173" i="3" l="1"/>
  <c r="D174" i="3" s="1"/>
  <c r="AG174" i="3"/>
  <c r="AH174" i="3"/>
  <c r="Y172" i="3"/>
  <c r="E174" i="3" l="1"/>
  <c r="H174" i="3" s="1"/>
  <c r="K174" i="3" s="1"/>
  <c r="G174" i="3"/>
  <c r="F174" i="3" l="1"/>
  <c r="V174" i="3"/>
  <c r="AE174" i="3"/>
  <c r="I174" i="3"/>
  <c r="J174" i="3"/>
  <c r="M174" i="3"/>
  <c r="N174" i="3" s="1"/>
  <c r="L174" i="3" l="1"/>
  <c r="W174" i="3"/>
  <c r="U174" i="3" l="1"/>
  <c r="D175" i="3" s="1"/>
  <c r="AG175" i="3"/>
  <c r="AH175" i="3"/>
  <c r="Y173" i="3"/>
  <c r="E175" i="3" l="1"/>
  <c r="H175" i="3" s="1"/>
  <c r="K175" i="3" s="1"/>
  <c r="G175" i="3"/>
  <c r="F175" i="3" l="1"/>
  <c r="I175" i="3"/>
  <c r="J175" i="3"/>
  <c r="M175" i="3"/>
  <c r="N175" i="3" s="1"/>
  <c r="V175" i="3"/>
  <c r="AE175" i="3"/>
  <c r="W175" i="3" l="1"/>
  <c r="L175" i="3"/>
  <c r="U175" i="3" l="1"/>
  <c r="D176" i="3" s="1"/>
  <c r="AG176" i="3"/>
  <c r="AH176" i="3"/>
  <c r="Y174" i="3"/>
  <c r="E176" i="3" l="1"/>
  <c r="H176" i="3" s="1"/>
  <c r="K176" i="3" s="1"/>
  <c r="G176" i="3"/>
  <c r="F176" i="3" l="1"/>
  <c r="V176" i="3"/>
  <c r="AE176" i="3"/>
  <c r="I176" i="3"/>
  <c r="J176" i="3"/>
  <c r="M176" i="3"/>
  <c r="N176" i="3" s="1"/>
  <c r="L176" i="3" l="1"/>
  <c r="W176" i="3"/>
  <c r="AH177" i="3" l="1"/>
  <c r="U176" i="3"/>
  <c r="E177" i="3" s="1"/>
  <c r="H177" i="3" s="1"/>
  <c r="AG177" i="3"/>
  <c r="Y175" i="3"/>
  <c r="D177" i="3" l="1"/>
  <c r="F177" i="3" s="1"/>
  <c r="K177" i="3"/>
  <c r="G177" i="3" l="1"/>
  <c r="I177" i="3" s="1"/>
  <c r="V177" i="3"/>
  <c r="AE177" i="3"/>
  <c r="J177" i="3" l="1"/>
  <c r="L177" i="3" s="1"/>
  <c r="M177" i="3"/>
  <c r="N177" i="3" s="1"/>
  <c r="W177" i="3"/>
  <c r="AH178" i="3" l="1"/>
  <c r="U177" i="3"/>
  <c r="E178" i="3" s="1"/>
  <c r="H178" i="3" s="1"/>
  <c r="AG178" i="3"/>
  <c r="Y176" i="3"/>
  <c r="D178" i="3" l="1"/>
  <c r="G178" i="3" s="1"/>
  <c r="K178" i="3"/>
  <c r="F178" i="3" l="1"/>
  <c r="I178" i="3"/>
  <c r="J178" i="3"/>
  <c r="M178" i="3"/>
  <c r="N178" i="3" s="1"/>
  <c r="V178" i="3"/>
  <c r="AE178" i="3"/>
  <c r="W178" i="3" l="1"/>
  <c r="L178" i="3"/>
  <c r="U178" i="3" l="1"/>
  <c r="D179" i="3" s="1"/>
  <c r="AG179" i="3"/>
  <c r="AH179" i="3"/>
  <c r="Y177" i="3"/>
  <c r="E179" i="3" l="1"/>
  <c r="H179" i="3" s="1"/>
  <c r="K179" i="3" s="1"/>
  <c r="G179" i="3"/>
  <c r="F179" i="3" l="1"/>
  <c r="I179" i="3"/>
  <c r="J179" i="3"/>
  <c r="M179" i="3"/>
  <c r="N179" i="3" s="1"/>
  <c r="V179" i="3"/>
  <c r="AE179" i="3"/>
  <c r="W179" i="3" l="1"/>
  <c r="L179" i="3"/>
  <c r="AG180" i="3" l="1"/>
  <c r="U179" i="3"/>
  <c r="D180" i="3" s="1"/>
  <c r="AH180" i="3"/>
  <c r="Y178" i="3"/>
  <c r="E180" i="3" l="1"/>
  <c r="H180" i="3" s="1"/>
  <c r="K180" i="3" s="1"/>
  <c r="G180" i="3"/>
  <c r="F180" i="3" l="1"/>
  <c r="V180" i="3"/>
  <c r="AE180" i="3"/>
  <c r="I180" i="3"/>
  <c r="J180" i="3"/>
  <c r="M180" i="3"/>
  <c r="N180" i="3" s="1"/>
  <c r="W180" i="3" l="1"/>
  <c r="L180" i="3"/>
  <c r="U180" i="3" l="1"/>
  <c r="E181" i="3" s="1"/>
  <c r="H181" i="3" s="1"/>
  <c r="AG181" i="3"/>
  <c r="AH181" i="3"/>
  <c r="Y179" i="3"/>
  <c r="D181" i="3" l="1"/>
  <c r="F181" i="3" s="1"/>
  <c r="K181" i="3"/>
  <c r="G181" i="3" l="1"/>
  <c r="I181" i="3" s="1"/>
  <c r="V181" i="3"/>
  <c r="AE181" i="3"/>
  <c r="M181" i="3" l="1"/>
  <c r="N181" i="3" s="1"/>
  <c r="J181" i="3"/>
  <c r="L181" i="3" s="1"/>
  <c r="W181" i="3"/>
  <c r="AH182" i="3" l="1"/>
  <c r="U181" i="3"/>
  <c r="E182" i="3" s="1"/>
  <c r="H182" i="3" s="1"/>
  <c r="AG182" i="3"/>
  <c r="Y180" i="3"/>
  <c r="D182" i="3" l="1"/>
  <c r="F182" i="3" s="1"/>
  <c r="K182" i="3"/>
  <c r="G182" i="3" l="1"/>
  <c r="I182" i="3" s="1"/>
  <c r="V182" i="3"/>
  <c r="AE182" i="3"/>
  <c r="M182" i="3" l="1"/>
  <c r="N182" i="3" s="1"/>
  <c r="J182" i="3"/>
  <c r="L182" i="3" s="1"/>
  <c r="W182" i="3"/>
  <c r="U182" i="3" l="1"/>
  <c r="D183" i="3" s="1"/>
  <c r="AH183" i="3"/>
  <c r="AG183" i="3"/>
  <c r="Y181" i="3"/>
  <c r="E183" i="3" l="1"/>
  <c r="H183" i="3" s="1"/>
  <c r="K183" i="3" s="1"/>
  <c r="G183" i="3"/>
  <c r="F183" i="3" l="1"/>
  <c r="I183" i="3"/>
  <c r="J183" i="3"/>
  <c r="M183" i="3"/>
  <c r="N183" i="3" s="1"/>
  <c r="V183" i="3"/>
  <c r="AE183" i="3"/>
  <c r="W183" i="3" l="1"/>
  <c r="L183" i="3"/>
  <c r="AG184" i="3" l="1"/>
  <c r="AH184" i="3"/>
  <c r="U183" i="3"/>
  <c r="D184" i="3" s="1"/>
  <c r="Y182" i="3"/>
  <c r="E184" i="3" l="1"/>
  <c r="H184" i="3" s="1"/>
  <c r="K184" i="3" s="1"/>
  <c r="G184" i="3"/>
  <c r="F184" i="3" l="1"/>
  <c r="V184" i="3"/>
  <c r="AE184" i="3"/>
  <c r="I184" i="3"/>
  <c r="J184" i="3"/>
  <c r="M184" i="3"/>
  <c r="N184" i="3" s="1"/>
  <c r="L184" i="3" l="1"/>
  <c r="W184" i="3"/>
  <c r="AG185" i="3" l="1"/>
  <c r="U184" i="3"/>
  <c r="E185" i="3" s="1"/>
  <c r="H185" i="3" s="1"/>
  <c r="AH185" i="3"/>
  <c r="Y183" i="3"/>
  <c r="D185" i="3" l="1"/>
  <c r="F185" i="3" s="1"/>
  <c r="K185" i="3"/>
  <c r="G185" i="3" l="1"/>
  <c r="I185" i="3" s="1"/>
  <c r="V185" i="3"/>
  <c r="AE185" i="3"/>
  <c r="J185" i="3" l="1"/>
  <c r="L185" i="3" s="1"/>
  <c r="M185" i="3"/>
  <c r="N185" i="3" s="1"/>
  <c r="W185" i="3"/>
  <c r="AH186" i="3" l="1"/>
  <c r="AG186" i="3"/>
  <c r="U185" i="3"/>
  <c r="E186" i="3" s="1"/>
  <c r="H186" i="3" s="1"/>
  <c r="Y184" i="3"/>
  <c r="D186" i="3" l="1"/>
  <c r="F186" i="3" s="1"/>
  <c r="K186" i="3"/>
  <c r="G186" i="3" l="1"/>
  <c r="I186" i="3" s="1"/>
  <c r="V186" i="3"/>
  <c r="AE186" i="3"/>
  <c r="W186" i="3" l="1"/>
  <c r="J186" i="3"/>
  <c r="L186" i="3" s="1"/>
  <c r="M186" i="3"/>
  <c r="N186" i="3" s="1"/>
  <c r="AG187" i="3" l="1"/>
  <c r="U186" i="3"/>
  <c r="D187" i="3" s="1"/>
  <c r="AH187" i="3"/>
  <c r="Y185" i="3"/>
  <c r="E187" i="3" l="1"/>
  <c r="H187" i="3" s="1"/>
  <c r="K187" i="3" s="1"/>
  <c r="G187" i="3"/>
  <c r="F187" i="3" l="1"/>
  <c r="I187" i="3"/>
  <c r="J187" i="3"/>
  <c r="M187" i="3"/>
  <c r="N187" i="3" s="1"/>
  <c r="V187" i="3"/>
  <c r="AE187" i="3"/>
  <c r="W187" i="3" l="1"/>
  <c r="L187" i="3"/>
  <c r="AH188" i="3" l="1"/>
  <c r="AG188" i="3"/>
  <c r="U187" i="3"/>
  <c r="D188" i="3" s="1"/>
  <c r="Y186" i="3"/>
  <c r="G188" i="3" l="1"/>
  <c r="E188" i="3"/>
  <c r="H188" i="3" s="1"/>
  <c r="K188" i="3" l="1"/>
  <c r="I188" i="3"/>
  <c r="J188" i="3"/>
  <c r="M188" i="3"/>
  <c r="N188" i="3" s="1"/>
  <c r="F188" i="3"/>
  <c r="L188" i="3" l="1"/>
  <c r="V188" i="3"/>
  <c r="W188" i="3" s="1"/>
  <c r="AE188" i="3"/>
  <c r="AH189" i="3" l="1"/>
  <c r="AG189" i="3"/>
  <c r="U188" i="3"/>
  <c r="E189" i="3" s="1"/>
  <c r="H189" i="3" s="1"/>
  <c r="Y187" i="3"/>
  <c r="D189" i="3" l="1"/>
  <c r="F189" i="3" s="1"/>
  <c r="K189" i="3"/>
  <c r="G189" i="3" l="1"/>
  <c r="I189" i="3" s="1"/>
  <c r="V189" i="3"/>
  <c r="AE189" i="3"/>
  <c r="M189" i="3" l="1"/>
  <c r="N189" i="3" s="1"/>
  <c r="J189" i="3"/>
  <c r="L189" i="3" s="1"/>
  <c r="W189" i="3"/>
  <c r="AG190" i="3" l="1"/>
  <c r="AH190" i="3"/>
  <c r="U189" i="3"/>
  <c r="D190" i="3" s="1"/>
  <c r="Y188" i="3"/>
  <c r="E190" i="3" l="1"/>
  <c r="H190" i="3" s="1"/>
  <c r="K190" i="3" s="1"/>
  <c r="G190" i="3"/>
  <c r="F190" i="3" l="1"/>
  <c r="V190" i="3"/>
  <c r="AE190" i="3"/>
  <c r="I190" i="3"/>
  <c r="J190" i="3"/>
  <c r="M190" i="3"/>
  <c r="N190" i="3" s="1"/>
  <c r="L190" i="3" l="1"/>
  <c r="W190" i="3"/>
  <c r="AG191" i="3" l="1"/>
  <c r="AH191" i="3"/>
  <c r="U190" i="3"/>
  <c r="E191" i="3" s="1"/>
  <c r="H191" i="3" s="1"/>
  <c r="Y189" i="3"/>
  <c r="D191" i="3" l="1"/>
  <c r="F191" i="3" s="1"/>
  <c r="K191" i="3"/>
  <c r="G191" i="3" l="1"/>
  <c r="I191" i="3" s="1"/>
  <c r="V191" i="3"/>
  <c r="AE191" i="3"/>
  <c r="W191" i="3" l="1"/>
  <c r="M191" i="3"/>
  <c r="N191" i="3" s="1"/>
  <c r="J191" i="3"/>
  <c r="L191" i="3" s="1"/>
  <c r="AH192" i="3" l="1"/>
  <c r="U191" i="3"/>
  <c r="D192" i="3" s="1"/>
  <c r="AG192" i="3"/>
  <c r="Y190" i="3"/>
  <c r="E192" i="3" l="1"/>
  <c r="H192" i="3" s="1"/>
  <c r="K192" i="3" s="1"/>
  <c r="G192" i="3"/>
  <c r="F192" i="3" l="1"/>
  <c r="V192" i="3"/>
  <c r="AE192" i="3"/>
  <c r="I192" i="3"/>
  <c r="J192" i="3"/>
  <c r="M192" i="3"/>
  <c r="N192" i="3" s="1"/>
  <c r="L192" i="3" l="1"/>
  <c r="W192" i="3"/>
  <c r="AH193" i="3" l="1"/>
  <c r="U192" i="3"/>
  <c r="E193" i="3" s="1"/>
  <c r="H193" i="3" s="1"/>
  <c r="AG193" i="3"/>
  <c r="Y191" i="3"/>
  <c r="D193" i="3" l="1"/>
  <c r="F193" i="3" s="1"/>
  <c r="K193" i="3"/>
  <c r="G193" i="3" l="1"/>
  <c r="J193" i="3" s="1"/>
  <c r="V193" i="3"/>
  <c r="AE193" i="3"/>
  <c r="I193" i="3" l="1"/>
  <c r="W193" i="3" s="1"/>
  <c r="M193" i="3"/>
  <c r="N193" i="3" s="1"/>
  <c r="L193" i="3"/>
  <c r="U193" i="3" l="1"/>
  <c r="E194" i="3" s="1"/>
  <c r="H194" i="3" s="1"/>
  <c r="AG194" i="3"/>
  <c r="AH194" i="3"/>
  <c r="Y192" i="3"/>
  <c r="D194" i="3" l="1"/>
  <c r="F194" i="3" s="1"/>
  <c r="K194" i="3"/>
  <c r="G194" i="3" l="1"/>
  <c r="I194" i="3" s="1"/>
  <c r="V194" i="3"/>
  <c r="AE194" i="3"/>
  <c r="J194" i="3" l="1"/>
  <c r="L194" i="3" s="1"/>
  <c r="M194" i="3"/>
  <c r="N194" i="3" s="1"/>
  <c r="W194" i="3"/>
  <c r="U194" i="3" l="1"/>
  <c r="E195" i="3" s="1"/>
  <c r="H195" i="3" s="1"/>
  <c r="AH195" i="3"/>
  <c r="AG195" i="3"/>
  <c r="Y193" i="3"/>
  <c r="D195" i="3" l="1"/>
  <c r="F195" i="3" s="1"/>
  <c r="K195" i="3"/>
  <c r="G195" i="3" l="1"/>
  <c r="J195" i="3" s="1"/>
  <c r="V195" i="3"/>
  <c r="AE195" i="3"/>
  <c r="I195" i="3" l="1"/>
  <c r="W195" i="3" s="1"/>
  <c r="M195" i="3"/>
  <c r="N195" i="3" s="1"/>
  <c r="L195" i="3"/>
  <c r="AH196" i="3" l="1"/>
  <c r="U195" i="3"/>
  <c r="E196" i="3" s="1"/>
  <c r="H196" i="3" s="1"/>
  <c r="AG196" i="3"/>
  <c r="Y194" i="3"/>
  <c r="K196" i="3" l="1"/>
  <c r="D196" i="3"/>
  <c r="F196" i="3" l="1"/>
  <c r="G196" i="3"/>
  <c r="V196" i="3"/>
  <c r="AE196" i="3"/>
  <c r="I196" i="3" l="1"/>
  <c r="W196" i="3" s="1"/>
  <c r="J196" i="3"/>
  <c r="M196" i="3"/>
  <c r="N196" i="3" s="1"/>
  <c r="L196" i="3" l="1"/>
  <c r="AH197" i="3" l="1"/>
  <c r="U196" i="3"/>
  <c r="D197" i="3" s="1"/>
  <c r="AG197" i="3"/>
  <c r="Y195" i="3"/>
  <c r="E197" i="3" l="1"/>
  <c r="H197" i="3" s="1"/>
  <c r="K197" i="3" s="1"/>
  <c r="G197" i="3"/>
  <c r="F197" i="3" l="1"/>
  <c r="I197" i="3"/>
  <c r="J197" i="3"/>
  <c r="M197" i="3"/>
  <c r="N197" i="3" s="1"/>
  <c r="V197" i="3"/>
  <c r="AE197" i="3"/>
  <c r="W197" i="3" l="1"/>
  <c r="L197" i="3"/>
  <c r="U197" i="3" l="1"/>
  <c r="E198" i="3" s="1"/>
  <c r="H198" i="3" s="1"/>
  <c r="AG198" i="3"/>
  <c r="AH198" i="3"/>
  <c r="Y196" i="3"/>
  <c r="D198" i="3" l="1"/>
  <c r="F198" i="3" s="1"/>
  <c r="K198" i="3"/>
  <c r="G198" i="3" l="1"/>
  <c r="I198" i="3" s="1"/>
  <c r="V198" i="3"/>
  <c r="AE198" i="3"/>
  <c r="M198" i="3" l="1"/>
  <c r="N198" i="3" s="1"/>
  <c r="J198" i="3"/>
  <c r="L198" i="3" s="1"/>
  <c r="W198" i="3"/>
  <c r="AH199" i="3" l="1"/>
  <c r="AG199" i="3"/>
  <c r="U198" i="3"/>
  <c r="E199" i="3" s="1"/>
  <c r="H199" i="3" s="1"/>
  <c r="Y197" i="3"/>
  <c r="K199" i="3" l="1"/>
  <c r="D199" i="3"/>
  <c r="F199" i="3" l="1"/>
  <c r="G199" i="3"/>
  <c r="V199" i="3"/>
  <c r="AE199" i="3"/>
  <c r="I199" i="3" l="1"/>
  <c r="W199" i="3" s="1"/>
  <c r="J199" i="3"/>
  <c r="M199" i="3"/>
  <c r="N199" i="3" s="1"/>
  <c r="L199" i="3" l="1"/>
  <c r="AH200" i="3" l="1"/>
  <c r="AG200" i="3"/>
  <c r="U199" i="3"/>
  <c r="D200" i="3" s="1"/>
  <c r="Y198" i="3"/>
  <c r="E200" i="3" l="1"/>
  <c r="H200" i="3" s="1"/>
  <c r="K200" i="3" s="1"/>
  <c r="G200" i="3"/>
  <c r="F200" i="3" l="1"/>
  <c r="I200" i="3"/>
  <c r="J200" i="3"/>
  <c r="M200" i="3"/>
  <c r="N200" i="3" s="1"/>
  <c r="V200" i="3"/>
  <c r="AE200" i="3"/>
  <c r="W200" i="3" l="1"/>
  <c r="L200" i="3"/>
  <c r="AG201" i="3" l="1"/>
  <c r="AH201" i="3"/>
  <c r="U200" i="3"/>
  <c r="D201" i="3" s="1"/>
  <c r="Y199" i="3"/>
  <c r="E201" i="3" l="1"/>
  <c r="H201" i="3" s="1"/>
  <c r="K201" i="3" s="1"/>
  <c r="G201" i="3"/>
  <c r="F201" i="3" l="1"/>
  <c r="V201" i="3"/>
  <c r="AE201" i="3"/>
  <c r="I201" i="3"/>
  <c r="J201" i="3"/>
  <c r="M201" i="3"/>
  <c r="N201" i="3" s="1"/>
  <c r="L201" i="3" l="1"/>
  <c r="W201" i="3"/>
  <c r="AH202" i="3" l="1"/>
  <c r="AG202" i="3"/>
  <c r="U201" i="3"/>
  <c r="D202" i="3" s="1"/>
  <c r="Y200" i="3"/>
  <c r="E202" i="3" l="1"/>
  <c r="H202" i="3" s="1"/>
  <c r="K202" i="3" s="1"/>
  <c r="G202" i="3"/>
  <c r="F202" i="3" l="1"/>
  <c r="V202" i="3"/>
  <c r="AE202" i="3"/>
  <c r="I202" i="3"/>
  <c r="J202" i="3"/>
  <c r="M202" i="3"/>
  <c r="N202" i="3" s="1"/>
  <c r="L202" i="3" l="1"/>
  <c r="W202" i="3"/>
  <c r="AH203" i="3" l="1"/>
  <c r="AG203" i="3"/>
  <c r="U202" i="3"/>
  <c r="D203" i="3" s="1"/>
  <c r="Y201" i="3"/>
  <c r="E203" i="3" l="1"/>
  <c r="H203" i="3" s="1"/>
  <c r="K203" i="3" s="1"/>
  <c r="G203" i="3"/>
  <c r="F203" i="3" l="1"/>
  <c r="V203" i="3"/>
  <c r="AE203" i="3"/>
  <c r="I203" i="3"/>
  <c r="J203" i="3"/>
  <c r="M203" i="3"/>
  <c r="N203" i="3" s="1"/>
  <c r="L203" i="3" l="1"/>
  <c r="W203" i="3"/>
  <c r="U203" i="3" l="1"/>
  <c r="E204" i="3" s="1"/>
  <c r="H204" i="3" s="1"/>
  <c r="AH204" i="3"/>
  <c r="AG204" i="3"/>
  <c r="Y202" i="3"/>
  <c r="D204" i="3" l="1"/>
  <c r="F204" i="3" s="1"/>
  <c r="K204" i="3"/>
  <c r="G204" i="3" l="1"/>
  <c r="J204" i="3" s="1"/>
  <c r="V204" i="3"/>
  <c r="A205" i="3"/>
  <c r="B205" i="3" s="1"/>
  <c r="AE204" i="3"/>
  <c r="M204" i="3" l="1"/>
  <c r="N204" i="3" s="1"/>
  <c r="I204" i="3"/>
  <c r="W204" i="3" s="1"/>
  <c r="L204" i="3"/>
  <c r="AD204" i="3"/>
  <c r="Z205" i="3"/>
  <c r="AA205" i="3"/>
  <c r="AC205" i="3"/>
  <c r="P205" i="3"/>
  <c r="Q205" i="3" s="1"/>
  <c r="R205" i="3" s="1"/>
  <c r="S205" i="3" s="1"/>
  <c r="U204" i="3" l="1"/>
  <c r="Y203" i="3"/>
  <c r="T205" i="3"/>
  <c r="D205" i="3" l="1"/>
  <c r="G205" i="3" s="1"/>
  <c r="AH205" i="3"/>
  <c r="AG205" i="3"/>
  <c r="E205" i="3"/>
  <c r="H205" i="3" s="1"/>
  <c r="K205" i="3" s="1"/>
  <c r="F205" i="3" l="1"/>
  <c r="V205" i="3"/>
  <c r="AE205" i="3"/>
  <c r="A206" i="3"/>
  <c r="B206" i="3" s="1"/>
  <c r="I205" i="3"/>
  <c r="J205" i="3"/>
  <c r="AD205" i="3" s="1"/>
  <c r="M205" i="3"/>
  <c r="N205" i="3" s="1"/>
  <c r="AC206" i="3" l="1"/>
  <c r="P206" i="3"/>
  <c r="Q206" i="3" s="1"/>
  <c r="R206" i="3" s="1"/>
  <c r="S206" i="3" s="1"/>
  <c r="Z206" i="3"/>
  <c r="AA206" i="3"/>
  <c r="L205" i="3"/>
  <c r="W205" i="3"/>
  <c r="T206" i="3" l="1"/>
  <c r="AH206" i="3" s="1"/>
  <c r="U205" i="3"/>
  <c r="Y204" i="3"/>
  <c r="E206" i="3" l="1"/>
  <c r="H206" i="3" s="1"/>
  <c r="K206" i="3" s="1"/>
  <c r="D206" i="3"/>
  <c r="G206" i="3" s="1"/>
  <c r="AG206" i="3"/>
  <c r="F206" i="3" l="1"/>
  <c r="I206" i="3"/>
  <c r="J206" i="3"/>
  <c r="AD206" i="3" s="1"/>
  <c r="M206" i="3"/>
  <c r="N206" i="3" s="1"/>
  <c r="V206" i="3"/>
  <c r="AE206" i="3"/>
  <c r="A207" i="3"/>
  <c r="B207" i="3" s="1"/>
  <c r="W206" i="3" l="1"/>
  <c r="L206" i="3"/>
  <c r="P207" i="3"/>
  <c r="Q207" i="3" s="1"/>
  <c r="R207" i="3" s="1"/>
  <c r="S207" i="3" s="1"/>
  <c r="AA207" i="3"/>
  <c r="AC207" i="3"/>
  <c r="Z207" i="3"/>
  <c r="T207" i="3" l="1"/>
  <c r="AG207" i="3" s="1"/>
  <c r="U206" i="3"/>
  <c r="Y205" i="3"/>
  <c r="D207" i="3" l="1"/>
  <c r="G207" i="3" s="1"/>
  <c r="E207" i="3"/>
  <c r="H207" i="3" s="1"/>
  <c r="K207" i="3" s="1"/>
  <c r="AH207" i="3"/>
  <c r="F207" i="3" l="1"/>
  <c r="V207" i="3"/>
  <c r="AE207" i="3"/>
  <c r="A208" i="3"/>
  <c r="B208" i="3" s="1"/>
  <c r="I207" i="3"/>
  <c r="J207" i="3"/>
  <c r="AD207" i="3" s="1"/>
  <c r="M207" i="3"/>
  <c r="N207" i="3" s="1"/>
  <c r="P208" i="3" l="1"/>
  <c r="Q208" i="3" s="1"/>
  <c r="R208" i="3" s="1"/>
  <c r="S208" i="3" s="1"/>
  <c r="Z208" i="3"/>
  <c r="AC208" i="3"/>
  <c r="AA208" i="3"/>
  <c r="L207" i="3"/>
  <c r="W207" i="3"/>
  <c r="T208" i="3" l="1"/>
  <c r="AG208" i="3" s="1"/>
  <c r="U207" i="3"/>
  <c r="Y206" i="3"/>
  <c r="AH208" i="3" l="1"/>
  <c r="D208" i="3"/>
  <c r="G208" i="3" s="1"/>
  <c r="E208" i="3"/>
  <c r="H208" i="3" s="1"/>
  <c r="K208" i="3" s="1"/>
  <c r="F208" i="3" l="1"/>
  <c r="V208" i="3"/>
  <c r="AE208" i="3"/>
  <c r="A209" i="3"/>
  <c r="B209" i="3" s="1"/>
  <c r="I208" i="3"/>
  <c r="J208" i="3"/>
  <c r="AD208" i="3" s="1"/>
  <c r="M208" i="3"/>
  <c r="N208" i="3" s="1"/>
  <c r="AA209" i="3" l="1"/>
  <c r="Z209" i="3"/>
  <c r="AC209" i="3"/>
  <c r="P209" i="3"/>
  <c r="Q209" i="3" s="1"/>
  <c r="R209" i="3" s="1"/>
  <c r="S209" i="3" s="1"/>
  <c r="L208" i="3"/>
  <c r="W208" i="3"/>
  <c r="T209" i="3" l="1"/>
  <c r="AH209" i="3" s="1"/>
  <c r="U208" i="3"/>
  <c r="Y207" i="3"/>
  <c r="E209" i="3" l="1"/>
  <c r="H209" i="3" s="1"/>
  <c r="K209" i="3" s="1"/>
  <c r="D209" i="3"/>
  <c r="AG209" i="3"/>
  <c r="F209" i="3" l="1"/>
  <c r="G209" i="3"/>
  <c r="I209" i="3" s="1"/>
  <c r="V209" i="3"/>
  <c r="AE209" i="3"/>
  <c r="A210" i="3"/>
  <c r="B210" i="3" s="1"/>
  <c r="J209" i="3" l="1"/>
  <c r="AD209" i="3" s="1"/>
  <c r="M209" i="3"/>
  <c r="N209" i="3" s="1"/>
  <c r="W209" i="3"/>
  <c r="P210" i="3"/>
  <c r="Q210" i="3" s="1"/>
  <c r="R210" i="3" s="1"/>
  <c r="S210" i="3" s="1"/>
  <c r="AC210" i="3"/>
  <c r="Z210" i="3"/>
  <c r="AA210" i="3"/>
  <c r="L209" i="3" l="1"/>
  <c r="U209" i="3" s="1"/>
  <c r="T210" i="3"/>
  <c r="Y208" i="3" l="1"/>
  <c r="D210" i="3"/>
  <c r="G210" i="3" s="1"/>
  <c r="AH210" i="3"/>
  <c r="AG210" i="3"/>
  <c r="E210" i="3"/>
  <c r="H210" i="3" s="1"/>
  <c r="K210" i="3" s="1"/>
  <c r="F210" i="3" l="1"/>
  <c r="I210" i="3"/>
  <c r="J210" i="3"/>
  <c r="AD210" i="3" s="1"/>
  <c r="M210" i="3"/>
  <c r="N210" i="3" s="1"/>
  <c r="V210" i="3"/>
  <c r="AE210" i="3"/>
  <c r="A211" i="3"/>
  <c r="B211" i="3" s="1"/>
  <c r="W210" i="3" l="1"/>
  <c r="L210" i="3"/>
  <c r="Z211" i="3"/>
  <c r="AA211" i="3"/>
  <c r="P211" i="3"/>
  <c r="Q211" i="3" s="1"/>
  <c r="R211" i="3" s="1"/>
  <c r="S211" i="3" s="1"/>
  <c r="AC211" i="3"/>
  <c r="T211" i="3" l="1"/>
  <c r="AG211" i="3" s="1"/>
  <c r="U210" i="3"/>
  <c r="Y209" i="3"/>
  <c r="AH211" i="3" l="1"/>
  <c r="D211" i="3"/>
  <c r="G211" i="3" s="1"/>
  <c r="E211" i="3"/>
  <c r="H211" i="3" s="1"/>
  <c r="K211" i="3" l="1"/>
  <c r="I211" i="3"/>
  <c r="J211" i="3"/>
  <c r="AD211" i="3" s="1"/>
  <c r="M211" i="3"/>
  <c r="N211" i="3" s="1"/>
  <c r="F211" i="3"/>
  <c r="L211" i="3" l="1"/>
  <c r="V211" i="3"/>
  <c r="W211" i="3" s="1"/>
  <c r="AE211" i="3"/>
  <c r="A212" i="3"/>
  <c r="B212" i="3" s="1"/>
  <c r="AA212" i="3" l="1"/>
  <c r="Z212" i="3"/>
  <c r="P212" i="3"/>
  <c r="Q212" i="3" s="1"/>
  <c r="R212" i="3" s="1"/>
  <c r="S212" i="3" s="1"/>
  <c r="AC212" i="3"/>
  <c r="U211" i="3"/>
  <c r="Y210" i="3"/>
  <c r="T212" i="3" l="1"/>
  <c r="AH212" i="3" s="1"/>
  <c r="E212" i="3" l="1"/>
  <c r="H212" i="3" s="1"/>
  <c r="K212" i="3" s="1"/>
  <c r="AG212" i="3"/>
  <c r="D212" i="3"/>
  <c r="F212" i="3" l="1"/>
  <c r="G212" i="3"/>
  <c r="V212" i="3"/>
  <c r="A213" i="3"/>
  <c r="B213" i="3" s="1"/>
  <c r="AE212" i="3"/>
  <c r="AA213" i="3" l="1"/>
  <c r="P213" i="3"/>
  <c r="Q213" i="3" s="1"/>
  <c r="R213" i="3" s="1"/>
  <c r="S213" i="3" s="1"/>
  <c r="Z213" i="3"/>
  <c r="AC213" i="3"/>
  <c r="I212" i="3"/>
  <c r="W212" i="3" s="1"/>
  <c r="J212" i="3"/>
  <c r="AD212" i="3" s="1"/>
  <c r="M212" i="3"/>
  <c r="N212" i="3" s="1"/>
  <c r="L212" i="3" l="1"/>
  <c r="T213" i="3"/>
  <c r="AG213" i="3" l="1"/>
  <c r="AH213" i="3"/>
  <c r="U212" i="3"/>
  <c r="E213" i="3" s="1"/>
  <c r="H213" i="3" s="1"/>
  <c r="Y211" i="3"/>
  <c r="K213" i="3" l="1"/>
  <c r="D213" i="3"/>
  <c r="F213" i="3" l="1"/>
  <c r="G213" i="3"/>
  <c r="V213" i="3"/>
  <c r="A214" i="3"/>
  <c r="B214" i="3" s="1"/>
  <c r="AE213" i="3"/>
  <c r="I213" i="3" l="1"/>
  <c r="W213" i="3" s="1"/>
  <c r="J213" i="3"/>
  <c r="AD213" i="3" s="1"/>
  <c r="M213" i="3"/>
  <c r="N213" i="3" s="1"/>
  <c r="P214" i="3"/>
  <c r="Q214" i="3" s="1"/>
  <c r="R214" i="3" s="1"/>
  <c r="S214" i="3" s="1"/>
  <c r="AA214" i="3"/>
  <c r="Z214" i="3"/>
  <c r="AC214" i="3"/>
  <c r="T214" i="3" l="1"/>
  <c r="L213" i="3"/>
  <c r="AG214" i="3" l="1"/>
  <c r="AH214" i="3"/>
  <c r="U213" i="3"/>
  <c r="E214" i="3" s="1"/>
  <c r="H214" i="3" s="1"/>
  <c r="Y212" i="3"/>
  <c r="D214" i="3" l="1"/>
  <c r="F214" i="3" s="1"/>
  <c r="K214" i="3"/>
  <c r="G214" i="3" l="1"/>
  <c r="J214" i="3" s="1"/>
  <c r="V214" i="3"/>
  <c r="AE214" i="3"/>
  <c r="A215" i="3"/>
  <c r="B215" i="3" s="1"/>
  <c r="M214" i="3" l="1"/>
  <c r="N214" i="3" s="1"/>
  <c r="I214" i="3"/>
  <c r="W214" i="3" s="1"/>
  <c r="L214" i="3"/>
  <c r="AD214" i="3"/>
  <c r="P215" i="3"/>
  <c r="Q215" i="3" s="1"/>
  <c r="R215" i="3" s="1"/>
  <c r="S215" i="3" s="1"/>
  <c r="AD215" i="3"/>
  <c r="AC215" i="3"/>
  <c r="AA215" i="3"/>
  <c r="Z215" i="3"/>
  <c r="T215" i="3" l="1"/>
  <c r="AG215" i="3" s="1"/>
  <c r="U214" i="3"/>
  <c r="Y213" i="3"/>
  <c r="AH215" i="3" l="1"/>
  <c r="E215" i="3"/>
  <c r="H215" i="3" s="1"/>
  <c r="K215" i="3" s="1"/>
  <c r="D215" i="3"/>
  <c r="F215" i="3" l="1"/>
  <c r="G215" i="3"/>
  <c r="I215" i="3" s="1"/>
  <c r="V215" i="3"/>
  <c r="AE215" i="3"/>
  <c r="A216" i="3"/>
  <c r="B216" i="3" s="1"/>
  <c r="M215" i="3" l="1"/>
  <c r="N215" i="3" s="1"/>
  <c r="J215" i="3"/>
  <c r="L215" i="3" s="1"/>
  <c r="W215" i="3"/>
  <c r="Z216" i="3"/>
  <c r="P216" i="3"/>
  <c r="Q216" i="3" s="1"/>
  <c r="R216" i="3" s="1"/>
  <c r="S216" i="3" s="1"/>
  <c r="AC216" i="3"/>
  <c r="AD216" i="3"/>
  <c r="AA216" i="3"/>
  <c r="T216" i="3" l="1"/>
  <c r="AG216" i="3" s="1"/>
  <c r="U215" i="3"/>
  <c r="Y214" i="3"/>
  <c r="E216" i="3" l="1"/>
  <c r="H216" i="3" s="1"/>
  <c r="K216" i="3" s="1"/>
  <c r="D216" i="3"/>
  <c r="AH216" i="3"/>
  <c r="F216" i="3" l="1"/>
  <c r="G216" i="3"/>
  <c r="I216" i="3" s="1"/>
  <c r="V216" i="3"/>
  <c r="AE216" i="3"/>
  <c r="A217" i="3"/>
  <c r="B217" i="3" s="1"/>
  <c r="M216" i="3" l="1"/>
  <c r="N216" i="3" s="1"/>
  <c r="W216" i="3"/>
  <c r="J216" i="3"/>
  <c r="L216" i="3" s="1"/>
  <c r="AA217" i="3"/>
  <c r="Z217" i="3"/>
  <c r="AD217" i="3"/>
  <c r="P217" i="3"/>
  <c r="Q217" i="3" s="1"/>
  <c r="R217" i="3" s="1"/>
  <c r="S217" i="3" s="1"/>
  <c r="AC217" i="3"/>
  <c r="T217" i="3" l="1"/>
  <c r="AH217" i="3" s="1"/>
  <c r="U216" i="3"/>
  <c r="Y215" i="3"/>
  <c r="E217" i="3" l="1"/>
  <c r="H217" i="3" s="1"/>
  <c r="K217" i="3" s="1"/>
  <c r="AG217" i="3"/>
  <c r="D217" i="3"/>
  <c r="G217" i="3" s="1"/>
  <c r="F217" i="3" l="1"/>
  <c r="I217" i="3"/>
  <c r="J217" i="3"/>
  <c r="M217" i="3"/>
  <c r="N217" i="3" s="1"/>
  <c r="V217" i="3"/>
  <c r="AE217" i="3"/>
  <c r="A218" i="3"/>
  <c r="B218" i="3" s="1"/>
  <c r="W217" i="3" l="1"/>
  <c r="L217" i="3"/>
  <c r="AC218" i="3"/>
  <c r="AA218" i="3"/>
  <c r="Z218" i="3"/>
  <c r="AD218" i="3"/>
  <c r="P218" i="3"/>
  <c r="Q218" i="3" s="1"/>
  <c r="R218" i="3" s="1"/>
  <c r="S218" i="3" s="1"/>
  <c r="T218" i="3" l="1"/>
  <c r="AH218" i="3" s="1"/>
  <c r="U217" i="3"/>
  <c r="Y216" i="3"/>
  <c r="AG218" i="3" l="1"/>
  <c r="D218" i="3"/>
  <c r="G218" i="3" s="1"/>
  <c r="E218" i="3"/>
  <c r="H218" i="3" s="1"/>
  <c r="K218" i="3" s="1"/>
  <c r="F218" i="3" l="1"/>
  <c r="V218" i="3"/>
  <c r="A219" i="3"/>
  <c r="B219" i="3" s="1"/>
  <c r="AE218" i="3"/>
  <c r="I218" i="3"/>
  <c r="J218" i="3"/>
  <c r="M218" i="3"/>
  <c r="N218" i="3" s="1"/>
  <c r="AA219" i="3" l="1"/>
  <c r="Z219" i="3"/>
  <c r="P219" i="3"/>
  <c r="Q219" i="3" s="1"/>
  <c r="R219" i="3" s="1"/>
  <c r="S219" i="3" s="1"/>
  <c r="AD219" i="3"/>
  <c r="AC219" i="3"/>
  <c r="L218" i="3"/>
  <c r="W218" i="3"/>
  <c r="T219" i="3" l="1"/>
  <c r="AH219" i="3" s="1"/>
  <c r="U218" i="3"/>
  <c r="Y217" i="3"/>
  <c r="AG219" i="3" l="1"/>
  <c r="E219" i="3"/>
  <c r="H219" i="3" s="1"/>
  <c r="K219" i="3" s="1"/>
  <c r="D219" i="3"/>
  <c r="F219" i="3" l="1"/>
  <c r="G219" i="3"/>
  <c r="I219" i="3" s="1"/>
  <c r="V219" i="3"/>
  <c r="AE219" i="3"/>
  <c r="A220" i="3"/>
  <c r="B220" i="3" s="1"/>
  <c r="M219" i="3" l="1"/>
  <c r="N219" i="3" s="1"/>
  <c r="J219" i="3"/>
  <c r="L219" i="3" s="1"/>
  <c r="W219" i="3"/>
  <c r="Z220" i="3"/>
  <c r="P220" i="3"/>
  <c r="Q220" i="3" s="1"/>
  <c r="R220" i="3" s="1"/>
  <c r="S220" i="3" s="1"/>
  <c r="AC220" i="3"/>
  <c r="AA220" i="3"/>
  <c r="AD220" i="3"/>
  <c r="T220" i="3" l="1"/>
  <c r="AG220" i="3" s="1"/>
  <c r="U219" i="3"/>
  <c r="Y218" i="3"/>
  <c r="AH220" i="3" l="1"/>
  <c r="E220" i="3"/>
  <c r="H220" i="3" s="1"/>
  <c r="K220" i="3" s="1"/>
  <c r="D220" i="3"/>
  <c r="F220" i="3" l="1"/>
  <c r="G220" i="3"/>
  <c r="M220" i="3" s="1"/>
  <c r="N220" i="3" s="1"/>
  <c r="V220" i="3"/>
  <c r="AE220" i="3"/>
  <c r="A221" i="3"/>
  <c r="B221" i="3" s="1"/>
  <c r="J220" i="3" l="1"/>
  <c r="L220" i="3" s="1"/>
  <c r="I220" i="3"/>
  <c r="W220" i="3" s="1"/>
  <c r="P221" i="3"/>
  <c r="Q221" i="3" s="1"/>
  <c r="R221" i="3" s="1"/>
  <c r="S221" i="3" s="1"/>
  <c r="AC221" i="3"/>
  <c r="AA221" i="3"/>
  <c r="AD221" i="3"/>
  <c r="Z221" i="3"/>
  <c r="T221" i="3" l="1"/>
  <c r="AG221" i="3" s="1"/>
  <c r="U220" i="3"/>
  <c r="Y219" i="3"/>
  <c r="AH221" i="3" l="1"/>
  <c r="D221" i="3"/>
  <c r="G221" i="3" s="1"/>
  <c r="E221" i="3"/>
  <c r="H221" i="3" s="1"/>
  <c r="I221" i="3" l="1"/>
  <c r="J221" i="3"/>
  <c r="M221" i="3"/>
  <c r="N221" i="3" s="1"/>
  <c r="K221" i="3"/>
  <c r="F221" i="3"/>
  <c r="V221" i="3" l="1"/>
  <c r="W221" i="3" s="1"/>
  <c r="AE221" i="3"/>
  <c r="A222" i="3"/>
  <c r="B222" i="3" s="1"/>
  <c r="L221" i="3"/>
  <c r="AD222" i="3" l="1"/>
  <c r="P222" i="3"/>
  <c r="Q222" i="3" s="1"/>
  <c r="R222" i="3" s="1"/>
  <c r="S222" i="3" s="1"/>
  <c r="Z222" i="3"/>
  <c r="AC222" i="3"/>
  <c r="AA222" i="3"/>
  <c r="U221" i="3"/>
  <c r="Y220" i="3"/>
  <c r="T222" i="3" l="1"/>
  <c r="D222" i="3" s="1"/>
  <c r="AG222" i="3" l="1"/>
  <c r="AH222" i="3"/>
  <c r="E222" i="3"/>
  <c r="H222" i="3" s="1"/>
  <c r="K222" i="3" s="1"/>
  <c r="G222" i="3"/>
  <c r="F222" i="3" l="1"/>
  <c r="I222" i="3"/>
  <c r="J222" i="3"/>
  <c r="M222" i="3"/>
  <c r="N222" i="3" s="1"/>
  <c r="V222" i="3"/>
  <c r="A223" i="3"/>
  <c r="B223" i="3" s="1"/>
  <c r="AE222" i="3"/>
  <c r="W222" i="3" l="1"/>
  <c r="AA223" i="3"/>
  <c r="P223" i="3"/>
  <c r="Q223" i="3" s="1"/>
  <c r="R223" i="3" s="1"/>
  <c r="S223" i="3" s="1"/>
  <c r="AC223" i="3"/>
  <c r="AD223" i="3"/>
  <c r="Z223" i="3"/>
  <c r="L222" i="3"/>
  <c r="T223" i="3" l="1"/>
  <c r="AG223" i="3" s="1"/>
  <c r="U222" i="3"/>
  <c r="Y221" i="3"/>
  <c r="AH223" i="3" l="1"/>
  <c r="E223" i="3"/>
  <c r="H223" i="3" s="1"/>
  <c r="K223" i="3" s="1"/>
  <c r="D223" i="3"/>
  <c r="F223" i="3" l="1"/>
  <c r="G223" i="3"/>
  <c r="I223" i="3" s="1"/>
  <c r="V223" i="3"/>
  <c r="A224" i="3"/>
  <c r="B224" i="3" s="1"/>
  <c r="AE223" i="3"/>
  <c r="J223" i="3" l="1"/>
  <c r="L223" i="3" s="1"/>
  <c r="M223" i="3"/>
  <c r="N223" i="3" s="1"/>
  <c r="W223" i="3"/>
  <c r="AC224" i="3"/>
  <c r="AA224" i="3"/>
  <c r="Z224" i="3"/>
  <c r="P224" i="3"/>
  <c r="Q224" i="3" s="1"/>
  <c r="R224" i="3" s="1"/>
  <c r="S224" i="3" s="1"/>
  <c r="T224" i="3" l="1"/>
  <c r="AH224" i="3" s="1"/>
  <c r="U223" i="3"/>
  <c r="Y222" i="3"/>
  <c r="AG224" i="3" l="1"/>
  <c r="D224" i="3"/>
  <c r="G224" i="3" s="1"/>
  <c r="E224" i="3"/>
  <c r="H224" i="3" s="1"/>
  <c r="K224" i="3" l="1"/>
  <c r="AE224" i="3" s="1"/>
  <c r="I224" i="3"/>
  <c r="J224" i="3"/>
  <c r="M224" i="3"/>
  <c r="N224" i="3" s="1"/>
  <c r="F224" i="3"/>
  <c r="L224" i="3" l="1"/>
  <c r="AD224" i="3"/>
  <c r="V224" i="3"/>
  <c r="W224" i="3" s="1"/>
  <c r="A225" i="3"/>
  <c r="B225" i="3" s="1"/>
  <c r="Z225" i="3" l="1"/>
  <c r="AC225" i="3"/>
  <c r="P225" i="3"/>
  <c r="Q225" i="3" s="1"/>
  <c r="R225" i="3" s="1"/>
  <c r="S225" i="3" s="1"/>
  <c r="AA225" i="3"/>
  <c r="AD225" i="3"/>
  <c r="U224" i="3"/>
  <c r="Y223" i="3"/>
  <c r="T225" i="3" l="1"/>
  <c r="AH225" i="3" s="1"/>
  <c r="AG225" i="3" l="1"/>
  <c r="D225" i="3"/>
  <c r="E225" i="3"/>
  <c r="H225" i="3" s="1"/>
  <c r="K225" i="3" s="1"/>
  <c r="AE225" i="3" s="1"/>
  <c r="F225" i="3" l="1"/>
  <c r="G225" i="3"/>
  <c r="J225" i="3" s="1"/>
  <c r="V225" i="3"/>
  <c r="A226" i="3"/>
  <c r="B226" i="3" s="1"/>
  <c r="M225" i="3" l="1"/>
  <c r="N225" i="3" s="1"/>
  <c r="I225" i="3"/>
  <c r="W225" i="3" s="1"/>
  <c r="L225" i="3"/>
  <c r="AA226" i="3"/>
  <c r="P226" i="3"/>
  <c r="Q226" i="3" s="1"/>
  <c r="R226" i="3" s="1"/>
  <c r="S226" i="3" s="1"/>
  <c r="AD226" i="3"/>
  <c r="AC226" i="3"/>
  <c r="Z226" i="3"/>
  <c r="T226" i="3" l="1"/>
  <c r="AH226" i="3" s="1"/>
  <c r="U225" i="3"/>
  <c r="Y224" i="3"/>
  <c r="AG226" i="3" l="1"/>
  <c r="D226" i="3"/>
  <c r="E226" i="3"/>
  <c r="H226" i="3" s="1"/>
  <c r="K226" i="3" s="1"/>
  <c r="AE226" i="3" s="1"/>
  <c r="F226" i="3" l="1"/>
  <c r="G226" i="3"/>
  <c r="J226" i="3" s="1"/>
  <c r="V226" i="3"/>
  <c r="A227" i="3"/>
  <c r="B227" i="3" s="1"/>
  <c r="M226" i="3" l="1"/>
  <c r="N226" i="3" s="1"/>
  <c r="I226" i="3"/>
  <c r="W226" i="3" s="1"/>
  <c r="L226" i="3"/>
  <c r="AD227" i="3"/>
  <c r="AA227" i="3"/>
  <c r="P227" i="3"/>
  <c r="Q227" i="3" s="1"/>
  <c r="R227" i="3" s="1"/>
  <c r="S227" i="3" s="1"/>
  <c r="Z227" i="3"/>
  <c r="AC227" i="3"/>
  <c r="T227" i="3" l="1"/>
  <c r="AH227" i="3" s="1"/>
  <c r="U226" i="3"/>
  <c r="Y225" i="3"/>
  <c r="E227" i="3" l="1"/>
  <c r="H227" i="3" s="1"/>
  <c r="K227" i="3" s="1"/>
  <c r="AE227" i="3" s="1"/>
  <c r="AG227" i="3"/>
  <c r="D227" i="3"/>
  <c r="F227" i="3" l="1"/>
  <c r="G227" i="3"/>
  <c r="I227" i="3" s="1"/>
  <c r="V227" i="3"/>
  <c r="A228" i="3"/>
  <c r="B228" i="3" s="1"/>
  <c r="M227" i="3" l="1"/>
  <c r="N227" i="3" s="1"/>
  <c r="J227" i="3"/>
  <c r="L227" i="3" s="1"/>
  <c r="W227" i="3"/>
  <c r="AA228" i="3"/>
  <c r="AD228" i="3"/>
  <c r="Z228" i="3"/>
  <c r="P228" i="3"/>
  <c r="Q228" i="3" s="1"/>
  <c r="R228" i="3" s="1"/>
  <c r="S228" i="3" s="1"/>
  <c r="AC228" i="3"/>
  <c r="T228" i="3" l="1"/>
  <c r="U227" i="3"/>
  <c r="Y226" i="3"/>
  <c r="D228" i="3" l="1"/>
  <c r="G228" i="3" s="1"/>
  <c r="AH228" i="3"/>
  <c r="E228" i="3"/>
  <c r="H228" i="3" s="1"/>
  <c r="K228" i="3" s="1"/>
  <c r="AE228" i="3" s="1"/>
  <c r="AG228" i="3"/>
  <c r="F228" i="3" l="1"/>
  <c r="I228" i="3"/>
  <c r="J228" i="3"/>
  <c r="M228" i="3"/>
  <c r="N228" i="3" s="1"/>
  <c r="V228" i="3"/>
  <c r="A229" i="3"/>
  <c r="B229" i="3" s="1"/>
  <c r="W228" i="3" l="1"/>
  <c r="P229" i="3"/>
  <c r="Q229" i="3" s="1"/>
  <c r="R229" i="3" s="1"/>
  <c r="S229" i="3" s="1"/>
  <c r="Z229" i="3"/>
  <c r="AA229" i="3"/>
  <c r="AC229" i="3"/>
  <c r="AD229" i="3"/>
  <c r="L228" i="3"/>
  <c r="U228" i="3" l="1"/>
  <c r="Y227" i="3"/>
  <c r="T229" i="3"/>
  <c r="AG229" i="3" s="1"/>
  <c r="AH229" i="3" l="1"/>
  <c r="D229" i="3"/>
  <c r="G229" i="3" s="1"/>
  <c r="E229" i="3"/>
  <c r="H229" i="3" s="1"/>
  <c r="K229" i="3" s="1"/>
  <c r="AE229" i="3" s="1"/>
  <c r="F229" i="3" l="1"/>
  <c r="V229" i="3"/>
  <c r="A230" i="3"/>
  <c r="B230" i="3" s="1"/>
  <c r="I229" i="3"/>
  <c r="J229" i="3"/>
  <c r="M229" i="3"/>
  <c r="N229" i="3" s="1"/>
  <c r="L229" i="3" l="1"/>
  <c r="AD230" i="3"/>
  <c r="Z230" i="3"/>
  <c r="AA230" i="3"/>
  <c r="P230" i="3"/>
  <c r="Q230" i="3" s="1"/>
  <c r="R230" i="3" s="1"/>
  <c r="S230" i="3" s="1"/>
  <c r="AC230" i="3"/>
  <c r="W229" i="3"/>
  <c r="T230" i="3" l="1"/>
  <c r="AH230" i="3" s="1"/>
  <c r="U229" i="3"/>
  <c r="Y228" i="3"/>
  <c r="D230" i="3" l="1"/>
  <c r="G230" i="3" s="1"/>
  <c r="AG230" i="3"/>
  <c r="E230" i="3"/>
  <c r="H230" i="3" s="1"/>
  <c r="K230" i="3" s="1"/>
  <c r="AE230" i="3" s="1"/>
  <c r="F230" i="3" l="1"/>
  <c r="I230" i="3"/>
  <c r="J230" i="3"/>
  <c r="M230" i="3"/>
  <c r="N230" i="3" s="1"/>
  <c r="V230" i="3"/>
  <c r="A231" i="3"/>
  <c r="B231" i="3" s="1"/>
  <c r="W230" i="3" l="1"/>
  <c r="AA231" i="3"/>
  <c r="AC231" i="3"/>
  <c r="Z231" i="3"/>
  <c r="AD231" i="3"/>
  <c r="P231" i="3"/>
  <c r="Q231" i="3" s="1"/>
  <c r="R231" i="3" s="1"/>
  <c r="S231" i="3" s="1"/>
  <c r="L230" i="3"/>
  <c r="T231" i="3" l="1"/>
  <c r="AG231" i="3" s="1"/>
  <c r="U230" i="3"/>
  <c r="Y229" i="3"/>
  <c r="AH231" i="3" l="1"/>
  <c r="D231" i="3"/>
  <c r="G231" i="3" s="1"/>
  <c r="E231" i="3"/>
  <c r="H231" i="3" s="1"/>
  <c r="K231" i="3" s="1"/>
  <c r="AE231" i="3" s="1"/>
  <c r="F231" i="3" l="1"/>
  <c r="V231" i="3"/>
  <c r="A232" i="3"/>
  <c r="B232" i="3" s="1"/>
  <c r="I231" i="3"/>
  <c r="J231" i="3"/>
  <c r="M231" i="3"/>
  <c r="N231" i="3" s="1"/>
  <c r="L231" i="3" l="1"/>
  <c r="Z232" i="3"/>
  <c r="P232" i="3"/>
  <c r="Q232" i="3" s="1"/>
  <c r="R232" i="3" s="1"/>
  <c r="S232" i="3" s="1"/>
  <c r="AC232" i="3"/>
  <c r="AD232" i="3"/>
  <c r="AA232" i="3"/>
  <c r="W231" i="3"/>
  <c r="U231" i="3" l="1"/>
  <c r="Y230" i="3"/>
  <c r="T232" i="3"/>
  <c r="E232" i="3" l="1"/>
  <c r="H232" i="3" s="1"/>
  <c r="K232" i="3" s="1"/>
  <c r="AE232" i="3" s="1"/>
  <c r="AG232" i="3"/>
  <c r="AH232" i="3"/>
  <c r="D232" i="3"/>
  <c r="F232" i="3" l="1"/>
  <c r="G232" i="3"/>
  <c r="V232" i="3"/>
  <c r="A233" i="3"/>
  <c r="B233" i="3" s="1"/>
  <c r="AD233" i="3" l="1"/>
  <c r="P233" i="3"/>
  <c r="Q233" i="3" s="1"/>
  <c r="R233" i="3" s="1"/>
  <c r="S233" i="3" s="1"/>
  <c r="AA233" i="3"/>
  <c r="AC233" i="3"/>
  <c r="Z233" i="3"/>
  <c r="I232" i="3"/>
  <c r="W232" i="3" s="1"/>
  <c r="J232" i="3"/>
  <c r="M232" i="3"/>
  <c r="N232" i="3" s="1"/>
  <c r="L232" i="3" l="1"/>
  <c r="T233" i="3"/>
  <c r="AG233" i="3" l="1"/>
  <c r="AH233" i="3"/>
  <c r="U232" i="3"/>
  <c r="D233" i="3" s="1"/>
  <c r="Y231" i="3"/>
  <c r="E233" i="3" l="1"/>
  <c r="H233" i="3" s="1"/>
  <c r="K233" i="3" s="1"/>
  <c r="AE233" i="3" s="1"/>
  <c r="G233" i="3"/>
  <c r="F233" i="3" l="1"/>
  <c r="V233" i="3"/>
  <c r="A234" i="3"/>
  <c r="B234" i="3" s="1"/>
  <c r="I233" i="3"/>
  <c r="J233" i="3"/>
  <c r="M233" i="3"/>
  <c r="N233" i="3" s="1"/>
  <c r="L233" i="3" l="1"/>
  <c r="AA234" i="3"/>
  <c r="P234" i="3"/>
  <c r="Q234" i="3" s="1"/>
  <c r="R234" i="3" s="1"/>
  <c r="S234" i="3" s="1"/>
  <c r="Z234" i="3"/>
  <c r="AC234" i="3"/>
  <c r="W233" i="3"/>
  <c r="T234" i="3" l="1"/>
  <c r="AH234" i="3" s="1"/>
  <c r="U233" i="3"/>
  <c r="Y232" i="3"/>
  <c r="AG234" i="3" l="1"/>
  <c r="D234" i="3"/>
  <c r="G234" i="3" s="1"/>
  <c r="E234" i="3"/>
  <c r="H234" i="3" s="1"/>
  <c r="K234" i="3" s="1"/>
  <c r="AE234" i="3" s="1"/>
  <c r="F234" i="3" l="1"/>
  <c r="V234" i="3"/>
  <c r="A235" i="3"/>
  <c r="B235" i="3" s="1"/>
  <c r="I234" i="3"/>
  <c r="J234" i="3"/>
  <c r="M234" i="3"/>
  <c r="N234" i="3" s="1"/>
  <c r="Z235" i="3" l="1"/>
  <c r="AA235" i="3"/>
  <c r="P235" i="3"/>
  <c r="Q235" i="3" s="1"/>
  <c r="R235" i="3" s="1"/>
  <c r="S235" i="3" s="1"/>
  <c r="AD235" i="3"/>
  <c r="AC235" i="3"/>
  <c r="L234" i="3"/>
  <c r="AD234" i="3"/>
  <c r="W234" i="3"/>
  <c r="U234" i="3" l="1"/>
  <c r="Y233" i="3"/>
  <c r="T235" i="3"/>
  <c r="D235" i="3" l="1"/>
  <c r="G235" i="3" s="1"/>
  <c r="E235" i="3"/>
  <c r="H235" i="3" s="1"/>
  <c r="AG235" i="3"/>
  <c r="AH235" i="3"/>
  <c r="K235" i="3" l="1"/>
  <c r="AE235" i="3" s="1"/>
  <c r="I235" i="3"/>
  <c r="J235" i="3"/>
  <c r="M235" i="3"/>
  <c r="N235" i="3" s="1"/>
  <c r="F235" i="3"/>
  <c r="L235" i="3" l="1"/>
  <c r="V235" i="3"/>
  <c r="W235" i="3" s="1"/>
  <c r="A236" i="3"/>
  <c r="B236" i="3" s="1"/>
  <c r="AA236" i="3" l="1"/>
  <c r="Z236" i="3"/>
  <c r="AD236" i="3"/>
  <c r="P236" i="3"/>
  <c r="Q236" i="3" s="1"/>
  <c r="R236" i="3" s="1"/>
  <c r="S236" i="3" s="1"/>
  <c r="AC236" i="3"/>
  <c r="U235" i="3"/>
  <c r="Y234" i="3"/>
  <c r="T236" i="3" l="1"/>
  <c r="AH236" i="3" s="1"/>
  <c r="E236" i="3" l="1"/>
  <c r="H236" i="3" s="1"/>
  <c r="K236" i="3" s="1"/>
  <c r="AE236" i="3" s="1"/>
  <c r="D236" i="3"/>
  <c r="AG236" i="3"/>
  <c r="F236" i="3" l="1"/>
  <c r="G236" i="3"/>
  <c r="I236" i="3" s="1"/>
  <c r="V236" i="3"/>
  <c r="A237" i="3"/>
  <c r="B237" i="3" s="1"/>
  <c r="M236" i="3" l="1"/>
  <c r="N236" i="3" s="1"/>
  <c r="J236" i="3"/>
  <c r="L236" i="3" s="1"/>
  <c r="W236" i="3"/>
  <c r="AD237" i="3"/>
  <c r="AA237" i="3"/>
  <c r="Z237" i="3"/>
  <c r="AC237" i="3"/>
  <c r="P237" i="3"/>
  <c r="Q237" i="3" s="1"/>
  <c r="R237" i="3" s="1"/>
  <c r="S237" i="3" s="1"/>
  <c r="T237" i="3" l="1"/>
  <c r="AH237" i="3" s="1"/>
  <c r="U236" i="3"/>
  <c r="Y235" i="3"/>
  <c r="D237" i="3" l="1"/>
  <c r="G237" i="3" s="1"/>
  <c r="AG237" i="3"/>
  <c r="E237" i="3"/>
  <c r="H237" i="3" s="1"/>
  <c r="K237" i="3" s="1"/>
  <c r="AE237" i="3" s="1"/>
  <c r="F237" i="3" l="1"/>
  <c r="V237" i="3"/>
  <c r="A238" i="3"/>
  <c r="B238" i="3" s="1"/>
  <c r="I237" i="3"/>
  <c r="J237" i="3"/>
  <c r="M237" i="3"/>
  <c r="N237" i="3" s="1"/>
  <c r="L237" i="3" l="1"/>
  <c r="Z238" i="3"/>
  <c r="P238" i="3"/>
  <c r="Q238" i="3" s="1"/>
  <c r="R238" i="3" s="1"/>
  <c r="S238" i="3" s="1"/>
  <c r="AD238" i="3"/>
  <c r="AA238" i="3"/>
  <c r="AC238" i="3"/>
  <c r="W237" i="3"/>
  <c r="T238" i="3" l="1"/>
  <c r="AG238" i="3" s="1"/>
  <c r="U237" i="3"/>
  <c r="Y236" i="3"/>
  <c r="AH238" i="3" l="1"/>
  <c r="D238" i="3"/>
  <c r="G238" i="3" s="1"/>
  <c r="E238" i="3"/>
  <c r="H238" i="3" s="1"/>
  <c r="K238" i="3" s="1"/>
  <c r="AE238" i="3" s="1"/>
  <c r="F238" i="3" l="1"/>
  <c r="I238" i="3"/>
  <c r="J238" i="3"/>
  <c r="M238" i="3"/>
  <c r="N238" i="3" s="1"/>
  <c r="V238" i="3"/>
  <c r="A239" i="3"/>
  <c r="B239" i="3" s="1"/>
  <c r="W238" i="3" l="1"/>
  <c r="AA239" i="3"/>
  <c r="P239" i="3"/>
  <c r="Q239" i="3" s="1"/>
  <c r="R239" i="3" s="1"/>
  <c r="S239" i="3" s="1"/>
  <c r="AC239" i="3"/>
  <c r="Z239" i="3"/>
  <c r="AD239" i="3"/>
  <c r="L238" i="3"/>
  <c r="T239" i="3" l="1"/>
  <c r="AH239" i="3" s="1"/>
  <c r="U238" i="3"/>
  <c r="Y237" i="3"/>
  <c r="E239" i="3" l="1"/>
  <c r="H239" i="3" s="1"/>
  <c r="K239" i="3" s="1"/>
  <c r="AE239" i="3" s="1"/>
  <c r="AG239" i="3"/>
  <c r="D239" i="3"/>
  <c r="F239" i="3" l="1"/>
  <c r="G239" i="3"/>
  <c r="I239" i="3" s="1"/>
  <c r="V239" i="3"/>
  <c r="A240" i="3"/>
  <c r="B240" i="3" s="1"/>
  <c r="M239" i="3" l="1"/>
  <c r="N239" i="3" s="1"/>
  <c r="J239" i="3"/>
  <c r="L239" i="3" s="1"/>
  <c r="W239" i="3"/>
  <c r="AA240" i="3"/>
  <c r="AC240" i="3"/>
  <c r="AD240" i="3"/>
  <c r="Z240" i="3"/>
  <c r="P240" i="3"/>
  <c r="Q240" i="3" s="1"/>
  <c r="R240" i="3" s="1"/>
  <c r="S240" i="3" s="1"/>
  <c r="T240" i="3" l="1"/>
  <c r="AG240" i="3" s="1"/>
  <c r="U239" i="3"/>
  <c r="Y238" i="3"/>
  <c r="AH240" i="3" l="1"/>
  <c r="E240" i="3"/>
  <c r="H240" i="3" s="1"/>
  <c r="K240" i="3" s="1"/>
  <c r="AE240" i="3" s="1"/>
  <c r="D240" i="3"/>
  <c r="F240" i="3" l="1"/>
  <c r="G240" i="3"/>
  <c r="I240" i="3" s="1"/>
  <c r="V240" i="3"/>
  <c r="A241" i="3"/>
  <c r="B241" i="3" s="1"/>
  <c r="M240" i="3" l="1"/>
  <c r="N240" i="3" s="1"/>
  <c r="J240" i="3"/>
  <c r="L240" i="3" s="1"/>
  <c r="AD241" i="3"/>
  <c r="Z241" i="3"/>
  <c r="AC241" i="3"/>
  <c r="AA241" i="3"/>
  <c r="P241" i="3"/>
  <c r="Q241" i="3" s="1"/>
  <c r="R241" i="3" s="1"/>
  <c r="S241" i="3" s="1"/>
  <c r="W240" i="3"/>
  <c r="T241" i="3" l="1"/>
  <c r="AG241" i="3" s="1"/>
  <c r="U240" i="3"/>
  <c r="Y239" i="3"/>
  <c r="AH241" i="3" l="1"/>
  <c r="D241" i="3"/>
  <c r="G241" i="3" s="1"/>
  <c r="E241" i="3"/>
  <c r="H241" i="3" s="1"/>
  <c r="K241" i="3" s="1"/>
  <c r="AE241" i="3" s="1"/>
  <c r="F241" i="3" l="1"/>
  <c r="V241" i="3"/>
  <c r="A242" i="3"/>
  <c r="B242" i="3" s="1"/>
  <c r="I241" i="3"/>
  <c r="J241" i="3"/>
  <c r="M241" i="3"/>
  <c r="N241" i="3" s="1"/>
  <c r="AC242" i="3" l="1"/>
  <c r="Z242" i="3"/>
  <c r="AD242" i="3"/>
  <c r="AA242" i="3"/>
  <c r="P242" i="3"/>
  <c r="Q242" i="3" s="1"/>
  <c r="R242" i="3" s="1"/>
  <c r="S242" i="3" s="1"/>
  <c r="L241" i="3"/>
  <c r="W241" i="3"/>
  <c r="T242" i="3" l="1"/>
  <c r="AG242" i="3" s="1"/>
  <c r="U241" i="3"/>
  <c r="Y240" i="3"/>
  <c r="AH242" i="3" l="1"/>
  <c r="D242" i="3"/>
  <c r="E242" i="3"/>
  <c r="H242" i="3" s="1"/>
  <c r="K242" i="3" s="1"/>
  <c r="AE242" i="3" s="1"/>
  <c r="F242" i="3" l="1"/>
  <c r="G242" i="3"/>
  <c r="I242" i="3" s="1"/>
  <c r="V242" i="3"/>
  <c r="A243" i="3"/>
  <c r="B243" i="3" s="1"/>
  <c r="M242" i="3" l="1"/>
  <c r="N242" i="3" s="1"/>
  <c r="W242" i="3"/>
  <c r="J242" i="3"/>
  <c r="L242" i="3" s="1"/>
  <c r="AD243" i="3"/>
  <c r="P243" i="3"/>
  <c r="Q243" i="3" s="1"/>
  <c r="R243" i="3" s="1"/>
  <c r="S243" i="3" s="1"/>
  <c r="AC243" i="3"/>
  <c r="AA243" i="3"/>
  <c r="Z243" i="3"/>
  <c r="U242" i="3" l="1"/>
  <c r="Y241" i="3"/>
  <c r="T243" i="3"/>
  <c r="AG243" i="3" s="1"/>
  <c r="E243" i="3" l="1"/>
  <c r="H243" i="3" s="1"/>
  <c r="K243" i="3" s="1"/>
  <c r="AE243" i="3" s="1"/>
  <c r="AH243" i="3"/>
  <c r="D243" i="3"/>
  <c r="F243" i="3" l="1"/>
  <c r="G243" i="3"/>
  <c r="I243" i="3" s="1"/>
  <c r="V243" i="3"/>
  <c r="A244" i="3"/>
  <c r="B244" i="3" s="1"/>
  <c r="M243" i="3" l="1"/>
  <c r="N243" i="3" s="1"/>
  <c r="J243" i="3"/>
  <c r="L243" i="3" s="1"/>
  <c r="W243" i="3"/>
  <c r="AA244" i="3"/>
  <c r="AC244" i="3"/>
  <c r="Z244" i="3"/>
  <c r="P244" i="3"/>
  <c r="Q244" i="3" s="1"/>
  <c r="R244" i="3" s="1"/>
  <c r="S244" i="3" s="1"/>
  <c r="U243" i="3" l="1"/>
  <c r="Y242" i="3"/>
  <c r="T244" i="3"/>
  <c r="AG244" i="3" s="1"/>
  <c r="D244" i="3" l="1"/>
  <c r="G244" i="3" s="1"/>
  <c r="AH244" i="3"/>
  <c r="E244" i="3"/>
  <c r="H244" i="3" s="1"/>
  <c r="K244" i="3" s="1"/>
  <c r="AE244" i="3" s="1"/>
  <c r="F244" i="3" l="1"/>
  <c r="V244" i="3"/>
  <c r="A245" i="3"/>
  <c r="B245" i="3" s="1"/>
  <c r="I244" i="3"/>
  <c r="J244" i="3"/>
  <c r="M244" i="3"/>
  <c r="N244" i="3" s="1"/>
  <c r="AC245" i="3" l="1"/>
  <c r="P245" i="3"/>
  <c r="Q245" i="3" s="1"/>
  <c r="R245" i="3" s="1"/>
  <c r="S245" i="3" s="1"/>
  <c r="AA245" i="3"/>
  <c r="Z245" i="3"/>
  <c r="AD245" i="3"/>
  <c r="L244" i="3"/>
  <c r="AD244" i="3"/>
  <c r="W244" i="3"/>
  <c r="U244" i="3" l="1"/>
  <c r="Y243" i="3"/>
  <c r="T245" i="3"/>
  <c r="D245" i="3" l="1"/>
  <c r="G245" i="3" s="1"/>
  <c r="AG245" i="3"/>
  <c r="AH245" i="3"/>
  <c r="E245" i="3"/>
  <c r="H245" i="3" s="1"/>
  <c r="K245" i="3" s="1"/>
  <c r="AE245" i="3" s="1"/>
  <c r="F245" i="3" l="1"/>
  <c r="V245" i="3"/>
  <c r="A246" i="3"/>
  <c r="B246" i="3" s="1"/>
  <c r="I245" i="3"/>
  <c r="J245" i="3"/>
  <c r="M245" i="3"/>
  <c r="N245" i="3" s="1"/>
  <c r="Z246" i="3" l="1"/>
  <c r="AD246" i="3"/>
  <c r="AC246" i="3"/>
  <c r="AA246" i="3"/>
  <c r="P246" i="3"/>
  <c r="Q246" i="3" s="1"/>
  <c r="R246" i="3" s="1"/>
  <c r="S246" i="3" s="1"/>
  <c r="L245" i="3"/>
  <c r="W245" i="3"/>
  <c r="T246" i="3" l="1"/>
  <c r="AG246" i="3" s="1"/>
  <c r="U245" i="3"/>
  <c r="Y244" i="3"/>
  <c r="E246" i="3" l="1"/>
  <c r="H246" i="3" s="1"/>
  <c r="K246" i="3" s="1"/>
  <c r="AE246" i="3" s="1"/>
  <c r="D246" i="3"/>
  <c r="AH246" i="3"/>
  <c r="F246" i="3" l="1"/>
  <c r="G246" i="3"/>
  <c r="I246" i="3" s="1"/>
  <c r="V246" i="3"/>
  <c r="A247" i="3"/>
  <c r="B247" i="3" s="1"/>
  <c r="J246" i="3" l="1"/>
  <c r="L246" i="3" s="1"/>
  <c r="M246" i="3"/>
  <c r="N246" i="3" s="1"/>
  <c r="W246" i="3"/>
  <c r="Z247" i="3"/>
  <c r="AD247" i="3"/>
  <c r="AC247" i="3"/>
  <c r="AA247" i="3"/>
  <c r="P247" i="3"/>
  <c r="Q247" i="3" s="1"/>
  <c r="R247" i="3" s="1"/>
  <c r="S247" i="3" s="1"/>
  <c r="T247" i="3" l="1"/>
  <c r="AH247" i="3" s="1"/>
  <c r="U246" i="3"/>
  <c r="Y245" i="3"/>
  <c r="E247" i="3" l="1"/>
  <c r="H247" i="3" s="1"/>
  <c r="K247" i="3" s="1"/>
  <c r="AE247" i="3" s="1"/>
  <c r="D247" i="3"/>
  <c r="AG247" i="3"/>
  <c r="F247" i="3" l="1"/>
  <c r="G247" i="3"/>
  <c r="I247" i="3" s="1"/>
  <c r="V247" i="3"/>
  <c r="A248" i="3"/>
  <c r="B248" i="3" s="1"/>
  <c r="M247" i="3" l="1"/>
  <c r="N247" i="3" s="1"/>
  <c r="J247" i="3"/>
  <c r="L247" i="3" s="1"/>
  <c r="W247" i="3"/>
  <c r="AA248" i="3"/>
  <c r="AC248" i="3"/>
  <c r="AD248" i="3"/>
  <c r="Z248" i="3"/>
  <c r="P248" i="3"/>
  <c r="Q248" i="3" s="1"/>
  <c r="R248" i="3" s="1"/>
  <c r="S248" i="3" s="1"/>
  <c r="T248" i="3" l="1"/>
  <c r="AH248" i="3" s="1"/>
  <c r="U247" i="3"/>
  <c r="Y246" i="3"/>
  <c r="AG248" i="3" l="1"/>
  <c r="E248" i="3"/>
  <c r="H248" i="3" s="1"/>
  <c r="K248" i="3" s="1"/>
  <c r="AE248" i="3" s="1"/>
  <c r="D248" i="3"/>
  <c r="F248" i="3" l="1"/>
  <c r="G248" i="3"/>
  <c r="V248" i="3"/>
  <c r="A249" i="3"/>
  <c r="B249" i="3" s="1"/>
  <c r="AD249" i="3" l="1"/>
  <c r="P249" i="3"/>
  <c r="Q249" i="3" s="1"/>
  <c r="R249" i="3" s="1"/>
  <c r="S249" i="3" s="1"/>
  <c r="AA249" i="3"/>
  <c r="AC249" i="3"/>
  <c r="Z249" i="3"/>
  <c r="I248" i="3"/>
  <c r="W248" i="3" s="1"/>
  <c r="J248" i="3"/>
  <c r="M248" i="3"/>
  <c r="N248" i="3" s="1"/>
  <c r="L248" i="3" l="1"/>
  <c r="T249" i="3"/>
  <c r="AG249" i="3" l="1"/>
  <c r="AH249" i="3"/>
  <c r="U248" i="3"/>
  <c r="D249" i="3" s="1"/>
  <c r="Y247" i="3"/>
  <c r="G249" i="3" l="1"/>
  <c r="E249" i="3"/>
  <c r="H249" i="3" s="1"/>
  <c r="K249" i="3" l="1"/>
  <c r="AE249" i="3" s="1"/>
  <c r="I249" i="3"/>
  <c r="J249" i="3"/>
  <c r="M249" i="3"/>
  <c r="N249" i="3" s="1"/>
  <c r="F249" i="3"/>
  <c r="L249" i="3" l="1"/>
  <c r="V249" i="3"/>
  <c r="W249" i="3" s="1"/>
  <c r="A250" i="3"/>
  <c r="B250" i="3" s="1"/>
  <c r="AA250" i="3" l="1"/>
  <c r="AC250" i="3"/>
  <c r="P250" i="3"/>
  <c r="Q250" i="3" s="1"/>
  <c r="R250" i="3" s="1"/>
  <c r="S250" i="3" s="1"/>
  <c r="Z250" i="3"/>
  <c r="AD250" i="3"/>
  <c r="U249" i="3"/>
  <c r="Y248" i="3"/>
  <c r="T250" i="3" l="1"/>
  <c r="AG250" i="3" s="1"/>
  <c r="D250" i="3" l="1"/>
  <c r="G250" i="3" s="1"/>
  <c r="E250" i="3"/>
  <c r="H250" i="3" s="1"/>
  <c r="AH250" i="3"/>
  <c r="F250" i="3" l="1"/>
  <c r="I250" i="3"/>
  <c r="J250" i="3"/>
  <c r="M250" i="3"/>
  <c r="N250" i="3" s="1"/>
  <c r="K250" i="3"/>
  <c r="AE250" i="3" s="1"/>
  <c r="V250" i="3" l="1"/>
  <c r="W250" i="3" s="1"/>
  <c r="A251" i="3"/>
  <c r="B251" i="3" s="1"/>
  <c r="L250" i="3"/>
  <c r="Z251" i="3" l="1"/>
  <c r="AD251" i="3"/>
  <c r="AA251" i="3"/>
  <c r="P251" i="3"/>
  <c r="Q251" i="3" s="1"/>
  <c r="R251" i="3" s="1"/>
  <c r="S251" i="3" s="1"/>
  <c r="AC251" i="3"/>
  <c r="U250" i="3"/>
  <c r="Y249" i="3"/>
  <c r="T251" i="3" l="1"/>
  <c r="E251" i="3" s="1"/>
  <c r="H251" i="3" s="1"/>
  <c r="AH251" i="3" l="1"/>
  <c r="D251" i="3"/>
  <c r="F251" i="3" s="1"/>
  <c r="AG251" i="3"/>
  <c r="K251" i="3"/>
  <c r="AE251" i="3" s="1"/>
  <c r="G251" i="3" l="1"/>
  <c r="I251" i="3" s="1"/>
  <c r="V251" i="3"/>
  <c r="A252" i="3"/>
  <c r="B252" i="3" s="1"/>
  <c r="J251" i="3" l="1"/>
  <c r="L251" i="3" s="1"/>
  <c r="M251" i="3"/>
  <c r="N251" i="3" s="1"/>
  <c r="P252" i="3"/>
  <c r="Q252" i="3" s="1"/>
  <c r="R252" i="3" s="1"/>
  <c r="S252" i="3" s="1"/>
  <c r="AA252" i="3"/>
  <c r="AC252" i="3"/>
  <c r="AD252" i="3"/>
  <c r="Z252" i="3"/>
  <c r="W251" i="3"/>
  <c r="T252" i="3" l="1"/>
  <c r="AH252" i="3" s="1"/>
  <c r="U251" i="3"/>
  <c r="Y250" i="3"/>
  <c r="AG252" i="3" l="1"/>
  <c r="E252" i="3"/>
  <c r="H252" i="3" s="1"/>
  <c r="K252" i="3" s="1"/>
  <c r="AE252" i="3" s="1"/>
  <c r="D252" i="3"/>
  <c r="G252" i="3" s="1"/>
  <c r="F252" i="3" l="1"/>
  <c r="I252" i="3"/>
  <c r="J252" i="3"/>
  <c r="M252" i="3"/>
  <c r="N252" i="3" s="1"/>
  <c r="V252" i="3"/>
  <c r="A253" i="3"/>
  <c r="B253" i="3" s="1"/>
  <c r="W252" i="3" l="1"/>
  <c r="AA253" i="3"/>
  <c r="AD253" i="3"/>
  <c r="AC253" i="3"/>
  <c r="Z253" i="3"/>
  <c r="P253" i="3"/>
  <c r="Q253" i="3" s="1"/>
  <c r="R253" i="3" s="1"/>
  <c r="S253" i="3" s="1"/>
  <c r="L252" i="3"/>
  <c r="T253" i="3" l="1"/>
  <c r="AH253" i="3" s="1"/>
  <c r="U252" i="3"/>
  <c r="Y251" i="3"/>
  <c r="D253" i="3" l="1"/>
  <c r="G253" i="3" s="1"/>
  <c r="AG253" i="3"/>
  <c r="E253" i="3"/>
  <c r="H253" i="3" s="1"/>
  <c r="K253" i="3" s="1"/>
  <c r="AE253" i="3" s="1"/>
  <c r="F253" i="3" l="1"/>
  <c r="I253" i="3"/>
  <c r="J253" i="3"/>
  <c r="M253" i="3"/>
  <c r="N253" i="3" s="1"/>
  <c r="V253" i="3"/>
  <c r="A254" i="3"/>
  <c r="B254" i="3" s="1"/>
  <c r="W253" i="3" l="1"/>
  <c r="Z254" i="3"/>
  <c r="AA254" i="3"/>
  <c r="P254" i="3"/>
  <c r="Q254" i="3" s="1"/>
  <c r="R254" i="3" s="1"/>
  <c r="S254" i="3" s="1"/>
  <c r="AC254" i="3"/>
  <c r="L253" i="3"/>
  <c r="T254" i="3" l="1"/>
  <c r="AG254" i="3" s="1"/>
  <c r="U253" i="3"/>
  <c r="Y252" i="3"/>
  <c r="AH254" i="3" l="1"/>
  <c r="E254" i="3"/>
  <c r="H254" i="3" s="1"/>
  <c r="K254" i="3" s="1"/>
  <c r="AE254" i="3" s="1"/>
  <c r="D254" i="3"/>
  <c r="F254" i="3" l="1"/>
  <c r="G254" i="3"/>
  <c r="V254" i="3"/>
  <c r="A255" i="3"/>
  <c r="B255" i="3" s="1"/>
  <c r="AA255" i="3" l="1"/>
  <c r="AC255" i="3"/>
  <c r="AD255" i="3"/>
  <c r="P255" i="3"/>
  <c r="Q255" i="3" s="1"/>
  <c r="R255" i="3" s="1"/>
  <c r="S255" i="3" s="1"/>
  <c r="Z255" i="3"/>
  <c r="I254" i="3"/>
  <c r="W254" i="3" s="1"/>
  <c r="J254" i="3"/>
  <c r="M254" i="3"/>
  <c r="N254" i="3" s="1"/>
  <c r="T255" i="3" l="1"/>
  <c r="L254" i="3"/>
  <c r="AD254" i="3"/>
  <c r="AH255" i="3" l="1"/>
  <c r="AG255" i="3"/>
  <c r="U254" i="3"/>
  <c r="D255" i="3" s="1"/>
  <c r="Y253" i="3"/>
  <c r="E255" i="3" l="1"/>
  <c r="H255" i="3" s="1"/>
  <c r="K255" i="3" s="1"/>
  <c r="AE255" i="3" s="1"/>
  <c r="G255" i="3"/>
  <c r="F255" i="3" l="1"/>
  <c r="I255" i="3"/>
  <c r="J255" i="3"/>
  <c r="M255" i="3"/>
  <c r="N255" i="3" s="1"/>
  <c r="V255" i="3"/>
  <c r="A256" i="3"/>
  <c r="B256" i="3" s="1"/>
  <c r="W255" i="3" l="1"/>
  <c r="Z256" i="3"/>
  <c r="AC256" i="3"/>
  <c r="AA256" i="3"/>
  <c r="P256" i="3"/>
  <c r="Q256" i="3" s="1"/>
  <c r="R256" i="3" s="1"/>
  <c r="S256" i="3" s="1"/>
  <c r="AD256" i="3"/>
  <c r="L255" i="3"/>
  <c r="T256" i="3" l="1"/>
  <c r="AH256" i="3" s="1"/>
  <c r="U255" i="3"/>
  <c r="Y254" i="3"/>
  <c r="D256" i="3" l="1"/>
  <c r="E256" i="3"/>
  <c r="H256" i="3" s="1"/>
  <c r="K256" i="3" s="1"/>
  <c r="AE256" i="3" s="1"/>
  <c r="AG256" i="3"/>
  <c r="F256" i="3" l="1"/>
  <c r="G256" i="3"/>
  <c r="J256" i="3" s="1"/>
  <c r="V256" i="3"/>
  <c r="A257" i="3"/>
  <c r="B257" i="3" s="1"/>
  <c r="I256" i="3" l="1"/>
  <c r="W256" i="3" s="1"/>
  <c r="M256" i="3"/>
  <c r="N256" i="3" s="1"/>
  <c r="L256" i="3"/>
  <c r="AD257" i="3"/>
  <c r="AC257" i="3"/>
  <c r="Z257" i="3"/>
  <c r="AA257" i="3"/>
  <c r="P257" i="3"/>
  <c r="Q257" i="3" s="1"/>
  <c r="R257" i="3" s="1"/>
  <c r="S257" i="3" s="1"/>
  <c r="T257" i="3" l="1"/>
  <c r="AG257" i="3" s="1"/>
  <c r="U256" i="3"/>
  <c r="Y255" i="3"/>
  <c r="D257" i="3" l="1"/>
  <c r="G257" i="3" s="1"/>
  <c r="AH257" i="3"/>
  <c r="E257" i="3"/>
  <c r="H257" i="3" s="1"/>
  <c r="K257" i="3" s="1"/>
  <c r="AE257" i="3" s="1"/>
  <c r="F257" i="3" l="1"/>
  <c r="V257" i="3"/>
  <c r="A258" i="3"/>
  <c r="B258" i="3" s="1"/>
  <c r="I257" i="3"/>
  <c r="J257" i="3"/>
  <c r="M257" i="3"/>
  <c r="N257" i="3" s="1"/>
  <c r="L257" i="3" l="1"/>
  <c r="AD258" i="3"/>
  <c r="Z258" i="3"/>
  <c r="P258" i="3"/>
  <c r="Q258" i="3" s="1"/>
  <c r="R258" i="3" s="1"/>
  <c r="S258" i="3" s="1"/>
  <c r="AC258" i="3"/>
  <c r="AA258" i="3"/>
  <c r="W257" i="3"/>
  <c r="T258" i="3" l="1"/>
  <c r="AH258" i="3" s="1"/>
  <c r="U257" i="3"/>
  <c r="Y256" i="3"/>
  <c r="D258" i="3" l="1"/>
  <c r="G258" i="3" s="1"/>
  <c r="AG258" i="3"/>
  <c r="E258" i="3"/>
  <c r="H258" i="3" s="1"/>
  <c r="K258" i="3" s="1"/>
  <c r="AE258" i="3" s="1"/>
  <c r="F258" i="3" l="1"/>
  <c r="V258" i="3"/>
  <c r="A259" i="3"/>
  <c r="B259" i="3" s="1"/>
  <c r="I258" i="3"/>
  <c r="J258" i="3"/>
  <c r="M258" i="3"/>
  <c r="N258" i="3" s="1"/>
  <c r="W258" i="3" l="1"/>
  <c r="L258" i="3"/>
  <c r="AC259" i="3"/>
  <c r="P259" i="3"/>
  <c r="Q259" i="3" s="1"/>
  <c r="R259" i="3" s="1"/>
  <c r="S259" i="3" s="1"/>
  <c r="AA259" i="3"/>
  <c r="Z259" i="3"/>
  <c r="AD259" i="3"/>
  <c r="U258" i="3" l="1"/>
  <c r="Y257" i="3"/>
  <c r="T259" i="3"/>
  <c r="E259" i="3" l="1"/>
  <c r="H259" i="3" s="1"/>
  <c r="K259" i="3" s="1"/>
  <c r="AE259" i="3" s="1"/>
  <c r="D259" i="3"/>
  <c r="AH259" i="3"/>
  <c r="AG259" i="3"/>
  <c r="F259" i="3" l="1"/>
  <c r="G259" i="3"/>
  <c r="I259" i="3" s="1"/>
  <c r="V259" i="3"/>
  <c r="A260" i="3"/>
  <c r="B260" i="3" s="1"/>
  <c r="M259" i="3" l="1"/>
  <c r="N259" i="3" s="1"/>
  <c r="W259" i="3"/>
  <c r="J259" i="3"/>
  <c r="L259" i="3" s="1"/>
  <c r="AD260" i="3"/>
  <c r="Z260" i="3"/>
  <c r="AC260" i="3"/>
  <c r="AA260" i="3"/>
  <c r="P260" i="3"/>
  <c r="Q260" i="3" s="1"/>
  <c r="R260" i="3" s="1"/>
  <c r="S260" i="3" s="1"/>
  <c r="T260" i="3" l="1"/>
  <c r="AH260" i="3" s="1"/>
  <c r="U259" i="3"/>
  <c r="Y258" i="3"/>
  <c r="AG260" i="3" l="1"/>
  <c r="D260" i="3"/>
  <c r="G260" i="3" s="1"/>
  <c r="E260" i="3"/>
  <c r="H260" i="3" s="1"/>
  <c r="K260" i="3" l="1"/>
  <c r="AE260" i="3" s="1"/>
  <c r="I260" i="3"/>
  <c r="J260" i="3"/>
  <c r="M260" i="3"/>
  <c r="N260" i="3" s="1"/>
  <c r="F260" i="3"/>
  <c r="L260" i="3" l="1"/>
  <c r="V260" i="3"/>
  <c r="W260" i="3" s="1"/>
  <c r="A261" i="3"/>
  <c r="B261" i="3" s="1"/>
  <c r="AA261" i="3" l="1"/>
  <c r="AD261" i="3"/>
  <c r="P261" i="3"/>
  <c r="Q261" i="3" s="1"/>
  <c r="R261" i="3" s="1"/>
  <c r="S261" i="3" s="1"/>
  <c r="Z261" i="3"/>
  <c r="AC261" i="3"/>
  <c r="U260" i="3"/>
  <c r="Y259" i="3"/>
  <c r="T261" i="3" l="1"/>
  <c r="E261" i="3" s="1"/>
  <c r="H261" i="3" s="1"/>
  <c r="AH261" i="3" l="1"/>
  <c r="D261" i="3"/>
  <c r="F261" i="3" s="1"/>
  <c r="AG261" i="3"/>
  <c r="K261" i="3"/>
  <c r="AE261" i="3" s="1"/>
  <c r="G261" i="3" l="1"/>
  <c r="I261" i="3" s="1"/>
  <c r="V261" i="3"/>
  <c r="A262" i="3"/>
  <c r="B262" i="3" s="1"/>
  <c r="M261" i="3" l="1"/>
  <c r="N261" i="3" s="1"/>
  <c r="J261" i="3"/>
  <c r="L261" i="3" s="1"/>
  <c r="W261" i="3"/>
  <c r="AA262" i="3"/>
  <c r="Z262" i="3"/>
  <c r="P262" i="3"/>
  <c r="Q262" i="3" s="1"/>
  <c r="R262" i="3" s="1"/>
  <c r="S262" i="3" s="1"/>
  <c r="AD262" i="3"/>
  <c r="AC262" i="3"/>
  <c r="T262" i="3" l="1"/>
  <c r="AG262" i="3" s="1"/>
  <c r="U261" i="3"/>
  <c r="Y260" i="3"/>
  <c r="AH262" i="3" l="1"/>
  <c r="D262" i="3"/>
  <c r="G262" i="3" s="1"/>
  <c r="E262" i="3"/>
  <c r="H262" i="3" s="1"/>
  <c r="K262" i="3" s="1"/>
  <c r="AE262" i="3" s="1"/>
  <c r="F262" i="3" l="1"/>
  <c r="I262" i="3"/>
  <c r="J262" i="3"/>
  <c r="M262" i="3"/>
  <c r="N262" i="3" s="1"/>
  <c r="V262" i="3"/>
  <c r="A263" i="3"/>
  <c r="B263" i="3" s="1"/>
  <c r="W262" i="3" l="1"/>
  <c r="Z263" i="3"/>
  <c r="AD263" i="3"/>
  <c r="AC263" i="3"/>
  <c r="AA263" i="3"/>
  <c r="P263" i="3"/>
  <c r="Q263" i="3" s="1"/>
  <c r="R263" i="3" s="1"/>
  <c r="S263" i="3" s="1"/>
  <c r="L262" i="3"/>
  <c r="T263" i="3" l="1"/>
  <c r="AG263" i="3" s="1"/>
  <c r="U262" i="3"/>
  <c r="Y261" i="3"/>
  <c r="AH263" i="3" l="1"/>
  <c r="E263" i="3"/>
  <c r="H263" i="3" s="1"/>
  <c r="K263" i="3" s="1"/>
  <c r="AE263" i="3" s="1"/>
  <c r="D263" i="3"/>
  <c r="F263" i="3" l="1"/>
  <c r="G263" i="3"/>
  <c r="V263" i="3"/>
  <c r="A264" i="3"/>
  <c r="B264" i="3" s="1"/>
  <c r="Z264" i="3" l="1"/>
  <c r="P264" i="3"/>
  <c r="Q264" i="3" s="1"/>
  <c r="R264" i="3" s="1"/>
  <c r="S264" i="3" s="1"/>
  <c r="AA264" i="3"/>
  <c r="AC264" i="3"/>
  <c r="I263" i="3"/>
  <c r="W263" i="3" s="1"/>
  <c r="J263" i="3"/>
  <c r="M263" i="3"/>
  <c r="N263" i="3" s="1"/>
  <c r="L263" i="3" l="1"/>
  <c r="T264" i="3"/>
  <c r="U263" i="3" l="1"/>
  <c r="D264" i="3" s="1"/>
  <c r="AG264" i="3"/>
  <c r="AH264" i="3"/>
  <c r="Y262" i="3"/>
  <c r="E264" i="3" l="1"/>
  <c r="H264" i="3" s="1"/>
  <c r="K264" i="3" s="1"/>
  <c r="AE264" i="3" s="1"/>
  <c r="G264" i="3"/>
  <c r="F264" i="3" l="1"/>
  <c r="V264" i="3"/>
  <c r="A265" i="3"/>
  <c r="B265" i="3" s="1"/>
  <c r="I264" i="3"/>
  <c r="J264" i="3"/>
  <c r="AD264" i="3" s="1"/>
  <c r="M264" i="3"/>
  <c r="N264" i="3" s="1"/>
  <c r="L264" i="3" l="1"/>
  <c r="AA265" i="3"/>
  <c r="Z265" i="3"/>
  <c r="AD265" i="3"/>
  <c r="AC265" i="3"/>
  <c r="P265" i="3"/>
  <c r="Q265" i="3" s="1"/>
  <c r="R265" i="3" s="1"/>
  <c r="S265" i="3" s="1"/>
  <c r="W264" i="3"/>
  <c r="T265" i="3" l="1"/>
  <c r="AG265" i="3" s="1"/>
  <c r="U264" i="3"/>
  <c r="Y263" i="3"/>
  <c r="D265" i="3" l="1"/>
  <c r="G265" i="3" s="1"/>
  <c r="AH265" i="3"/>
  <c r="E265" i="3"/>
  <c r="H265" i="3" s="1"/>
  <c r="I265" i="3" l="1"/>
  <c r="J265" i="3"/>
  <c r="M265" i="3"/>
  <c r="N265" i="3" s="1"/>
  <c r="K265" i="3"/>
  <c r="AE265" i="3" s="1"/>
  <c r="F265" i="3"/>
  <c r="V265" i="3" l="1"/>
  <c r="W265" i="3" s="1"/>
  <c r="A266" i="3"/>
  <c r="B266" i="3" s="1"/>
  <c r="L265" i="3"/>
  <c r="U265" i="3" l="1"/>
  <c r="Y264" i="3"/>
  <c r="AD266" i="3"/>
  <c r="P266" i="3"/>
  <c r="Q266" i="3" s="1"/>
  <c r="R266" i="3" s="1"/>
  <c r="S266" i="3" s="1"/>
  <c r="AA266" i="3"/>
  <c r="AC266" i="3"/>
  <c r="Z266" i="3"/>
  <c r="T266" i="3" l="1"/>
  <c r="AG266" i="3" s="1"/>
  <c r="AH266" i="3" l="1"/>
  <c r="D266" i="3"/>
  <c r="G266" i="3" s="1"/>
  <c r="E266" i="3"/>
  <c r="H266" i="3" s="1"/>
  <c r="K266" i="3" l="1"/>
  <c r="AE266" i="3" s="1"/>
  <c r="I266" i="3"/>
  <c r="J266" i="3"/>
  <c r="M266" i="3"/>
  <c r="N266" i="3" s="1"/>
  <c r="F266" i="3"/>
  <c r="V266" i="3" l="1"/>
  <c r="W266" i="3" s="1"/>
  <c r="A267" i="3"/>
  <c r="B267" i="3" s="1"/>
  <c r="L266" i="3"/>
  <c r="U266" i="3" l="1"/>
  <c r="Y265" i="3"/>
  <c r="AD267" i="3"/>
  <c r="AC267" i="3"/>
  <c r="P267" i="3"/>
  <c r="Q267" i="3" s="1"/>
  <c r="R267" i="3" s="1"/>
  <c r="S267" i="3" s="1"/>
  <c r="Z267" i="3"/>
  <c r="AA267" i="3"/>
  <c r="T267" i="3" l="1"/>
  <c r="AH267" i="3" s="1"/>
  <c r="D267" i="3" l="1"/>
  <c r="G267" i="3" s="1"/>
  <c r="E267" i="3"/>
  <c r="H267" i="3" s="1"/>
  <c r="K267" i="3" s="1"/>
  <c r="AE267" i="3" s="1"/>
  <c r="AG267" i="3"/>
  <c r="F267" i="3" l="1"/>
  <c r="I267" i="3"/>
  <c r="J267" i="3"/>
  <c r="M267" i="3"/>
  <c r="N267" i="3" s="1"/>
  <c r="V267" i="3"/>
  <c r="A268" i="3"/>
  <c r="B268" i="3" s="1"/>
  <c r="W267" i="3" l="1"/>
  <c r="Z268" i="3"/>
  <c r="AA268" i="3"/>
  <c r="AC268" i="3"/>
  <c r="P268" i="3"/>
  <c r="Q268" i="3" s="1"/>
  <c r="R268" i="3" s="1"/>
  <c r="S268" i="3" s="1"/>
  <c r="AD268" i="3"/>
  <c r="L267" i="3"/>
  <c r="T268" i="3" l="1"/>
  <c r="AG268" i="3" s="1"/>
  <c r="U267" i="3"/>
  <c r="Y266" i="3"/>
  <c r="D268" i="3" l="1"/>
  <c r="G268" i="3" s="1"/>
  <c r="AH268" i="3"/>
  <c r="E268" i="3"/>
  <c r="H268" i="3" s="1"/>
  <c r="K268" i="3" s="1"/>
  <c r="AE268" i="3" s="1"/>
  <c r="F268" i="3" l="1"/>
  <c r="V268" i="3"/>
  <c r="A269" i="3"/>
  <c r="B269" i="3" s="1"/>
  <c r="I268" i="3"/>
  <c r="J268" i="3"/>
  <c r="M268" i="3"/>
  <c r="N268" i="3" s="1"/>
  <c r="Z269" i="3" l="1"/>
  <c r="AC269" i="3"/>
  <c r="AD269" i="3"/>
  <c r="AA269" i="3"/>
  <c r="P269" i="3"/>
  <c r="Q269" i="3" s="1"/>
  <c r="R269" i="3" s="1"/>
  <c r="S269" i="3" s="1"/>
  <c r="L268" i="3"/>
  <c r="W268" i="3"/>
  <c r="T269" i="3" l="1"/>
  <c r="AH269" i="3" s="1"/>
  <c r="U268" i="3"/>
  <c r="Y267" i="3"/>
  <c r="D269" i="3" l="1"/>
  <c r="G269" i="3" s="1"/>
  <c r="AG269" i="3"/>
  <c r="E269" i="3"/>
  <c r="H269" i="3" s="1"/>
  <c r="K269" i="3" s="1"/>
  <c r="AE269" i="3" s="1"/>
  <c r="F269" i="3" l="1"/>
  <c r="V269" i="3"/>
  <c r="A270" i="3"/>
  <c r="B270" i="3" s="1"/>
  <c r="I269" i="3"/>
  <c r="J269" i="3"/>
  <c r="M269" i="3"/>
  <c r="N269" i="3" s="1"/>
  <c r="L269" i="3" l="1"/>
  <c r="P270" i="3"/>
  <c r="Q270" i="3" s="1"/>
  <c r="R270" i="3" s="1"/>
  <c r="S270" i="3" s="1"/>
  <c r="Z270" i="3"/>
  <c r="AC270" i="3"/>
  <c r="AD270" i="3"/>
  <c r="AA270" i="3"/>
  <c r="W269" i="3"/>
  <c r="T270" i="3" l="1"/>
  <c r="AG270" i="3" s="1"/>
  <c r="U269" i="3"/>
  <c r="Y268" i="3"/>
  <c r="AH270" i="3" l="1"/>
  <c r="E270" i="3"/>
  <c r="H270" i="3" s="1"/>
  <c r="K270" i="3" s="1"/>
  <c r="AE270" i="3" s="1"/>
  <c r="D270" i="3"/>
  <c r="F270" i="3" l="1"/>
  <c r="G270" i="3"/>
  <c r="I270" i="3" s="1"/>
  <c r="V270" i="3"/>
  <c r="A271" i="3"/>
  <c r="B271" i="3" s="1"/>
  <c r="W270" i="3" l="1"/>
  <c r="M270" i="3"/>
  <c r="N270" i="3" s="1"/>
  <c r="J270" i="3"/>
  <c r="L270" i="3" s="1"/>
  <c r="AC271" i="3"/>
  <c r="AD271" i="3"/>
  <c r="Z271" i="3"/>
  <c r="AA271" i="3"/>
  <c r="P271" i="3"/>
  <c r="Q271" i="3" s="1"/>
  <c r="R271" i="3" s="1"/>
  <c r="S271" i="3" s="1"/>
  <c r="T271" i="3" l="1"/>
  <c r="AG271" i="3" s="1"/>
  <c r="U270" i="3"/>
  <c r="Y269" i="3"/>
  <c r="AH271" i="3" l="1"/>
  <c r="E271" i="3"/>
  <c r="H271" i="3" s="1"/>
  <c r="K271" i="3" s="1"/>
  <c r="AE271" i="3" s="1"/>
  <c r="D271" i="3"/>
  <c r="F271" i="3" l="1"/>
  <c r="G271" i="3"/>
  <c r="I271" i="3" s="1"/>
  <c r="V271" i="3"/>
  <c r="A272" i="3"/>
  <c r="B272" i="3" s="1"/>
  <c r="M271" i="3" l="1"/>
  <c r="N271" i="3" s="1"/>
  <c r="J271" i="3"/>
  <c r="L271" i="3" s="1"/>
  <c r="W271" i="3"/>
  <c r="AC272" i="3"/>
  <c r="AD272" i="3"/>
  <c r="P272" i="3"/>
  <c r="Q272" i="3" s="1"/>
  <c r="R272" i="3" s="1"/>
  <c r="S272" i="3" s="1"/>
  <c r="AA272" i="3"/>
  <c r="Z272" i="3"/>
  <c r="T272" i="3" l="1"/>
  <c r="AH272" i="3" s="1"/>
  <c r="U271" i="3"/>
  <c r="Y270" i="3"/>
  <c r="D272" i="3" l="1"/>
  <c r="G272" i="3" s="1"/>
  <c r="AG272" i="3"/>
  <c r="E272" i="3"/>
  <c r="H272" i="3" s="1"/>
  <c r="K272" i="3" s="1"/>
  <c r="AE272" i="3" s="1"/>
  <c r="F272" i="3" l="1"/>
  <c r="I272" i="3"/>
  <c r="J272" i="3"/>
  <c r="M272" i="3"/>
  <c r="N272" i="3" s="1"/>
  <c r="V272" i="3"/>
  <c r="A273" i="3"/>
  <c r="B273" i="3" s="1"/>
  <c r="W272" i="3" l="1"/>
  <c r="Z273" i="3"/>
  <c r="AC273" i="3"/>
  <c r="AD273" i="3"/>
  <c r="AA273" i="3"/>
  <c r="P273" i="3"/>
  <c r="Q273" i="3" s="1"/>
  <c r="R273" i="3" s="1"/>
  <c r="S273" i="3" s="1"/>
  <c r="L272" i="3"/>
  <c r="T273" i="3" l="1"/>
  <c r="AG273" i="3" s="1"/>
  <c r="U272" i="3"/>
  <c r="Y271" i="3"/>
  <c r="D273" i="3" l="1"/>
  <c r="G273" i="3" s="1"/>
  <c r="AH273" i="3"/>
  <c r="E273" i="3"/>
  <c r="H273" i="3" s="1"/>
  <c r="K273" i="3" s="1"/>
  <c r="AE273" i="3" s="1"/>
  <c r="F273" i="3" l="1"/>
  <c r="V273" i="3"/>
  <c r="A274" i="3"/>
  <c r="B274" i="3" s="1"/>
  <c r="I273" i="3"/>
  <c r="J273" i="3"/>
  <c r="M273" i="3"/>
  <c r="N273" i="3" s="1"/>
  <c r="L273" i="3" l="1"/>
  <c r="AA274" i="3"/>
  <c r="P274" i="3"/>
  <c r="Q274" i="3" s="1"/>
  <c r="R274" i="3" s="1"/>
  <c r="S274" i="3" s="1"/>
  <c r="Z274" i="3"/>
  <c r="AC274" i="3"/>
  <c r="W273" i="3"/>
  <c r="T274" i="3" l="1"/>
  <c r="AG274" i="3" s="1"/>
  <c r="U273" i="3"/>
  <c r="Y272" i="3"/>
  <c r="E274" i="3" l="1"/>
  <c r="H274" i="3" s="1"/>
  <c r="K274" i="3" s="1"/>
  <c r="AE274" i="3" s="1"/>
  <c r="D274" i="3"/>
  <c r="G274" i="3" s="1"/>
  <c r="AH274" i="3"/>
  <c r="F274" i="3" l="1"/>
  <c r="I274" i="3"/>
  <c r="J274" i="3"/>
  <c r="AD274" i="3" s="1"/>
  <c r="M274" i="3"/>
  <c r="N274" i="3" s="1"/>
  <c r="V274" i="3"/>
  <c r="A275" i="3"/>
  <c r="B275" i="3" s="1"/>
  <c r="W274" i="3" l="1"/>
  <c r="AA275" i="3"/>
  <c r="P275" i="3"/>
  <c r="Q275" i="3" s="1"/>
  <c r="R275" i="3" s="1"/>
  <c r="S275" i="3" s="1"/>
  <c r="AC275" i="3"/>
  <c r="Z275" i="3"/>
  <c r="AD275" i="3"/>
  <c r="L274" i="3"/>
  <c r="U274" i="3" l="1"/>
  <c r="Y273" i="3"/>
  <c r="T275" i="3"/>
  <c r="AH275" i="3" s="1"/>
  <c r="E275" i="3" l="1"/>
  <c r="H275" i="3" s="1"/>
  <c r="AG275" i="3"/>
  <c r="D275" i="3"/>
  <c r="F275" i="3" l="1"/>
  <c r="G275" i="3"/>
  <c r="K275" i="3"/>
  <c r="AE275" i="3" s="1"/>
  <c r="V275" i="3" l="1"/>
  <c r="A276" i="3"/>
  <c r="B276" i="3" s="1"/>
  <c r="I275" i="3"/>
  <c r="J275" i="3"/>
  <c r="M275" i="3"/>
  <c r="N275" i="3" s="1"/>
  <c r="L275" i="3" l="1"/>
  <c r="P276" i="3"/>
  <c r="Q276" i="3" s="1"/>
  <c r="R276" i="3" s="1"/>
  <c r="S276" i="3" s="1"/>
  <c r="AA276" i="3"/>
  <c r="Z276" i="3"/>
  <c r="AD276" i="3"/>
  <c r="AC276" i="3"/>
  <c r="W275" i="3"/>
  <c r="T276" i="3" l="1"/>
  <c r="AG276" i="3" s="1"/>
  <c r="U275" i="3"/>
  <c r="Y274" i="3"/>
  <c r="E276" i="3" l="1"/>
  <c r="H276" i="3" s="1"/>
  <c r="K276" i="3" s="1"/>
  <c r="AE276" i="3" s="1"/>
  <c r="AH276" i="3"/>
  <c r="D276" i="3"/>
  <c r="F276" i="3" l="1"/>
  <c r="G276" i="3"/>
  <c r="I276" i="3" s="1"/>
  <c r="V276" i="3"/>
  <c r="A277" i="3"/>
  <c r="B277" i="3" s="1"/>
  <c r="J276" i="3" l="1"/>
  <c r="L276" i="3" s="1"/>
  <c r="W276" i="3"/>
  <c r="M276" i="3"/>
  <c r="N276" i="3" s="1"/>
  <c r="AA277" i="3"/>
  <c r="P277" i="3"/>
  <c r="Q277" i="3" s="1"/>
  <c r="R277" i="3" s="1"/>
  <c r="S277" i="3" s="1"/>
  <c r="Z277" i="3"/>
  <c r="AC277" i="3"/>
  <c r="AD277" i="3"/>
  <c r="T277" i="3" l="1"/>
  <c r="AH277" i="3" s="1"/>
  <c r="U276" i="3"/>
  <c r="Y275" i="3"/>
  <c r="AG277" i="3" l="1"/>
  <c r="D277" i="3"/>
  <c r="G277" i="3" s="1"/>
  <c r="E277" i="3"/>
  <c r="H277" i="3" s="1"/>
  <c r="K277" i="3" s="1"/>
  <c r="AE277" i="3" s="1"/>
  <c r="F277" i="3" l="1"/>
  <c r="V277" i="3"/>
  <c r="A278" i="3"/>
  <c r="B278" i="3" s="1"/>
  <c r="I277" i="3"/>
  <c r="J277" i="3"/>
  <c r="M277" i="3"/>
  <c r="N277" i="3" s="1"/>
  <c r="AA278" i="3" l="1"/>
  <c r="AD278" i="3"/>
  <c r="P278" i="3"/>
  <c r="Q278" i="3" s="1"/>
  <c r="R278" i="3" s="1"/>
  <c r="S278" i="3" s="1"/>
  <c r="AC278" i="3"/>
  <c r="Z278" i="3"/>
  <c r="L277" i="3"/>
  <c r="W277" i="3"/>
  <c r="U277" i="3" l="1"/>
  <c r="Y276" i="3"/>
  <c r="T278" i="3"/>
  <c r="AH278" i="3" s="1"/>
  <c r="E278" i="3" l="1"/>
  <c r="H278" i="3" s="1"/>
  <c r="K278" i="3" s="1"/>
  <c r="AE278" i="3" s="1"/>
  <c r="D278" i="3"/>
  <c r="AG278" i="3"/>
  <c r="F278" i="3" l="1"/>
  <c r="G278" i="3"/>
  <c r="I278" i="3" s="1"/>
  <c r="V278" i="3"/>
  <c r="A279" i="3"/>
  <c r="B279" i="3" s="1"/>
  <c r="M278" i="3" l="1"/>
  <c r="N278" i="3" s="1"/>
  <c r="J278" i="3"/>
  <c r="L278" i="3" s="1"/>
  <c r="W278" i="3"/>
  <c r="AA279" i="3"/>
  <c r="AC279" i="3"/>
  <c r="Z279" i="3"/>
  <c r="AD279" i="3"/>
  <c r="P279" i="3"/>
  <c r="Q279" i="3" s="1"/>
  <c r="R279" i="3" s="1"/>
  <c r="S279" i="3" s="1"/>
  <c r="T279" i="3" l="1"/>
  <c r="AG279" i="3" s="1"/>
  <c r="U278" i="3"/>
  <c r="Y277" i="3"/>
  <c r="D279" i="3" l="1"/>
  <c r="G279" i="3" s="1"/>
  <c r="AH279" i="3"/>
  <c r="E279" i="3"/>
  <c r="H279" i="3" s="1"/>
  <c r="K279" i="3" s="1"/>
  <c r="AE279" i="3" s="1"/>
  <c r="F279" i="3" l="1"/>
  <c r="V279" i="3"/>
  <c r="A280" i="3"/>
  <c r="B280" i="3" s="1"/>
  <c r="I279" i="3"/>
  <c r="J279" i="3"/>
  <c r="M279" i="3"/>
  <c r="N279" i="3" s="1"/>
  <c r="P280" i="3" l="1"/>
  <c r="Q280" i="3" s="1"/>
  <c r="R280" i="3" s="1"/>
  <c r="S280" i="3" s="1"/>
  <c r="AD280" i="3"/>
  <c r="AC280" i="3"/>
  <c r="AA280" i="3"/>
  <c r="Z280" i="3"/>
  <c r="L279" i="3"/>
  <c r="W279" i="3"/>
  <c r="U279" i="3" l="1"/>
  <c r="Y278" i="3"/>
  <c r="T280" i="3"/>
  <c r="D280" i="3" l="1"/>
  <c r="G280" i="3" s="1"/>
  <c r="E280" i="3"/>
  <c r="H280" i="3" s="1"/>
  <c r="K280" i="3" s="1"/>
  <c r="AE280" i="3" s="1"/>
  <c r="AG280" i="3"/>
  <c r="AH280" i="3"/>
  <c r="F280" i="3" l="1"/>
  <c r="V280" i="3"/>
  <c r="A281" i="3"/>
  <c r="B281" i="3" s="1"/>
  <c r="I280" i="3"/>
  <c r="J280" i="3"/>
  <c r="M280" i="3"/>
  <c r="N280" i="3" s="1"/>
  <c r="P281" i="3" l="1"/>
  <c r="Q281" i="3" s="1"/>
  <c r="R281" i="3" s="1"/>
  <c r="S281" i="3" s="1"/>
  <c r="AA281" i="3"/>
  <c r="Z281" i="3"/>
  <c r="AC281" i="3"/>
  <c r="AD281" i="3"/>
  <c r="L280" i="3"/>
  <c r="W280" i="3"/>
  <c r="U280" i="3" l="1"/>
  <c r="Y279" i="3"/>
  <c r="T281" i="3"/>
  <c r="AH281" i="3" s="1"/>
  <c r="E281" i="3" l="1"/>
  <c r="H281" i="3" s="1"/>
  <c r="K281" i="3" s="1"/>
  <c r="AE281" i="3" s="1"/>
  <c r="D281" i="3"/>
  <c r="G281" i="3" s="1"/>
  <c r="AG281" i="3"/>
  <c r="F281" i="3" l="1"/>
  <c r="I281" i="3"/>
  <c r="J281" i="3"/>
  <c r="M281" i="3"/>
  <c r="N281" i="3" s="1"/>
  <c r="V281" i="3"/>
  <c r="A282" i="3"/>
  <c r="B282" i="3" s="1"/>
  <c r="W281" i="3" l="1"/>
  <c r="AD282" i="3"/>
  <c r="AA282" i="3"/>
  <c r="Z282" i="3"/>
  <c r="P282" i="3"/>
  <c r="Q282" i="3" s="1"/>
  <c r="R282" i="3" s="1"/>
  <c r="S282" i="3" s="1"/>
  <c r="AC282" i="3"/>
  <c r="L281" i="3"/>
  <c r="T282" i="3" l="1"/>
  <c r="AH282" i="3" s="1"/>
  <c r="U281" i="3"/>
  <c r="Y280" i="3"/>
  <c r="D282" i="3" l="1"/>
  <c r="G282" i="3" s="1"/>
  <c r="AG282" i="3"/>
  <c r="E282" i="3"/>
  <c r="H282" i="3" s="1"/>
  <c r="K282" i="3" s="1"/>
  <c r="AE282" i="3" s="1"/>
  <c r="F282" i="3" l="1"/>
  <c r="V282" i="3"/>
  <c r="A283" i="3"/>
  <c r="B283" i="3" s="1"/>
  <c r="I282" i="3"/>
  <c r="J282" i="3"/>
  <c r="M282" i="3"/>
  <c r="N282" i="3" s="1"/>
  <c r="AC283" i="3" l="1"/>
  <c r="AA283" i="3"/>
  <c r="Z283" i="3"/>
  <c r="AD283" i="3"/>
  <c r="P283" i="3"/>
  <c r="Q283" i="3" s="1"/>
  <c r="R283" i="3" s="1"/>
  <c r="S283" i="3" s="1"/>
  <c r="L282" i="3"/>
  <c r="W282" i="3"/>
  <c r="T283" i="3" l="1"/>
  <c r="U282" i="3"/>
  <c r="Y281" i="3"/>
  <c r="E283" i="3" l="1"/>
  <c r="H283" i="3" s="1"/>
  <c r="K283" i="3" s="1"/>
  <c r="AE283" i="3" s="1"/>
  <c r="AG283" i="3"/>
  <c r="AH283" i="3"/>
  <c r="D283" i="3"/>
  <c r="G283" i="3" s="1"/>
  <c r="F283" i="3" l="1"/>
  <c r="I283" i="3"/>
  <c r="J283" i="3"/>
  <c r="M283" i="3"/>
  <c r="N283" i="3" s="1"/>
  <c r="V283" i="3"/>
  <c r="A284" i="3"/>
  <c r="B284" i="3" s="1"/>
  <c r="W283" i="3" l="1"/>
  <c r="L283" i="3"/>
  <c r="AC284" i="3"/>
  <c r="P284" i="3"/>
  <c r="Q284" i="3" s="1"/>
  <c r="R284" i="3" s="1"/>
  <c r="S284" i="3" s="1"/>
  <c r="Z284" i="3"/>
  <c r="AA284" i="3"/>
  <c r="T284" i="3" l="1"/>
  <c r="AG284" i="3" s="1"/>
  <c r="U283" i="3"/>
  <c r="Y282" i="3"/>
  <c r="AH284" i="3" l="1"/>
  <c r="E284" i="3"/>
  <c r="H284" i="3" s="1"/>
  <c r="K284" i="3" s="1"/>
  <c r="AE284" i="3" s="1"/>
  <c r="D284" i="3"/>
  <c r="F284" i="3" l="1"/>
  <c r="G284" i="3"/>
  <c r="V284" i="3"/>
  <c r="A285" i="3"/>
  <c r="B285" i="3" s="1"/>
  <c r="P285" i="3" l="1"/>
  <c r="Q285" i="3" s="1"/>
  <c r="R285" i="3" s="1"/>
  <c r="S285" i="3" s="1"/>
  <c r="AA285" i="3"/>
  <c r="AC285" i="3"/>
  <c r="AD285" i="3"/>
  <c r="Z285" i="3"/>
  <c r="I284" i="3"/>
  <c r="W284" i="3" s="1"/>
  <c r="J284" i="3"/>
  <c r="AD284" i="3" s="1"/>
  <c r="M284" i="3"/>
  <c r="N284" i="3" s="1"/>
  <c r="L284" i="3" l="1"/>
  <c r="T285" i="3"/>
  <c r="U284" i="3" l="1"/>
  <c r="E285" i="3" s="1"/>
  <c r="H285" i="3" s="1"/>
  <c r="AH285" i="3"/>
  <c r="AG285" i="3"/>
  <c r="Y283" i="3"/>
  <c r="D285" i="3" l="1"/>
  <c r="F285" i="3" s="1"/>
  <c r="K285" i="3"/>
  <c r="AE285" i="3" s="1"/>
  <c r="G285" i="3" l="1"/>
  <c r="I285" i="3" s="1"/>
  <c r="V285" i="3"/>
  <c r="A286" i="3"/>
  <c r="B286" i="3" s="1"/>
  <c r="M285" i="3" l="1"/>
  <c r="N285" i="3" s="1"/>
  <c r="J285" i="3"/>
  <c r="L285" i="3" s="1"/>
  <c r="W285" i="3"/>
  <c r="AD286" i="3"/>
  <c r="AC286" i="3"/>
  <c r="Z286" i="3"/>
  <c r="AA286" i="3"/>
  <c r="P286" i="3"/>
  <c r="Q286" i="3" s="1"/>
  <c r="R286" i="3" s="1"/>
  <c r="S286" i="3" s="1"/>
  <c r="T286" i="3" l="1"/>
  <c r="AH286" i="3" s="1"/>
  <c r="U285" i="3"/>
  <c r="Y284" i="3"/>
  <c r="D286" i="3" l="1"/>
  <c r="G286" i="3" s="1"/>
  <c r="AG286" i="3"/>
  <c r="E286" i="3"/>
  <c r="H286" i="3" s="1"/>
  <c r="K286" i="3" l="1"/>
  <c r="AE286" i="3" s="1"/>
  <c r="I286" i="3"/>
  <c r="J286" i="3"/>
  <c r="M286" i="3"/>
  <c r="N286" i="3" s="1"/>
  <c r="F286" i="3"/>
  <c r="L286" i="3" l="1"/>
  <c r="V286" i="3"/>
  <c r="W286" i="3" s="1"/>
  <c r="A287" i="3"/>
  <c r="B287" i="3" s="1"/>
  <c r="AD287" i="3" l="1"/>
  <c r="AA287" i="3"/>
  <c r="Z287" i="3"/>
  <c r="P287" i="3"/>
  <c r="Q287" i="3" s="1"/>
  <c r="R287" i="3" s="1"/>
  <c r="S287" i="3" s="1"/>
  <c r="AC287" i="3"/>
  <c r="U286" i="3"/>
  <c r="Y285" i="3"/>
  <c r="T287" i="3" l="1"/>
  <c r="D287" i="3" s="1"/>
  <c r="E287" i="3" l="1"/>
  <c r="H287" i="3" s="1"/>
  <c r="K287" i="3" s="1"/>
  <c r="AE287" i="3" s="1"/>
  <c r="AG287" i="3"/>
  <c r="AH287" i="3"/>
  <c r="G287" i="3"/>
  <c r="F287" i="3" l="1"/>
  <c r="I287" i="3"/>
  <c r="J287" i="3"/>
  <c r="M287" i="3"/>
  <c r="N287" i="3" s="1"/>
  <c r="V287" i="3"/>
  <c r="A288" i="3"/>
  <c r="B288" i="3" s="1"/>
  <c r="W287" i="3" l="1"/>
  <c r="P288" i="3"/>
  <c r="Q288" i="3" s="1"/>
  <c r="R288" i="3" s="1"/>
  <c r="S288" i="3" s="1"/>
  <c r="Z288" i="3"/>
  <c r="AD288" i="3"/>
  <c r="AA288" i="3"/>
  <c r="AC288" i="3"/>
  <c r="L287" i="3"/>
  <c r="U287" i="3" l="1"/>
  <c r="Y286" i="3"/>
  <c r="T288" i="3"/>
  <c r="AG288" i="3" s="1"/>
  <c r="D288" i="3" l="1"/>
  <c r="G288" i="3" s="1"/>
  <c r="AH288" i="3"/>
  <c r="E288" i="3"/>
  <c r="H288" i="3" s="1"/>
  <c r="K288" i="3" l="1"/>
  <c r="AE288" i="3" s="1"/>
  <c r="I288" i="3"/>
  <c r="J288" i="3"/>
  <c r="M288" i="3"/>
  <c r="N288" i="3" s="1"/>
  <c r="F288" i="3"/>
  <c r="L288" i="3" l="1"/>
  <c r="V288" i="3"/>
  <c r="W288" i="3" s="1"/>
  <c r="A289" i="3"/>
  <c r="B289" i="3" s="1"/>
  <c r="AD289" i="3" l="1"/>
  <c r="P289" i="3"/>
  <c r="Q289" i="3" s="1"/>
  <c r="R289" i="3" s="1"/>
  <c r="S289" i="3" s="1"/>
  <c r="Z289" i="3"/>
  <c r="AA289" i="3"/>
  <c r="AC289" i="3"/>
  <c r="U288" i="3"/>
  <c r="Y287" i="3"/>
  <c r="T289" i="3" l="1"/>
  <c r="E289" i="3" s="1"/>
  <c r="H289" i="3" s="1"/>
  <c r="D289" i="3" l="1"/>
  <c r="F289" i="3" s="1"/>
  <c r="K289" i="3"/>
  <c r="AE289" i="3" s="1"/>
  <c r="AH289" i="3"/>
  <c r="AG289" i="3"/>
  <c r="G289" i="3" l="1"/>
  <c r="I289" i="3" s="1"/>
  <c r="V289" i="3"/>
  <c r="A290" i="3"/>
  <c r="B290" i="3" s="1"/>
  <c r="M289" i="3" l="1"/>
  <c r="N289" i="3" s="1"/>
  <c r="J289" i="3"/>
  <c r="L289" i="3" s="1"/>
  <c r="W289" i="3"/>
  <c r="AA290" i="3"/>
  <c r="AC290" i="3"/>
  <c r="Z290" i="3"/>
  <c r="AD290" i="3"/>
  <c r="P290" i="3"/>
  <c r="Q290" i="3" s="1"/>
  <c r="R290" i="3" s="1"/>
  <c r="S290" i="3" s="1"/>
  <c r="T290" i="3" l="1"/>
  <c r="AH290" i="3" s="1"/>
  <c r="U289" i="3"/>
  <c r="Y288" i="3"/>
  <c r="D290" i="3" l="1"/>
  <c r="G290" i="3" s="1"/>
  <c r="AG290" i="3"/>
  <c r="E290" i="3"/>
  <c r="H290" i="3" s="1"/>
  <c r="K290" i="3" s="1"/>
  <c r="AE290" i="3" s="1"/>
  <c r="F290" i="3" l="1"/>
  <c r="V290" i="3"/>
  <c r="A291" i="3"/>
  <c r="B291" i="3" s="1"/>
  <c r="I290" i="3"/>
  <c r="J290" i="3"/>
  <c r="M290" i="3"/>
  <c r="N290" i="3" s="1"/>
  <c r="L290" i="3" l="1"/>
  <c r="P291" i="3"/>
  <c r="Q291" i="3" s="1"/>
  <c r="R291" i="3" s="1"/>
  <c r="S291" i="3" s="1"/>
  <c r="AD291" i="3"/>
  <c r="Z291" i="3"/>
  <c r="AC291" i="3"/>
  <c r="AA291" i="3"/>
  <c r="W290" i="3"/>
  <c r="T291" i="3" l="1"/>
  <c r="AH291" i="3" s="1"/>
  <c r="U290" i="3"/>
  <c r="Y289" i="3"/>
  <c r="AG291" i="3" l="1"/>
  <c r="D291" i="3"/>
  <c r="G291" i="3" s="1"/>
  <c r="E291" i="3"/>
  <c r="H291" i="3" s="1"/>
  <c r="K291" i="3" s="1"/>
  <c r="AE291" i="3" s="1"/>
  <c r="F291" i="3" l="1"/>
  <c r="V291" i="3"/>
  <c r="A292" i="3"/>
  <c r="B292" i="3" s="1"/>
  <c r="I291" i="3"/>
  <c r="J291" i="3"/>
  <c r="M291" i="3"/>
  <c r="N291" i="3" s="1"/>
  <c r="W291" i="3" l="1"/>
  <c r="Z292" i="3"/>
  <c r="AC292" i="3"/>
  <c r="AD292" i="3"/>
  <c r="AA292" i="3"/>
  <c r="P292" i="3"/>
  <c r="Q292" i="3" s="1"/>
  <c r="R292" i="3" s="1"/>
  <c r="S292" i="3" s="1"/>
  <c r="L291" i="3"/>
  <c r="T292" i="3" l="1"/>
  <c r="AH292" i="3" s="1"/>
  <c r="U291" i="3"/>
  <c r="Y290" i="3"/>
  <c r="D292" i="3" l="1"/>
  <c r="G292" i="3" s="1"/>
  <c r="AG292" i="3"/>
  <c r="E292" i="3"/>
  <c r="H292" i="3" s="1"/>
  <c r="K292" i="3" s="1"/>
  <c r="AE292" i="3" s="1"/>
  <c r="F292" i="3" l="1"/>
  <c r="I292" i="3"/>
  <c r="J292" i="3"/>
  <c r="M292" i="3"/>
  <c r="N292" i="3" s="1"/>
  <c r="V292" i="3"/>
  <c r="A293" i="3"/>
  <c r="B293" i="3" s="1"/>
  <c r="W292" i="3" l="1"/>
  <c r="AD293" i="3"/>
  <c r="P293" i="3"/>
  <c r="Q293" i="3" s="1"/>
  <c r="R293" i="3" s="1"/>
  <c r="S293" i="3" s="1"/>
  <c r="AC293" i="3"/>
  <c r="AA293" i="3"/>
  <c r="Z293" i="3"/>
  <c r="L292" i="3"/>
  <c r="T293" i="3" l="1"/>
  <c r="AG293" i="3" s="1"/>
  <c r="U292" i="3"/>
  <c r="Y291" i="3"/>
  <c r="E293" i="3" l="1"/>
  <c r="H293" i="3" s="1"/>
  <c r="K293" i="3" s="1"/>
  <c r="AE293" i="3" s="1"/>
  <c r="AH293" i="3"/>
  <c r="D293" i="3"/>
  <c r="F293" i="3" l="1"/>
  <c r="G293" i="3"/>
  <c r="J293" i="3" s="1"/>
  <c r="V293" i="3"/>
  <c r="A294" i="3"/>
  <c r="B294" i="3" s="1"/>
  <c r="I293" i="3" l="1"/>
  <c r="W293" i="3" s="1"/>
  <c r="M293" i="3"/>
  <c r="N293" i="3" s="1"/>
  <c r="L293" i="3"/>
  <c r="P294" i="3"/>
  <c r="Q294" i="3" s="1"/>
  <c r="R294" i="3" s="1"/>
  <c r="S294" i="3" s="1"/>
  <c r="AA294" i="3"/>
  <c r="AC294" i="3"/>
  <c r="Z294" i="3"/>
  <c r="T294" i="3" l="1"/>
  <c r="AH294" i="3" s="1"/>
  <c r="U293" i="3"/>
  <c r="Y292" i="3"/>
  <c r="AG294" i="3" l="1"/>
  <c r="D294" i="3"/>
  <c r="G294" i="3" s="1"/>
  <c r="E294" i="3"/>
  <c r="H294" i="3" s="1"/>
  <c r="K294" i="3" s="1"/>
  <c r="AE294" i="3" s="1"/>
  <c r="F294" i="3" l="1"/>
  <c r="I294" i="3"/>
  <c r="J294" i="3"/>
  <c r="AD294" i="3" s="1"/>
  <c r="M294" i="3"/>
  <c r="N294" i="3" s="1"/>
  <c r="V294" i="3"/>
  <c r="A295" i="3"/>
  <c r="B295" i="3" s="1"/>
  <c r="W294" i="3" l="1"/>
  <c r="AC295" i="3"/>
  <c r="AA295" i="3"/>
  <c r="AD295" i="3"/>
  <c r="P295" i="3"/>
  <c r="Q295" i="3" s="1"/>
  <c r="R295" i="3" s="1"/>
  <c r="S295" i="3" s="1"/>
  <c r="Z295" i="3"/>
  <c r="L294" i="3"/>
  <c r="T295" i="3" l="1"/>
  <c r="AG295" i="3" s="1"/>
  <c r="U294" i="3"/>
  <c r="Y293" i="3"/>
  <c r="E295" i="3" l="1"/>
  <c r="H295" i="3" s="1"/>
  <c r="K295" i="3" s="1"/>
  <c r="AE295" i="3" s="1"/>
  <c r="AH295" i="3"/>
  <c r="D295" i="3"/>
  <c r="F295" i="3" l="1"/>
  <c r="G295" i="3"/>
  <c r="V295" i="3"/>
  <c r="A296" i="3"/>
  <c r="B296" i="3" s="1"/>
  <c r="AC296" i="3" l="1"/>
  <c r="Z296" i="3"/>
  <c r="AD296" i="3"/>
  <c r="AA296" i="3"/>
  <c r="P296" i="3"/>
  <c r="Q296" i="3" s="1"/>
  <c r="R296" i="3" s="1"/>
  <c r="S296" i="3" s="1"/>
  <c r="I295" i="3"/>
  <c r="W295" i="3" s="1"/>
  <c r="J295" i="3"/>
  <c r="M295" i="3"/>
  <c r="N295" i="3" s="1"/>
  <c r="L295" i="3" l="1"/>
  <c r="T296" i="3"/>
  <c r="U295" i="3" l="1"/>
  <c r="D296" i="3" s="1"/>
  <c r="AG296" i="3"/>
  <c r="AH296" i="3"/>
  <c r="Y294" i="3"/>
  <c r="E296" i="3" l="1"/>
  <c r="H296" i="3" s="1"/>
  <c r="K296" i="3" s="1"/>
  <c r="AE296" i="3" s="1"/>
  <c r="G296" i="3"/>
  <c r="F296" i="3" l="1"/>
  <c r="V296" i="3"/>
  <c r="A297" i="3"/>
  <c r="B297" i="3" s="1"/>
  <c r="I296" i="3"/>
  <c r="J296" i="3"/>
  <c r="M296" i="3"/>
  <c r="N296" i="3" s="1"/>
  <c r="L296" i="3" l="1"/>
  <c r="P297" i="3"/>
  <c r="Q297" i="3" s="1"/>
  <c r="R297" i="3" s="1"/>
  <c r="S297" i="3" s="1"/>
  <c r="AC297" i="3"/>
  <c r="AD297" i="3"/>
  <c r="AA297" i="3"/>
  <c r="Z297" i="3"/>
  <c r="W296" i="3"/>
  <c r="T297" i="3" l="1"/>
  <c r="AG297" i="3" s="1"/>
  <c r="U296" i="3"/>
  <c r="Y295" i="3"/>
  <c r="AH297" i="3" l="1"/>
  <c r="D297" i="3"/>
  <c r="G297" i="3" s="1"/>
  <c r="E297" i="3"/>
  <c r="H297" i="3" s="1"/>
  <c r="K297" i="3" s="1"/>
  <c r="AE297" i="3" s="1"/>
  <c r="F297" i="3" l="1"/>
  <c r="V297" i="3"/>
  <c r="A298" i="3"/>
  <c r="B298" i="3" s="1"/>
  <c r="I297" i="3"/>
  <c r="J297" i="3"/>
  <c r="M297" i="3"/>
  <c r="N297" i="3" s="1"/>
  <c r="L297" i="3" l="1"/>
  <c r="P298" i="3"/>
  <c r="Q298" i="3" s="1"/>
  <c r="R298" i="3" s="1"/>
  <c r="S298" i="3" s="1"/>
  <c r="AD298" i="3"/>
  <c r="AA298" i="3"/>
  <c r="AC298" i="3"/>
  <c r="Z298" i="3"/>
  <c r="W297" i="3"/>
  <c r="T298" i="3" l="1"/>
  <c r="AH298" i="3" s="1"/>
  <c r="U297" i="3"/>
  <c r="Y296" i="3"/>
  <c r="AG298" i="3" l="1"/>
  <c r="D298" i="3"/>
  <c r="G298" i="3" s="1"/>
  <c r="E298" i="3"/>
  <c r="H298" i="3" s="1"/>
  <c r="I298" i="3" l="1"/>
  <c r="J298" i="3"/>
  <c r="M298" i="3"/>
  <c r="N298" i="3" s="1"/>
  <c r="K298" i="3"/>
  <c r="AE298" i="3" s="1"/>
  <c r="F298" i="3"/>
  <c r="V298" i="3" l="1"/>
  <c r="W298" i="3" s="1"/>
  <c r="A299" i="3"/>
  <c r="B299" i="3" s="1"/>
  <c r="L298" i="3"/>
  <c r="U298" i="3" l="1"/>
  <c r="Y297" i="3"/>
  <c r="AC299" i="3"/>
  <c r="Z299" i="3"/>
  <c r="AD299" i="3"/>
  <c r="AA299" i="3"/>
  <c r="P299" i="3"/>
  <c r="Q299" i="3" s="1"/>
  <c r="R299" i="3" s="1"/>
  <c r="S299" i="3" s="1"/>
  <c r="T299" i="3" l="1"/>
  <c r="E299" i="3" s="1"/>
  <c r="H299" i="3" s="1"/>
  <c r="D299" i="3" l="1"/>
  <c r="F299" i="3" s="1"/>
  <c r="AH299" i="3"/>
  <c r="AG299" i="3"/>
  <c r="K299" i="3"/>
  <c r="AE299" i="3" s="1"/>
  <c r="G299" i="3" l="1"/>
  <c r="I299" i="3" s="1"/>
  <c r="V299" i="3"/>
  <c r="A300" i="3"/>
  <c r="B300" i="3" s="1"/>
  <c r="J299" i="3" l="1"/>
  <c r="L299" i="3" s="1"/>
  <c r="M299" i="3"/>
  <c r="N299" i="3" s="1"/>
  <c r="P300" i="3"/>
  <c r="Q300" i="3" s="1"/>
  <c r="R300" i="3" s="1"/>
  <c r="S300" i="3" s="1"/>
  <c r="AC300" i="3"/>
  <c r="Z300" i="3"/>
  <c r="AD300" i="3"/>
  <c r="AA300" i="3"/>
  <c r="W299" i="3"/>
  <c r="T300" i="3" l="1"/>
  <c r="U299" i="3"/>
  <c r="Y298" i="3"/>
  <c r="E300" i="3" l="1"/>
  <c r="H300" i="3" s="1"/>
  <c r="K300" i="3" s="1"/>
  <c r="AE300" i="3" s="1"/>
  <c r="AH300" i="3"/>
  <c r="AG300" i="3"/>
  <c r="D300" i="3"/>
  <c r="F300" i="3" l="1"/>
  <c r="G300" i="3"/>
  <c r="V300" i="3"/>
  <c r="A301" i="3"/>
  <c r="B301" i="3" s="1"/>
  <c r="Z301" i="3" l="1"/>
  <c r="AD301" i="3"/>
  <c r="AA301" i="3"/>
  <c r="AC301" i="3"/>
  <c r="P301" i="3"/>
  <c r="Q301" i="3" s="1"/>
  <c r="R301" i="3" s="1"/>
  <c r="S301" i="3" s="1"/>
  <c r="I300" i="3"/>
  <c r="W300" i="3" s="1"/>
  <c r="J300" i="3"/>
  <c r="M300" i="3"/>
  <c r="N300" i="3" s="1"/>
  <c r="L300" i="3" l="1"/>
  <c r="T301" i="3"/>
  <c r="U300" i="3" l="1"/>
  <c r="D301" i="3" s="1"/>
  <c r="AG301" i="3"/>
  <c r="AH301" i="3"/>
  <c r="Y299" i="3"/>
  <c r="E301" i="3" l="1"/>
  <c r="H301" i="3" s="1"/>
  <c r="K301" i="3" s="1"/>
  <c r="AE301" i="3" s="1"/>
  <c r="G301" i="3"/>
  <c r="F301" i="3" l="1"/>
  <c r="V301" i="3"/>
  <c r="A302" i="3"/>
  <c r="B302" i="3" s="1"/>
  <c r="I301" i="3"/>
  <c r="J301" i="3"/>
  <c r="M301" i="3"/>
  <c r="N301" i="3" s="1"/>
  <c r="Z302" i="3" l="1"/>
  <c r="P302" i="3"/>
  <c r="Q302" i="3" s="1"/>
  <c r="R302" i="3" s="1"/>
  <c r="S302" i="3" s="1"/>
  <c r="AD302" i="3"/>
  <c r="AA302" i="3"/>
  <c r="AC302" i="3"/>
  <c r="L301" i="3"/>
  <c r="W301" i="3"/>
  <c r="T302" i="3" l="1"/>
  <c r="U301" i="3"/>
  <c r="Y300" i="3"/>
  <c r="D302" i="3" l="1"/>
  <c r="AG302" i="3"/>
  <c r="E302" i="3"/>
  <c r="H302" i="3" s="1"/>
  <c r="K302" i="3" s="1"/>
  <c r="AE302" i="3" s="1"/>
  <c r="AH302" i="3"/>
  <c r="F302" i="3" l="1"/>
  <c r="G302" i="3"/>
  <c r="I302" i="3" s="1"/>
  <c r="V302" i="3"/>
  <c r="A303" i="3"/>
  <c r="B303" i="3" s="1"/>
  <c r="M302" i="3" l="1"/>
  <c r="N302" i="3" s="1"/>
  <c r="J302" i="3"/>
  <c r="L302" i="3" s="1"/>
  <c r="P303" i="3"/>
  <c r="Q303" i="3" s="1"/>
  <c r="R303" i="3" s="1"/>
  <c r="S303" i="3" s="1"/>
  <c r="AD303" i="3"/>
  <c r="Z303" i="3"/>
  <c r="AA303" i="3"/>
  <c r="AC303" i="3"/>
  <c r="W302" i="3"/>
  <c r="U302" i="3" l="1"/>
  <c r="Y301" i="3"/>
  <c r="T303" i="3"/>
  <c r="D303" i="3" l="1"/>
  <c r="G303" i="3" s="1"/>
  <c r="AG303" i="3"/>
  <c r="AH303" i="3"/>
  <c r="E303" i="3"/>
  <c r="H303" i="3" s="1"/>
  <c r="K303" i="3" l="1"/>
  <c r="AE303" i="3" s="1"/>
  <c r="I303" i="3"/>
  <c r="J303" i="3"/>
  <c r="M303" i="3"/>
  <c r="N303" i="3" s="1"/>
  <c r="F303" i="3"/>
  <c r="L303" i="3" l="1"/>
  <c r="V303" i="3"/>
  <c r="W303" i="3" s="1"/>
  <c r="A304" i="3"/>
  <c r="B304" i="3" s="1"/>
  <c r="AA304" i="3" l="1"/>
  <c r="Z304" i="3"/>
  <c r="AC304" i="3"/>
  <c r="P304" i="3"/>
  <c r="Q304" i="3" s="1"/>
  <c r="R304" i="3" s="1"/>
  <c r="S304" i="3" s="1"/>
  <c r="U303" i="3"/>
  <c r="Y302" i="3"/>
  <c r="T304" i="3" l="1"/>
  <c r="AH304" i="3" s="1"/>
  <c r="D304" i="3" l="1"/>
  <c r="G304" i="3" s="1"/>
  <c r="AG304" i="3"/>
  <c r="E304" i="3"/>
  <c r="H304" i="3" s="1"/>
  <c r="K304" i="3" s="1"/>
  <c r="AE304" i="3" s="1"/>
  <c r="F304" i="3" l="1"/>
  <c r="I304" i="3"/>
  <c r="J304" i="3"/>
  <c r="AD304" i="3" s="1"/>
  <c r="M304" i="3"/>
  <c r="N304" i="3" s="1"/>
  <c r="V304" i="3"/>
  <c r="A305" i="3"/>
  <c r="B305" i="3" s="1"/>
  <c r="W304" i="3" l="1"/>
  <c r="AA305" i="3"/>
  <c r="P305" i="3"/>
  <c r="Q305" i="3" s="1"/>
  <c r="R305" i="3" s="1"/>
  <c r="S305" i="3" s="1"/>
  <c r="Z305" i="3"/>
  <c r="AC305" i="3"/>
  <c r="L304" i="3"/>
  <c r="T305" i="3" l="1"/>
  <c r="AG305" i="3" s="1"/>
  <c r="U304" i="3"/>
  <c r="Y303" i="3"/>
  <c r="D305" i="3" l="1"/>
  <c r="G305" i="3" s="1"/>
  <c r="AH305" i="3"/>
  <c r="E305" i="3"/>
  <c r="H305" i="3" s="1"/>
  <c r="K305" i="3" l="1"/>
  <c r="AE305" i="3" s="1"/>
  <c r="I305" i="3"/>
  <c r="J305" i="3"/>
  <c r="AD305" i="3" s="1"/>
  <c r="M305" i="3"/>
  <c r="N305" i="3" s="1"/>
  <c r="F305" i="3"/>
  <c r="L305" i="3" l="1"/>
  <c r="V305" i="3"/>
  <c r="W305" i="3" s="1"/>
  <c r="A306" i="3"/>
  <c r="B306" i="3" s="1"/>
  <c r="P306" i="3" l="1"/>
  <c r="Q306" i="3" s="1"/>
  <c r="R306" i="3" s="1"/>
  <c r="S306" i="3" s="1"/>
  <c r="AA306" i="3"/>
  <c r="Z306" i="3"/>
  <c r="AC306" i="3"/>
  <c r="U305" i="3"/>
  <c r="Y304" i="3"/>
  <c r="T306" i="3" l="1"/>
  <c r="E306" i="3" s="1"/>
  <c r="H306" i="3" s="1"/>
  <c r="AG306" i="3" l="1"/>
  <c r="D306" i="3"/>
  <c r="F306" i="3" s="1"/>
  <c r="AH306" i="3"/>
  <c r="K306" i="3"/>
  <c r="AE306" i="3" s="1"/>
  <c r="G306" i="3" l="1"/>
  <c r="I306" i="3" s="1"/>
  <c r="V306" i="3"/>
  <c r="A307" i="3"/>
  <c r="B307" i="3" s="1"/>
  <c r="M306" i="3" l="1"/>
  <c r="N306" i="3" s="1"/>
  <c r="J306" i="3"/>
  <c r="AC307" i="3"/>
  <c r="P307" i="3"/>
  <c r="Q307" i="3" s="1"/>
  <c r="R307" i="3" s="1"/>
  <c r="S307" i="3" s="1"/>
  <c r="AA307" i="3"/>
  <c r="Z307" i="3"/>
  <c r="W306" i="3"/>
  <c r="L306" i="3" l="1"/>
  <c r="AD306" i="3"/>
  <c r="T307" i="3"/>
  <c r="AG307" i="3" s="1"/>
  <c r="U306" i="3"/>
  <c r="Y305" i="3"/>
  <c r="D307" i="3" l="1"/>
  <c r="G307" i="3" s="1"/>
  <c r="AH307" i="3"/>
  <c r="E307" i="3"/>
  <c r="H307" i="3" s="1"/>
  <c r="K307" i="3" s="1"/>
  <c r="AE307" i="3" s="1"/>
  <c r="F307" i="3" l="1"/>
  <c r="V307" i="3"/>
  <c r="A308" i="3"/>
  <c r="B308" i="3" s="1"/>
  <c r="I307" i="3"/>
  <c r="J307" i="3"/>
  <c r="AD307" i="3" s="1"/>
  <c r="M307" i="3"/>
  <c r="N307" i="3" s="1"/>
  <c r="L307" i="3" l="1"/>
  <c r="Z308" i="3"/>
  <c r="AA308" i="3"/>
  <c r="AC308" i="3"/>
  <c r="P308" i="3"/>
  <c r="Q308" i="3" s="1"/>
  <c r="R308" i="3" s="1"/>
  <c r="S308" i="3" s="1"/>
  <c r="W307" i="3"/>
  <c r="T308" i="3" l="1"/>
  <c r="AH308" i="3" s="1"/>
  <c r="U307" i="3"/>
  <c r="Y306" i="3"/>
  <c r="AG308" i="3" l="1"/>
  <c r="E308" i="3"/>
  <c r="H308" i="3" s="1"/>
  <c r="K308" i="3" s="1"/>
  <c r="AE308" i="3" s="1"/>
  <c r="D308" i="3"/>
  <c r="G308" i="3" s="1"/>
  <c r="F308" i="3" l="1"/>
  <c r="I308" i="3"/>
  <c r="J308" i="3"/>
  <c r="AD308" i="3" s="1"/>
  <c r="M308" i="3"/>
  <c r="N308" i="3" s="1"/>
  <c r="V308" i="3"/>
  <c r="A309" i="3"/>
  <c r="B309" i="3" s="1"/>
  <c r="W308" i="3" l="1"/>
  <c r="P309" i="3"/>
  <c r="Q309" i="3" s="1"/>
  <c r="R309" i="3" s="1"/>
  <c r="S309" i="3" s="1"/>
  <c r="Z309" i="3"/>
  <c r="AC309" i="3"/>
  <c r="AA309" i="3"/>
  <c r="L308" i="3"/>
  <c r="T309" i="3" l="1"/>
  <c r="AG309" i="3" s="1"/>
  <c r="U308" i="3"/>
  <c r="Y307" i="3"/>
  <c r="E309" i="3" l="1"/>
  <c r="H309" i="3" s="1"/>
  <c r="K309" i="3" s="1"/>
  <c r="AE309" i="3" s="1"/>
  <c r="AH309" i="3"/>
  <c r="D309" i="3"/>
  <c r="V309" i="3" l="1"/>
  <c r="A310" i="3"/>
  <c r="B310" i="3" s="1"/>
  <c r="F309" i="3"/>
  <c r="G309" i="3"/>
  <c r="I309" i="3" l="1"/>
  <c r="W309" i="3" s="1"/>
  <c r="J309" i="3"/>
  <c r="AD309" i="3" s="1"/>
  <c r="M309" i="3"/>
  <c r="N309" i="3" s="1"/>
  <c r="P310" i="3"/>
  <c r="Q310" i="3" s="1"/>
  <c r="R310" i="3" s="1"/>
  <c r="S310" i="3" s="1"/>
  <c r="AA310" i="3"/>
  <c r="Z310" i="3"/>
  <c r="AC310" i="3"/>
  <c r="L309" i="3" l="1"/>
  <c r="T310" i="3"/>
  <c r="AH310" i="3" l="1"/>
  <c r="U309" i="3"/>
  <c r="D310" i="3" s="1"/>
  <c r="AG310" i="3"/>
  <c r="Y308" i="3"/>
  <c r="E310" i="3" l="1"/>
  <c r="H310" i="3" s="1"/>
  <c r="K310" i="3" s="1"/>
  <c r="AE310" i="3" s="1"/>
  <c r="G310" i="3"/>
  <c r="F310" i="3" l="1"/>
  <c r="V310" i="3"/>
  <c r="A311" i="3"/>
  <c r="B311" i="3" s="1"/>
  <c r="I310" i="3"/>
  <c r="J310" i="3"/>
  <c r="AD310" i="3" s="1"/>
  <c r="M310" i="3"/>
  <c r="N310" i="3" s="1"/>
  <c r="L310" i="3" l="1"/>
  <c r="Z311" i="3"/>
  <c r="P311" i="3"/>
  <c r="Q311" i="3" s="1"/>
  <c r="R311" i="3" s="1"/>
  <c r="S311" i="3" s="1"/>
  <c r="AA311" i="3"/>
  <c r="AC311" i="3"/>
  <c r="W310" i="3"/>
  <c r="T311" i="3" l="1"/>
  <c r="AH311" i="3" s="1"/>
  <c r="U310" i="3"/>
  <c r="Y309" i="3"/>
  <c r="D311" i="3" l="1"/>
  <c r="G311" i="3" s="1"/>
  <c r="AG311" i="3"/>
  <c r="E311" i="3"/>
  <c r="H311" i="3" s="1"/>
  <c r="F311" i="3" l="1"/>
  <c r="I311" i="3"/>
  <c r="J311" i="3"/>
  <c r="AD311" i="3" s="1"/>
  <c r="M311" i="3"/>
  <c r="N311" i="3" s="1"/>
  <c r="K311" i="3"/>
  <c r="AE311" i="3" s="1"/>
  <c r="V311" i="3" l="1"/>
  <c r="W311" i="3" s="1"/>
  <c r="A312" i="3"/>
  <c r="B312" i="3" s="1"/>
  <c r="L311" i="3"/>
  <c r="U311" i="3" l="1"/>
  <c r="Y310" i="3"/>
  <c r="P312" i="3"/>
  <c r="Q312" i="3" s="1"/>
  <c r="R312" i="3" s="1"/>
  <c r="S312" i="3" s="1"/>
  <c r="AC312" i="3"/>
  <c r="AA312" i="3"/>
  <c r="Z312" i="3"/>
  <c r="T312" i="3" l="1"/>
  <c r="AG312" i="3" s="1"/>
  <c r="AH312" i="3" l="1"/>
  <c r="E312" i="3"/>
  <c r="H312" i="3" s="1"/>
  <c r="K312" i="3" s="1"/>
  <c r="AE312" i="3" s="1"/>
  <c r="D312" i="3"/>
  <c r="G312" i="3" s="1"/>
  <c r="F312" i="3" l="1"/>
  <c r="V312" i="3"/>
  <c r="A313" i="3"/>
  <c r="B313" i="3" s="1"/>
  <c r="I312" i="3"/>
  <c r="J312" i="3"/>
  <c r="AD312" i="3" s="1"/>
  <c r="M312" i="3"/>
  <c r="N312" i="3" s="1"/>
  <c r="L312" i="3" l="1"/>
  <c r="AA313" i="3"/>
  <c r="Z313" i="3"/>
  <c r="AC313" i="3"/>
  <c r="P313" i="3"/>
  <c r="Q313" i="3" s="1"/>
  <c r="R313" i="3" s="1"/>
  <c r="S313" i="3" s="1"/>
  <c r="W312" i="3"/>
  <c r="T313" i="3" l="1"/>
  <c r="AH313" i="3" s="1"/>
  <c r="U312" i="3"/>
  <c r="Y311" i="3"/>
  <c r="AG313" i="3" l="1"/>
  <c r="E313" i="3"/>
  <c r="H313" i="3" s="1"/>
  <c r="K313" i="3" s="1"/>
  <c r="AE313" i="3" s="1"/>
  <c r="D313" i="3"/>
  <c r="F313" i="3" l="1"/>
  <c r="G313" i="3"/>
  <c r="I313" i="3" s="1"/>
  <c r="V313" i="3"/>
  <c r="A314" i="3"/>
  <c r="B314" i="3" s="1"/>
  <c r="J313" i="3" l="1"/>
  <c r="M313" i="3"/>
  <c r="N313" i="3" s="1"/>
  <c r="W313" i="3"/>
  <c r="AA314" i="3"/>
  <c r="P314" i="3"/>
  <c r="Q314" i="3" s="1"/>
  <c r="R314" i="3" s="1"/>
  <c r="S314" i="3" s="1"/>
  <c r="AC314" i="3"/>
  <c r="Z314" i="3"/>
  <c r="L313" i="3" l="1"/>
  <c r="AD313" i="3"/>
  <c r="T314" i="3"/>
  <c r="AG314" i="3" s="1"/>
  <c r="U313" i="3"/>
  <c r="Y312" i="3"/>
  <c r="AH314" i="3" l="1"/>
  <c r="D314" i="3"/>
  <c r="G314" i="3" s="1"/>
  <c r="E314" i="3"/>
  <c r="H314" i="3" s="1"/>
  <c r="K314" i="3" s="1"/>
  <c r="AE314" i="3" s="1"/>
  <c r="F314" i="3" l="1"/>
  <c r="I314" i="3"/>
  <c r="J314" i="3"/>
  <c r="AD314" i="3" s="1"/>
  <c r="M314" i="3"/>
  <c r="N314" i="3" s="1"/>
  <c r="V314" i="3"/>
  <c r="A315" i="3"/>
  <c r="B315" i="3" s="1"/>
  <c r="W314" i="3" l="1"/>
  <c r="Z315" i="3"/>
  <c r="P315" i="3"/>
  <c r="Q315" i="3" s="1"/>
  <c r="R315" i="3" s="1"/>
  <c r="S315" i="3" s="1"/>
  <c r="AC315" i="3"/>
  <c r="AD315" i="3"/>
  <c r="AA315" i="3"/>
  <c r="L314" i="3"/>
  <c r="T315" i="3" l="1"/>
  <c r="AG315" i="3" s="1"/>
  <c r="U314" i="3"/>
  <c r="Y313" i="3"/>
  <c r="AH315" i="3" l="1"/>
  <c r="D315" i="3"/>
  <c r="G315" i="3" s="1"/>
  <c r="E315" i="3"/>
  <c r="H315" i="3" s="1"/>
  <c r="K315" i="3" s="1"/>
  <c r="AE315" i="3" s="1"/>
  <c r="F315" i="3" l="1"/>
  <c r="V315" i="3"/>
  <c r="A316" i="3"/>
  <c r="B316" i="3" s="1"/>
  <c r="I315" i="3"/>
  <c r="J315" i="3"/>
  <c r="M315" i="3"/>
  <c r="N315" i="3" s="1"/>
  <c r="L315" i="3" l="1"/>
  <c r="Z316" i="3"/>
  <c r="AC316" i="3"/>
  <c r="P316" i="3"/>
  <c r="Q316" i="3" s="1"/>
  <c r="R316" i="3" s="1"/>
  <c r="S316" i="3" s="1"/>
  <c r="AA316" i="3"/>
  <c r="AD316" i="3"/>
  <c r="W315" i="3"/>
  <c r="T316" i="3" l="1"/>
  <c r="AG316" i="3" s="1"/>
  <c r="U315" i="3"/>
  <c r="Y314" i="3"/>
  <c r="D316" i="3" l="1"/>
  <c r="G316" i="3" s="1"/>
  <c r="AH316" i="3"/>
  <c r="E316" i="3"/>
  <c r="H316" i="3" s="1"/>
  <c r="K316" i="3" s="1"/>
  <c r="AE316" i="3" s="1"/>
  <c r="F316" i="3" l="1"/>
  <c r="V316" i="3"/>
  <c r="A317" i="3"/>
  <c r="B317" i="3" s="1"/>
  <c r="I316" i="3"/>
  <c r="J316" i="3"/>
  <c r="M316" i="3"/>
  <c r="N316" i="3" s="1"/>
  <c r="AD317" i="3" l="1"/>
  <c r="AC317" i="3"/>
  <c r="AA317" i="3"/>
  <c r="P317" i="3"/>
  <c r="Q317" i="3" s="1"/>
  <c r="R317" i="3" s="1"/>
  <c r="S317" i="3" s="1"/>
  <c r="Z317" i="3"/>
  <c r="L316" i="3"/>
  <c r="W316" i="3"/>
  <c r="T317" i="3" l="1"/>
  <c r="AH317" i="3" s="1"/>
  <c r="U316" i="3"/>
  <c r="Y315" i="3"/>
  <c r="E317" i="3" l="1"/>
  <c r="H317" i="3" s="1"/>
  <c r="K317" i="3" s="1"/>
  <c r="AE317" i="3" s="1"/>
  <c r="AG317" i="3"/>
  <c r="D317" i="3"/>
  <c r="F317" i="3" l="1"/>
  <c r="G317" i="3"/>
  <c r="V317" i="3"/>
  <c r="A318" i="3"/>
  <c r="B318" i="3" s="1"/>
  <c r="AA318" i="3" l="1"/>
  <c r="P318" i="3"/>
  <c r="Q318" i="3" s="1"/>
  <c r="R318" i="3" s="1"/>
  <c r="S318" i="3" s="1"/>
  <c r="AD318" i="3"/>
  <c r="Z318" i="3"/>
  <c r="AC318" i="3"/>
  <c r="I317" i="3"/>
  <c r="W317" i="3" s="1"/>
  <c r="J317" i="3"/>
  <c r="M317" i="3"/>
  <c r="N317" i="3" s="1"/>
  <c r="T318" i="3" l="1"/>
  <c r="L317" i="3"/>
  <c r="AH318" i="3" l="1"/>
  <c r="U317" i="3"/>
  <c r="D318" i="3" s="1"/>
  <c r="AG318" i="3"/>
  <c r="Y316" i="3"/>
  <c r="E318" i="3" l="1"/>
  <c r="H318" i="3" s="1"/>
  <c r="K318" i="3" s="1"/>
  <c r="AE318" i="3" s="1"/>
  <c r="G318" i="3"/>
  <c r="F318" i="3" l="1"/>
  <c r="I318" i="3"/>
  <c r="J318" i="3"/>
  <c r="M318" i="3"/>
  <c r="N318" i="3" s="1"/>
  <c r="V318" i="3"/>
  <c r="A319" i="3"/>
  <c r="B319" i="3" s="1"/>
  <c r="W318" i="3" l="1"/>
  <c r="P319" i="3"/>
  <c r="Q319" i="3" s="1"/>
  <c r="R319" i="3" s="1"/>
  <c r="S319" i="3" s="1"/>
  <c r="Z319" i="3"/>
  <c r="AC319" i="3"/>
  <c r="AD319" i="3"/>
  <c r="AA319" i="3"/>
  <c r="L318" i="3"/>
  <c r="U318" i="3" l="1"/>
  <c r="Y317" i="3"/>
  <c r="T319" i="3"/>
  <c r="D319" i="3" l="1"/>
  <c r="G319" i="3" s="1"/>
  <c r="E319" i="3"/>
  <c r="H319" i="3" s="1"/>
  <c r="AG319" i="3"/>
  <c r="AH319" i="3"/>
  <c r="K319" i="3" l="1"/>
  <c r="AE319" i="3" s="1"/>
  <c r="I319" i="3"/>
  <c r="J319" i="3"/>
  <c r="M319" i="3"/>
  <c r="N319" i="3" s="1"/>
  <c r="F319" i="3"/>
  <c r="L319" i="3" l="1"/>
  <c r="V319" i="3"/>
  <c r="W319" i="3" s="1"/>
  <c r="A320" i="3"/>
  <c r="B320" i="3" s="1"/>
  <c r="AD320" i="3" l="1"/>
  <c r="AA320" i="3"/>
  <c r="AC320" i="3"/>
  <c r="Z320" i="3"/>
  <c r="P320" i="3"/>
  <c r="Q320" i="3" s="1"/>
  <c r="R320" i="3" s="1"/>
  <c r="S320" i="3" s="1"/>
  <c r="U319" i="3"/>
  <c r="Y318" i="3"/>
  <c r="T320" i="3" l="1"/>
  <c r="AG320" i="3" s="1"/>
  <c r="AH320" i="3" l="1"/>
  <c r="D320" i="3"/>
  <c r="E320" i="3"/>
  <c r="H320" i="3" s="1"/>
  <c r="K320" i="3" s="1"/>
  <c r="AE320" i="3" s="1"/>
  <c r="F320" i="3" l="1"/>
  <c r="G320" i="3"/>
  <c r="I320" i="3" s="1"/>
  <c r="V320" i="3"/>
  <c r="A321" i="3"/>
  <c r="B321" i="3" s="1"/>
  <c r="J320" i="3" l="1"/>
  <c r="L320" i="3" s="1"/>
  <c r="M320" i="3"/>
  <c r="N320" i="3" s="1"/>
  <c r="W320" i="3"/>
  <c r="AA321" i="3"/>
  <c r="Z321" i="3"/>
  <c r="P321" i="3"/>
  <c r="Q321" i="3" s="1"/>
  <c r="R321" i="3" s="1"/>
  <c r="S321" i="3" s="1"/>
  <c r="AC321" i="3"/>
  <c r="AD321" i="3"/>
  <c r="T321" i="3" l="1"/>
  <c r="AH321" i="3" s="1"/>
  <c r="U320" i="3"/>
  <c r="Y319" i="3"/>
  <c r="E321" i="3" l="1"/>
  <c r="H321" i="3" s="1"/>
  <c r="K321" i="3" s="1"/>
  <c r="AE321" i="3" s="1"/>
  <c r="AG321" i="3"/>
  <c r="D321" i="3"/>
  <c r="F321" i="3" l="1"/>
  <c r="G321" i="3"/>
  <c r="V321" i="3"/>
  <c r="A322" i="3"/>
  <c r="B322" i="3" s="1"/>
  <c r="AC322" i="3" l="1"/>
  <c r="AD322" i="3"/>
  <c r="AA322" i="3"/>
  <c r="Z322" i="3"/>
  <c r="P322" i="3"/>
  <c r="Q322" i="3" s="1"/>
  <c r="R322" i="3" s="1"/>
  <c r="S322" i="3" s="1"/>
  <c r="I321" i="3"/>
  <c r="W321" i="3" s="1"/>
  <c r="J321" i="3"/>
  <c r="M321" i="3"/>
  <c r="N321" i="3" s="1"/>
  <c r="L321" i="3" l="1"/>
  <c r="T322" i="3"/>
  <c r="AG322" i="3" l="1"/>
  <c r="U321" i="3"/>
  <c r="D322" i="3" s="1"/>
  <c r="AH322" i="3"/>
  <c r="Y320" i="3"/>
  <c r="E322" i="3" l="1"/>
  <c r="H322" i="3" s="1"/>
  <c r="K322" i="3" s="1"/>
  <c r="AE322" i="3" s="1"/>
  <c r="G322" i="3"/>
  <c r="F322" i="3" l="1"/>
  <c r="V322" i="3"/>
  <c r="A323" i="3"/>
  <c r="B323" i="3" s="1"/>
  <c r="I322" i="3"/>
  <c r="J322" i="3"/>
  <c r="M322" i="3"/>
  <c r="N322" i="3" s="1"/>
  <c r="AD323" i="3" l="1"/>
  <c r="AC323" i="3"/>
  <c r="P323" i="3"/>
  <c r="Q323" i="3" s="1"/>
  <c r="R323" i="3" s="1"/>
  <c r="S323" i="3" s="1"/>
  <c r="Z323" i="3"/>
  <c r="AA323" i="3"/>
  <c r="L322" i="3"/>
  <c r="W322" i="3"/>
  <c r="T323" i="3" l="1"/>
  <c r="AG323" i="3" s="1"/>
  <c r="U322" i="3"/>
  <c r="Y321" i="3"/>
  <c r="E323" i="3" l="1"/>
  <c r="H323" i="3" s="1"/>
  <c r="K323" i="3" s="1"/>
  <c r="AE323" i="3" s="1"/>
  <c r="AH323" i="3"/>
  <c r="D323" i="3"/>
  <c r="F323" i="3" l="1"/>
  <c r="G323" i="3"/>
  <c r="I323" i="3" s="1"/>
  <c r="V323" i="3"/>
  <c r="A324" i="3"/>
  <c r="B324" i="3" s="1"/>
  <c r="M323" i="3" l="1"/>
  <c r="N323" i="3" s="1"/>
  <c r="J323" i="3"/>
  <c r="L323" i="3" s="1"/>
  <c r="W323" i="3"/>
  <c r="Z324" i="3"/>
  <c r="P324" i="3"/>
  <c r="Q324" i="3" s="1"/>
  <c r="R324" i="3" s="1"/>
  <c r="S324" i="3" s="1"/>
  <c r="AC324" i="3"/>
  <c r="AA324" i="3"/>
  <c r="U323" i="3" l="1"/>
  <c r="Y322" i="3"/>
  <c r="T324" i="3"/>
  <c r="E324" i="3" l="1"/>
  <c r="H324" i="3" s="1"/>
  <c r="K324" i="3" s="1"/>
  <c r="AE324" i="3" s="1"/>
  <c r="AG324" i="3"/>
  <c r="AH324" i="3"/>
  <c r="D324" i="3"/>
  <c r="F324" i="3" l="1"/>
  <c r="G324" i="3"/>
  <c r="I324" i="3" s="1"/>
  <c r="V324" i="3"/>
  <c r="A325" i="3"/>
  <c r="B325" i="3" s="1"/>
  <c r="M324" i="3" l="1"/>
  <c r="N324" i="3" s="1"/>
  <c r="J324" i="3"/>
  <c r="W324" i="3"/>
  <c r="AC325" i="3"/>
  <c r="AD325" i="3"/>
  <c r="Z325" i="3"/>
  <c r="P325" i="3"/>
  <c r="Q325" i="3" s="1"/>
  <c r="R325" i="3" s="1"/>
  <c r="S325" i="3" s="1"/>
  <c r="AA325" i="3"/>
  <c r="L324" i="3" l="1"/>
  <c r="U324" i="3" s="1"/>
  <c r="AD324" i="3"/>
  <c r="T325" i="3"/>
  <c r="Y323" i="3" l="1"/>
  <c r="AG325" i="3"/>
  <c r="AH325" i="3"/>
  <c r="D325" i="3"/>
  <c r="G325" i="3" s="1"/>
  <c r="E325" i="3"/>
  <c r="H325" i="3" s="1"/>
  <c r="K325" i="3" s="1"/>
  <c r="AE325" i="3" s="1"/>
  <c r="F325" i="3" l="1"/>
  <c r="V325" i="3"/>
  <c r="A326" i="3"/>
  <c r="B326" i="3" s="1"/>
  <c r="I325" i="3"/>
  <c r="J325" i="3"/>
  <c r="M325" i="3"/>
  <c r="N325" i="3" s="1"/>
  <c r="P326" i="3" l="1"/>
  <c r="Q326" i="3" s="1"/>
  <c r="R326" i="3" s="1"/>
  <c r="S326" i="3" s="1"/>
  <c r="AD326" i="3"/>
  <c r="Z326" i="3"/>
  <c r="AA326" i="3"/>
  <c r="AC326" i="3"/>
  <c r="L325" i="3"/>
  <c r="W325" i="3"/>
  <c r="T326" i="3" l="1"/>
  <c r="AH326" i="3" s="1"/>
  <c r="U325" i="3"/>
  <c r="Y324" i="3"/>
  <c r="AG326" i="3" l="1"/>
  <c r="E326" i="3"/>
  <c r="H326" i="3" s="1"/>
  <c r="K326" i="3" s="1"/>
  <c r="AE326" i="3" s="1"/>
  <c r="D326" i="3"/>
  <c r="F326" i="3" l="1"/>
  <c r="G326" i="3"/>
  <c r="I326" i="3" s="1"/>
  <c r="V326" i="3"/>
  <c r="A327" i="3"/>
  <c r="B327" i="3" s="1"/>
  <c r="M326" i="3" l="1"/>
  <c r="N326" i="3" s="1"/>
  <c r="J326" i="3"/>
  <c r="L326" i="3" s="1"/>
  <c r="W326" i="3"/>
  <c r="P327" i="3"/>
  <c r="Q327" i="3" s="1"/>
  <c r="R327" i="3" s="1"/>
  <c r="S327" i="3" s="1"/>
  <c r="AD327" i="3"/>
  <c r="Z327" i="3"/>
  <c r="AA327" i="3"/>
  <c r="AC327" i="3"/>
  <c r="T327" i="3" l="1"/>
  <c r="AH327" i="3" s="1"/>
  <c r="U326" i="3"/>
  <c r="Y325" i="3"/>
  <c r="E327" i="3" l="1"/>
  <c r="H327" i="3" s="1"/>
  <c r="K327" i="3" s="1"/>
  <c r="AE327" i="3" s="1"/>
  <c r="AG327" i="3"/>
  <c r="D327" i="3"/>
  <c r="F327" i="3" l="1"/>
  <c r="G327" i="3"/>
  <c r="V327" i="3"/>
  <c r="A328" i="3"/>
  <c r="B328" i="3" s="1"/>
  <c r="AA328" i="3" l="1"/>
  <c r="AD328" i="3"/>
  <c r="P328" i="3"/>
  <c r="Q328" i="3" s="1"/>
  <c r="R328" i="3" s="1"/>
  <c r="S328" i="3" s="1"/>
  <c r="AC328" i="3"/>
  <c r="Z328" i="3"/>
  <c r="I327" i="3"/>
  <c r="W327" i="3" s="1"/>
  <c r="J327" i="3"/>
  <c r="M327" i="3"/>
  <c r="N327" i="3" s="1"/>
  <c r="L327" i="3" l="1"/>
  <c r="T328" i="3"/>
  <c r="AG328" i="3" l="1"/>
  <c r="AH328" i="3"/>
  <c r="U327" i="3"/>
  <c r="D328" i="3" s="1"/>
  <c r="Y326" i="3"/>
  <c r="E328" i="3" l="1"/>
  <c r="H328" i="3" s="1"/>
  <c r="K328" i="3" s="1"/>
  <c r="AE328" i="3" s="1"/>
  <c r="G328" i="3"/>
  <c r="F328" i="3" l="1"/>
  <c r="V328" i="3"/>
  <c r="A329" i="3"/>
  <c r="B329" i="3" s="1"/>
  <c r="I328" i="3"/>
  <c r="J328" i="3"/>
  <c r="M328" i="3"/>
  <c r="N328" i="3" s="1"/>
  <c r="Z329" i="3" l="1"/>
  <c r="AA329" i="3"/>
  <c r="AD329" i="3"/>
  <c r="P329" i="3"/>
  <c r="Q329" i="3" s="1"/>
  <c r="R329" i="3" s="1"/>
  <c r="S329" i="3" s="1"/>
  <c r="AC329" i="3"/>
  <c r="L328" i="3"/>
  <c r="W328" i="3"/>
  <c r="T329" i="3" l="1"/>
  <c r="AH329" i="3" s="1"/>
  <c r="U328" i="3"/>
  <c r="Y327" i="3"/>
  <c r="D329" i="3" l="1"/>
  <c r="G329" i="3" s="1"/>
  <c r="AG329" i="3"/>
  <c r="E329" i="3"/>
  <c r="H329" i="3" s="1"/>
  <c r="K329" i="3" s="1"/>
  <c r="AE329" i="3" s="1"/>
  <c r="F329" i="3" l="1"/>
  <c r="V329" i="3"/>
  <c r="A330" i="3"/>
  <c r="B330" i="3" s="1"/>
  <c r="I329" i="3"/>
  <c r="J329" i="3"/>
  <c r="M329" i="3"/>
  <c r="N329" i="3" s="1"/>
  <c r="L329" i="3" l="1"/>
  <c r="P330" i="3"/>
  <c r="Q330" i="3" s="1"/>
  <c r="R330" i="3" s="1"/>
  <c r="S330" i="3" s="1"/>
  <c r="AC330" i="3"/>
  <c r="AD330" i="3"/>
  <c r="Z330" i="3"/>
  <c r="AA330" i="3"/>
  <c r="W329" i="3"/>
  <c r="T330" i="3" l="1"/>
  <c r="AG330" i="3" s="1"/>
  <c r="U329" i="3"/>
  <c r="Y328" i="3"/>
  <c r="D330" i="3" l="1"/>
  <c r="G330" i="3" s="1"/>
  <c r="AH330" i="3"/>
  <c r="E330" i="3"/>
  <c r="H330" i="3" s="1"/>
  <c r="K330" i="3" l="1"/>
  <c r="AE330" i="3" s="1"/>
  <c r="I330" i="3"/>
  <c r="J330" i="3"/>
  <c r="M330" i="3"/>
  <c r="N330" i="3" s="1"/>
  <c r="F330" i="3"/>
  <c r="L330" i="3" l="1"/>
  <c r="V330" i="3"/>
  <c r="W330" i="3" s="1"/>
  <c r="A331" i="3"/>
  <c r="B331" i="3" s="1"/>
  <c r="Z331" i="3" l="1"/>
  <c r="P331" i="3"/>
  <c r="Q331" i="3" s="1"/>
  <c r="R331" i="3" s="1"/>
  <c r="S331" i="3" s="1"/>
  <c r="AC331" i="3"/>
  <c r="AA331" i="3"/>
  <c r="AD331" i="3"/>
  <c r="U330" i="3"/>
  <c r="Y329" i="3"/>
  <c r="T331" i="3" l="1"/>
  <c r="E331" i="3" s="1"/>
  <c r="H331" i="3" s="1"/>
  <c r="AH331" i="3" l="1"/>
  <c r="AG331" i="3"/>
  <c r="D331" i="3"/>
  <c r="F331" i="3" s="1"/>
  <c r="K331" i="3"/>
  <c r="AE331" i="3" s="1"/>
  <c r="G331" i="3" l="1"/>
  <c r="I331" i="3" s="1"/>
  <c r="V331" i="3"/>
  <c r="A332" i="3"/>
  <c r="B332" i="3" s="1"/>
  <c r="M331" i="3" l="1"/>
  <c r="N331" i="3" s="1"/>
  <c r="J331" i="3"/>
  <c r="L331" i="3" s="1"/>
  <c r="AC332" i="3"/>
  <c r="AA332" i="3"/>
  <c r="P332" i="3"/>
  <c r="Q332" i="3" s="1"/>
  <c r="R332" i="3" s="1"/>
  <c r="S332" i="3" s="1"/>
  <c r="Z332" i="3"/>
  <c r="AD332" i="3"/>
  <c r="W331" i="3"/>
  <c r="T332" i="3" l="1"/>
  <c r="AH332" i="3" s="1"/>
  <c r="U331" i="3"/>
  <c r="Y330" i="3"/>
  <c r="E332" i="3" l="1"/>
  <c r="H332" i="3" s="1"/>
  <c r="K332" i="3" s="1"/>
  <c r="AE332" i="3" s="1"/>
  <c r="AG332" i="3"/>
  <c r="D332" i="3"/>
  <c r="V332" i="3" l="1"/>
  <c r="A333" i="3"/>
  <c r="B333" i="3" s="1"/>
  <c r="F332" i="3"/>
  <c r="G332" i="3"/>
  <c r="I332" i="3" l="1"/>
  <c r="W332" i="3" s="1"/>
  <c r="J332" i="3"/>
  <c r="M332" i="3"/>
  <c r="N332" i="3" s="1"/>
  <c r="AD333" i="3"/>
  <c r="P333" i="3"/>
  <c r="Q333" i="3" s="1"/>
  <c r="R333" i="3" s="1"/>
  <c r="S333" i="3" s="1"/>
  <c r="AC333" i="3"/>
  <c r="AA333" i="3"/>
  <c r="Z333" i="3"/>
  <c r="T333" i="3" l="1"/>
  <c r="L332" i="3"/>
  <c r="AG333" i="3" l="1"/>
  <c r="U332" i="3"/>
  <c r="E333" i="3" s="1"/>
  <c r="H333" i="3" s="1"/>
  <c r="AH333" i="3"/>
  <c r="Y331" i="3"/>
  <c r="D333" i="3" l="1"/>
  <c r="F333" i="3" s="1"/>
  <c r="K333" i="3"/>
  <c r="AE333" i="3" s="1"/>
  <c r="G333" i="3" l="1"/>
  <c r="I333" i="3" s="1"/>
  <c r="V333" i="3"/>
  <c r="A334" i="3"/>
  <c r="B334" i="3" s="1"/>
  <c r="M333" i="3" l="1"/>
  <c r="N333" i="3" s="1"/>
  <c r="J333" i="3"/>
  <c r="L333" i="3" s="1"/>
  <c r="W333" i="3"/>
  <c r="Z334" i="3"/>
  <c r="P334" i="3"/>
  <c r="Q334" i="3" s="1"/>
  <c r="R334" i="3" s="1"/>
  <c r="S334" i="3" s="1"/>
  <c r="AC334" i="3"/>
  <c r="AA334" i="3"/>
  <c r="T334" i="3" l="1"/>
  <c r="AH334" i="3" s="1"/>
  <c r="U333" i="3"/>
  <c r="Y332" i="3"/>
  <c r="AG334" i="3" l="1"/>
  <c r="E334" i="3"/>
  <c r="H334" i="3" s="1"/>
  <c r="K334" i="3" s="1"/>
  <c r="AE334" i="3" s="1"/>
  <c r="D334" i="3"/>
  <c r="F334" i="3" l="1"/>
  <c r="G334" i="3"/>
  <c r="I334" i="3" s="1"/>
  <c r="V334" i="3"/>
  <c r="A335" i="3"/>
  <c r="B335" i="3" s="1"/>
  <c r="J334" i="3" l="1"/>
  <c r="M334" i="3"/>
  <c r="N334" i="3" s="1"/>
  <c r="W334" i="3"/>
  <c r="AD335" i="3"/>
  <c r="Z335" i="3"/>
  <c r="AA335" i="3"/>
  <c r="AC335" i="3"/>
  <c r="P335" i="3"/>
  <c r="Q335" i="3" s="1"/>
  <c r="R335" i="3" s="1"/>
  <c r="S335" i="3" s="1"/>
  <c r="L334" i="3" l="1"/>
  <c r="AD334" i="3"/>
  <c r="U334" i="3"/>
  <c r="Y333" i="3"/>
  <c r="T335" i="3"/>
  <c r="AG335" i="3" s="1"/>
  <c r="E335" i="3" l="1"/>
  <c r="H335" i="3" s="1"/>
  <c r="D335" i="3"/>
  <c r="AH335" i="3"/>
  <c r="F335" i="3" l="1"/>
  <c r="G335" i="3"/>
  <c r="K335" i="3"/>
  <c r="AE335" i="3" s="1"/>
  <c r="V335" i="3" l="1"/>
  <c r="A336" i="3"/>
  <c r="B336" i="3" s="1"/>
  <c r="I335" i="3"/>
  <c r="J335" i="3"/>
  <c r="M335" i="3"/>
  <c r="N335" i="3" s="1"/>
  <c r="L335" i="3" l="1"/>
  <c r="Z336" i="3"/>
  <c r="AC336" i="3"/>
  <c r="AA336" i="3"/>
  <c r="P336" i="3"/>
  <c r="Q336" i="3" s="1"/>
  <c r="R336" i="3" s="1"/>
  <c r="S336" i="3" s="1"/>
  <c r="AD336" i="3"/>
  <c r="W335" i="3"/>
  <c r="T336" i="3" l="1"/>
  <c r="AH336" i="3" s="1"/>
  <c r="U335" i="3"/>
  <c r="Y334" i="3"/>
  <c r="E336" i="3" l="1"/>
  <c r="H336" i="3" s="1"/>
  <c r="K336" i="3" s="1"/>
  <c r="AE336" i="3" s="1"/>
  <c r="AG336" i="3"/>
  <c r="D336" i="3"/>
  <c r="G336" i="3" s="1"/>
  <c r="F336" i="3" l="1"/>
  <c r="I336" i="3"/>
  <c r="J336" i="3"/>
  <c r="M336" i="3"/>
  <c r="N336" i="3" s="1"/>
  <c r="V336" i="3"/>
  <c r="A337" i="3"/>
  <c r="B337" i="3" s="1"/>
  <c r="W336" i="3" l="1"/>
  <c r="Z337" i="3"/>
  <c r="P337" i="3"/>
  <c r="Q337" i="3" s="1"/>
  <c r="R337" i="3" s="1"/>
  <c r="S337" i="3" s="1"/>
  <c r="AD337" i="3"/>
  <c r="AC337" i="3"/>
  <c r="AA337" i="3"/>
  <c r="L336" i="3"/>
  <c r="U336" i="3" l="1"/>
  <c r="Y335" i="3"/>
  <c r="T337" i="3"/>
  <c r="D337" i="3" l="1"/>
  <c r="G337" i="3" s="1"/>
  <c r="E337" i="3"/>
  <c r="H337" i="3" s="1"/>
  <c r="AG337" i="3"/>
  <c r="AH337" i="3"/>
  <c r="K337" i="3" l="1"/>
  <c r="AE337" i="3" s="1"/>
  <c r="I337" i="3"/>
  <c r="J337" i="3"/>
  <c r="M337" i="3"/>
  <c r="N337" i="3" s="1"/>
  <c r="F337" i="3"/>
  <c r="L337" i="3" l="1"/>
  <c r="V337" i="3"/>
  <c r="W337" i="3" s="1"/>
  <c r="A338" i="3"/>
  <c r="B338" i="3" s="1"/>
  <c r="Z338" i="3" l="1"/>
  <c r="P338" i="3"/>
  <c r="Q338" i="3" s="1"/>
  <c r="R338" i="3" s="1"/>
  <c r="S338" i="3" s="1"/>
  <c r="AD338" i="3"/>
  <c r="AA338" i="3"/>
  <c r="AC338" i="3"/>
  <c r="U337" i="3"/>
  <c r="Y336" i="3"/>
  <c r="T338" i="3" l="1"/>
  <c r="E338" i="3" s="1"/>
  <c r="H338" i="3" s="1"/>
  <c r="D338" i="3" l="1"/>
  <c r="F338" i="3" s="1"/>
  <c r="AG338" i="3"/>
  <c r="AH338" i="3"/>
  <c r="K338" i="3"/>
  <c r="AE338" i="3" s="1"/>
  <c r="G338" i="3" l="1"/>
  <c r="I338" i="3" s="1"/>
  <c r="V338" i="3"/>
  <c r="A339" i="3"/>
  <c r="B339" i="3" s="1"/>
  <c r="M338" i="3" l="1"/>
  <c r="N338" i="3" s="1"/>
  <c r="J338" i="3"/>
  <c r="L338" i="3" s="1"/>
  <c r="W338" i="3"/>
  <c r="Z339" i="3"/>
  <c r="AD339" i="3"/>
  <c r="P339" i="3"/>
  <c r="Q339" i="3" s="1"/>
  <c r="R339" i="3" s="1"/>
  <c r="S339" i="3" s="1"/>
  <c r="AA339" i="3"/>
  <c r="AC339" i="3"/>
  <c r="T339" i="3" l="1"/>
  <c r="AG339" i="3" s="1"/>
  <c r="U338" i="3"/>
  <c r="Y337" i="3"/>
  <c r="D339" i="3" l="1"/>
  <c r="G339" i="3" s="1"/>
  <c r="AH339" i="3"/>
  <c r="E339" i="3"/>
  <c r="H339" i="3" s="1"/>
  <c r="K339" i="3" s="1"/>
  <c r="AE339" i="3" s="1"/>
  <c r="F339" i="3" l="1"/>
  <c r="I339" i="3"/>
  <c r="J339" i="3"/>
  <c r="M339" i="3"/>
  <c r="N339" i="3" s="1"/>
  <c r="V339" i="3"/>
  <c r="A340" i="3"/>
  <c r="B340" i="3" s="1"/>
  <c r="W339" i="3" l="1"/>
  <c r="AA340" i="3"/>
  <c r="AD340" i="3"/>
  <c r="Z340" i="3"/>
  <c r="P340" i="3"/>
  <c r="Q340" i="3" s="1"/>
  <c r="R340" i="3" s="1"/>
  <c r="S340" i="3" s="1"/>
  <c r="AC340" i="3"/>
  <c r="L339" i="3"/>
  <c r="T340" i="3" l="1"/>
  <c r="AG340" i="3" s="1"/>
  <c r="U339" i="3"/>
  <c r="Y338" i="3"/>
  <c r="AH340" i="3" l="1"/>
  <c r="E340" i="3"/>
  <c r="H340" i="3" s="1"/>
  <c r="K340" i="3" s="1"/>
  <c r="AE340" i="3" s="1"/>
  <c r="D340" i="3"/>
  <c r="F340" i="3" l="1"/>
  <c r="G340" i="3"/>
  <c r="I340" i="3" s="1"/>
  <c r="V340" i="3"/>
  <c r="A341" i="3"/>
  <c r="B341" i="3" s="1"/>
  <c r="M340" i="3" l="1"/>
  <c r="N340" i="3" s="1"/>
  <c r="J340" i="3"/>
  <c r="L340" i="3" s="1"/>
  <c r="AA341" i="3"/>
  <c r="AC341" i="3"/>
  <c r="AD341" i="3"/>
  <c r="Z341" i="3"/>
  <c r="P341" i="3"/>
  <c r="Q341" i="3" s="1"/>
  <c r="R341" i="3" s="1"/>
  <c r="S341" i="3" s="1"/>
  <c r="W340" i="3"/>
  <c r="U340" i="3" l="1"/>
  <c r="Y339" i="3"/>
  <c r="T341" i="3"/>
  <c r="D341" i="3" l="1"/>
  <c r="G341" i="3" s="1"/>
  <c r="E341" i="3"/>
  <c r="H341" i="3" s="1"/>
  <c r="K341" i="3" s="1"/>
  <c r="AE341" i="3" s="1"/>
  <c r="AH341" i="3"/>
  <c r="AG341" i="3"/>
  <c r="F341" i="3" l="1"/>
  <c r="V341" i="3"/>
  <c r="A342" i="3"/>
  <c r="B342" i="3" s="1"/>
  <c r="I341" i="3"/>
  <c r="J341" i="3"/>
  <c r="M341" i="3"/>
  <c r="N341" i="3" s="1"/>
  <c r="L341" i="3" l="1"/>
  <c r="P342" i="3"/>
  <c r="Q342" i="3" s="1"/>
  <c r="R342" i="3" s="1"/>
  <c r="S342" i="3" s="1"/>
  <c r="AA342" i="3"/>
  <c r="AD342" i="3"/>
  <c r="AC342" i="3"/>
  <c r="Z342" i="3"/>
  <c r="W341" i="3"/>
  <c r="T342" i="3" l="1"/>
  <c r="AG342" i="3" s="1"/>
  <c r="U341" i="3"/>
  <c r="Y340" i="3"/>
  <c r="D342" i="3" l="1"/>
  <c r="G342" i="3" s="1"/>
  <c r="AH342" i="3"/>
  <c r="E342" i="3"/>
  <c r="H342" i="3" s="1"/>
  <c r="K342" i="3" s="1"/>
  <c r="AE342" i="3" s="1"/>
  <c r="F342" i="3" l="1"/>
  <c r="V342" i="3"/>
  <c r="A343" i="3"/>
  <c r="B343" i="3" s="1"/>
  <c r="I342" i="3"/>
  <c r="J342" i="3"/>
  <c r="M342" i="3"/>
  <c r="N342" i="3" s="1"/>
  <c r="AD343" i="3" l="1"/>
  <c r="P343" i="3"/>
  <c r="Q343" i="3" s="1"/>
  <c r="R343" i="3" s="1"/>
  <c r="S343" i="3" s="1"/>
  <c r="AA343" i="3"/>
  <c r="Z343" i="3"/>
  <c r="AC343" i="3"/>
  <c r="L342" i="3"/>
  <c r="W342" i="3"/>
  <c r="T343" i="3" l="1"/>
  <c r="AG343" i="3" s="1"/>
  <c r="U342" i="3"/>
  <c r="Y341" i="3"/>
  <c r="D343" i="3" l="1"/>
  <c r="G343" i="3" s="1"/>
  <c r="AH343" i="3"/>
  <c r="E343" i="3"/>
  <c r="H343" i="3" s="1"/>
  <c r="K343" i="3" s="1"/>
  <c r="AE343" i="3" s="1"/>
  <c r="F343" i="3" l="1"/>
  <c r="V343" i="3"/>
  <c r="A344" i="3"/>
  <c r="B344" i="3" s="1"/>
  <c r="I343" i="3"/>
  <c r="J343" i="3"/>
  <c r="M343" i="3"/>
  <c r="N343" i="3" s="1"/>
  <c r="W343" i="3" l="1"/>
  <c r="L343" i="3"/>
  <c r="P344" i="3"/>
  <c r="Q344" i="3" s="1"/>
  <c r="R344" i="3" s="1"/>
  <c r="S344" i="3" s="1"/>
  <c r="AC344" i="3"/>
  <c r="AA344" i="3"/>
  <c r="Z344" i="3"/>
  <c r="T344" i="3" l="1"/>
  <c r="AH344" i="3" s="1"/>
  <c r="U343" i="3"/>
  <c r="Y342" i="3"/>
  <c r="D344" i="3" l="1"/>
  <c r="G344" i="3" s="1"/>
  <c r="E344" i="3"/>
  <c r="H344" i="3" s="1"/>
  <c r="K344" i="3" s="1"/>
  <c r="AE344" i="3" s="1"/>
  <c r="AG344" i="3"/>
  <c r="F344" i="3" l="1"/>
  <c r="I344" i="3"/>
  <c r="J344" i="3"/>
  <c r="AD344" i="3" s="1"/>
  <c r="M344" i="3"/>
  <c r="N344" i="3" s="1"/>
  <c r="V344" i="3"/>
  <c r="A345" i="3"/>
  <c r="B345" i="3" s="1"/>
  <c r="W344" i="3" l="1"/>
  <c r="P345" i="3"/>
  <c r="Q345" i="3" s="1"/>
  <c r="R345" i="3" s="1"/>
  <c r="S345" i="3" s="1"/>
  <c r="AC345" i="3"/>
  <c r="AD345" i="3"/>
  <c r="Z345" i="3"/>
  <c r="AA345" i="3"/>
  <c r="L344" i="3"/>
  <c r="U344" i="3" l="1"/>
  <c r="Y343" i="3"/>
  <c r="T345" i="3"/>
  <c r="AG345" i="3" s="1"/>
  <c r="E345" i="3" l="1"/>
  <c r="H345" i="3" s="1"/>
  <c r="K345" i="3" s="1"/>
  <c r="AE345" i="3" s="1"/>
  <c r="D345" i="3"/>
  <c r="G345" i="3" s="1"/>
  <c r="AH345" i="3"/>
  <c r="F345" i="3" l="1"/>
  <c r="I345" i="3"/>
  <c r="J345" i="3"/>
  <c r="M345" i="3"/>
  <c r="N345" i="3" s="1"/>
  <c r="V345" i="3"/>
  <c r="A346" i="3"/>
  <c r="B346" i="3" s="1"/>
  <c r="W345" i="3" l="1"/>
  <c r="Z346" i="3"/>
  <c r="AD346" i="3"/>
  <c r="AA346" i="3"/>
  <c r="AC346" i="3"/>
  <c r="P346" i="3"/>
  <c r="Q346" i="3" s="1"/>
  <c r="R346" i="3" s="1"/>
  <c r="S346" i="3" s="1"/>
  <c r="L345" i="3"/>
  <c r="T346" i="3" l="1"/>
  <c r="AG346" i="3" s="1"/>
  <c r="U345" i="3"/>
  <c r="Y344" i="3"/>
  <c r="E346" i="3" l="1"/>
  <c r="H346" i="3" s="1"/>
  <c r="K346" i="3" s="1"/>
  <c r="AE346" i="3" s="1"/>
  <c r="AH346" i="3"/>
  <c r="D346" i="3"/>
  <c r="G346" i="3" s="1"/>
  <c r="F346" i="3" l="1"/>
  <c r="I346" i="3"/>
  <c r="J346" i="3"/>
  <c r="M346" i="3"/>
  <c r="N346" i="3" s="1"/>
  <c r="V346" i="3"/>
  <c r="A347" i="3"/>
  <c r="B347" i="3" s="1"/>
  <c r="W346" i="3" l="1"/>
  <c r="AD347" i="3"/>
  <c r="P347" i="3"/>
  <c r="Q347" i="3" s="1"/>
  <c r="R347" i="3" s="1"/>
  <c r="S347" i="3" s="1"/>
  <c r="Z347" i="3"/>
  <c r="AC347" i="3"/>
  <c r="AA347" i="3"/>
  <c r="L346" i="3"/>
  <c r="T347" i="3" l="1"/>
  <c r="AH347" i="3" s="1"/>
  <c r="U346" i="3"/>
  <c r="Y345" i="3"/>
  <c r="D347" i="3" l="1"/>
  <c r="E347" i="3"/>
  <c r="H347" i="3" s="1"/>
  <c r="AG347" i="3"/>
  <c r="K347" i="3" l="1"/>
  <c r="AE347" i="3" s="1"/>
  <c r="F347" i="3"/>
  <c r="G347" i="3"/>
  <c r="I347" i="3" l="1"/>
  <c r="J347" i="3"/>
  <c r="M347" i="3"/>
  <c r="N347" i="3" s="1"/>
  <c r="V347" i="3"/>
  <c r="A348" i="3"/>
  <c r="B348" i="3" s="1"/>
  <c r="W347" i="3" l="1"/>
  <c r="AD348" i="3"/>
  <c r="Z348" i="3"/>
  <c r="AC348" i="3"/>
  <c r="AA348" i="3"/>
  <c r="P348" i="3"/>
  <c r="Q348" i="3" s="1"/>
  <c r="R348" i="3" s="1"/>
  <c r="S348" i="3" s="1"/>
  <c r="L347" i="3"/>
  <c r="T348" i="3" l="1"/>
  <c r="AG348" i="3" s="1"/>
  <c r="U347" i="3"/>
  <c r="Y346" i="3"/>
  <c r="D348" i="3" l="1"/>
  <c r="G348" i="3" s="1"/>
  <c r="E348" i="3"/>
  <c r="H348" i="3" s="1"/>
  <c r="K348" i="3" s="1"/>
  <c r="AE348" i="3" s="1"/>
  <c r="AH348" i="3"/>
  <c r="F348" i="3" l="1"/>
  <c r="I348" i="3"/>
  <c r="J348" i="3"/>
  <c r="M348" i="3"/>
  <c r="N348" i="3" s="1"/>
  <c r="V348" i="3"/>
  <c r="A349" i="3"/>
  <c r="B349" i="3" s="1"/>
  <c r="W348" i="3" l="1"/>
  <c r="AA349" i="3"/>
  <c r="P349" i="3"/>
  <c r="Q349" i="3" s="1"/>
  <c r="R349" i="3" s="1"/>
  <c r="S349" i="3" s="1"/>
  <c r="AC349" i="3"/>
  <c r="Z349" i="3"/>
  <c r="AD349" i="3"/>
  <c r="L348" i="3"/>
  <c r="U348" i="3" l="1"/>
  <c r="Y347" i="3"/>
  <c r="T349" i="3"/>
  <c r="AG349" i="3" s="1"/>
  <c r="D349" i="3" l="1"/>
  <c r="AH349" i="3"/>
  <c r="E349" i="3"/>
  <c r="H349" i="3" s="1"/>
  <c r="K349" i="3" l="1"/>
  <c r="AE349" i="3" s="1"/>
  <c r="F349" i="3"/>
  <c r="G349" i="3"/>
  <c r="I349" i="3" l="1"/>
  <c r="J349" i="3"/>
  <c r="M349" i="3"/>
  <c r="N349" i="3" s="1"/>
  <c r="V349" i="3"/>
  <c r="A350" i="3"/>
  <c r="B350" i="3" s="1"/>
  <c r="W349" i="3" l="1"/>
  <c r="P350" i="3"/>
  <c r="Q350" i="3" s="1"/>
  <c r="R350" i="3" s="1"/>
  <c r="S350" i="3" s="1"/>
  <c r="AD350" i="3"/>
  <c r="AA350" i="3"/>
  <c r="AC350" i="3"/>
  <c r="Z350" i="3"/>
  <c r="L349" i="3"/>
  <c r="U349" i="3" l="1"/>
  <c r="Y348" i="3"/>
  <c r="T350" i="3"/>
  <c r="AG350" i="3" s="1"/>
  <c r="E350" i="3" l="1"/>
  <c r="H350" i="3" s="1"/>
  <c r="K350" i="3" s="1"/>
  <c r="AE350" i="3" s="1"/>
  <c r="D350" i="3"/>
  <c r="AH350" i="3"/>
  <c r="F350" i="3" l="1"/>
  <c r="G350" i="3"/>
  <c r="V350" i="3"/>
  <c r="A351" i="3"/>
  <c r="B351" i="3" s="1"/>
  <c r="P351" i="3" l="1"/>
  <c r="Q351" i="3" s="1"/>
  <c r="R351" i="3" s="1"/>
  <c r="S351" i="3" s="1"/>
  <c r="Z351" i="3"/>
  <c r="AC351" i="3"/>
  <c r="AD351" i="3"/>
  <c r="AA351" i="3"/>
  <c r="I350" i="3"/>
  <c r="W350" i="3" s="1"/>
  <c r="J350" i="3"/>
  <c r="M350" i="3"/>
  <c r="N350" i="3" s="1"/>
  <c r="L350" i="3" l="1"/>
  <c r="T351" i="3"/>
  <c r="AH351" i="3" l="1"/>
  <c r="U350" i="3"/>
  <c r="D351" i="3" s="1"/>
  <c r="AG351" i="3"/>
  <c r="Y349" i="3"/>
  <c r="E351" i="3" l="1"/>
  <c r="H351" i="3" s="1"/>
  <c r="K351" i="3" s="1"/>
  <c r="AE351" i="3" s="1"/>
  <c r="G351" i="3"/>
  <c r="F351" i="3" l="1"/>
  <c r="V351" i="3"/>
  <c r="A352" i="3"/>
  <c r="B352" i="3" s="1"/>
  <c r="I351" i="3"/>
  <c r="J351" i="3"/>
  <c r="M351" i="3"/>
  <c r="N351" i="3" s="1"/>
  <c r="L351" i="3" l="1"/>
  <c r="AA352" i="3"/>
  <c r="Z352" i="3"/>
  <c r="P352" i="3"/>
  <c r="Q352" i="3" s="1"/>
  <c r="R352" i="3" s="1"/>
  <c r="S352" i="3" s="1"/>
  <c r="AC352" i="3"/>
  <c r="AD352" i="3"/>
  <c r="W351" i="3"/>
  <c r="T352" i="3" l="1"/>
  <c r="AH352" i="3" s="1"/>
  <c r="U351" i="3"/>
  <c r="Y350" i="3"/>
  <c r="E352" i="3" l="1"/>
  <c r="H352" i="3" s="1"/>
  <c r="K352" i="3" s="1"/>
  <c r="AE352" i="3" s="1"/>
  <c r="AG352" i="3"/>
  <c r="D352" i="3"/>
  <c r="F352" i="3" l="1"/>
  <c r="G352" i="3"/>
  <c r="I352" i="3" s="1"/>
  <c r="V352" i="3"/>
  <c r="A353" i="3"/>
  <c r="B353" i="3" s="1"/>
  <c r="M352" i="3" l="1"/>
  <c r="N352" i="3" s="1"/>
  <c r="J352" i="3"/>
  <c r="L352" i="3" s="1"/>
  <c r="AD353" i="3"/>
  <c r="P353" i="3"/>
  <c r="Q353" i="3" s="1"/>
  <c r="R353" i="3" s="1"/>
  <c r="S353" i="3" s="1"/>
  <c r="Z353" i="3"/>
  <c r="AC353" i="3"/>
  <c r="AA353" i="3"/>
  <c r="W352" i="3"/>
  <c r="T353" i="3" l="1"/>
  <c r="AG353" i="3" s="1"/>
  <c r="U352" i="3"/>
  <c r="Y351" i="3"/>
  <c r="D353" i="3" l="1"/>
  <c r="G353" i="3" s="1"/>
  <c r="AH353" i="3"/>
  <c r="E353" i="3"/>
  <c r="H353" i="3" s="1"/>
  <c r="K353" i="3" s="1"/>
  <c r="AE353" i="3" s="1"/>
  <c r="F353" i="3" l="1"/>
  <c r="V353" i="3"/>
  <c r="A354" i="3"/>
  <c r="B354" i="3" s="1"/>
  <c r="I353" i="3"/>
  <c r="J353" i="3"/>
  <c r="M353" i="3"/>
  <c r="N353" i="3" s="1"/>
  <c r="L353" i="3" l="1"/>
  <c r="Z354" i="3"/>
  <c r="AC354" i="3"/>
  <c r="AA354" i="3"/>
  <c r="P354" i="3"/>
  <c r="Q354" i="3" s="1"/>
  <c r="R354" i="3" s="1"/>
  <c r="S354" i="3" s="1"/>
  <c r="W353" i="3"/>
  <c r="U353" i="3" l="1"/>
  <c r="Y352" i="3"/>
  <c r="T354" i="3"/>
  <c r="D354" i="3" l="1"/>
  <c r="G354" i="3" s="1"/>
  <c r="AH354" i="3"/>
  <c r="AG354" i="3"/>
  <c r="E354" i="3"/>
  <c r="H354" i="3" s="1"/>
  <c r="K354" i="3" l="1"/>
  <c r="AE354" i="3" s="1"/>
  <c r="I354" i="3"/>
  <c r="J354" i="3"/>
  <c r="AD354" i="3" s="1"/>
  <c r="M354" i="3"/>
  <c r="N354" i="3" s="1"/>
  <c r="F354" i="3"/>
  <c r="L354" i="3" l="1"/>
  <c r="V354" i="3"/>
  <c r="W354" i="3" s="1"/>
  <c r="A355" i="3"/>
  <c r="B355" i="3" s="1"/>
  <c r="AD355" i="3" l="1"/>
  <c r="AA355" i="3"/>
  <c r="P355" i="3"/>
  <c r="Q355" i="3" s="1"/>
  <c r="R355" i="3" s="1"/>
  <c r="S355" i="3" s="1"/>
  <c r="AC355" i="3"/>
  <c r="Z355" i="3"/>
  <c r="U354" i="3"/>
  <c r="Y353" i="3"/>
  <c r="T355" i="3" l="1"/>
  <c r="E355" i="3" s="1"/>
  <c r="H355" i="3" s="1"/>
  <c r="AG355" i="3" l="1"/>
  <c r="AH355" i="3"/>
  <c r="D355" i="3"/>
  <c r="F355" i="3" s="1"/>
  <c r="K355" i="3"/>
  <c r="AE355" i="3" s="1"/>
  <c r="G355" i="3" l="1"/>
  <c r="M355" i="3" s="1"/>
  <c r="N355" i="3" s="1"/>
  <c r="V355" i="3"/>
  <c r="A356" i="3"/>
  <c r="B356" i="3" s="1"/>
  <c r="J355" i="3" l="1"/>
  <c r="L355" i="3" s="1"/>
  <c r="I355" i="3"/>
  <c r="W355" i="3" s="1"/>
  <c r="AC356" i="3"/>
  <c r="P356" i="3"/>
  <c r="Q356" i="3" s="1"/>
  <c r="R356" i="3" s="1"/>
  <c r="S356" i="3" s="1"/>
  <c r="AA356" i="3"/>
  <c r="AD356" i="3"/>
  <c r="Z356" i="3"/>
  <c r="T356" i="3" l="1"/>
  <c r="AH356" i="3" s="1"/>
  <c r="U355" i="3"/>
  <c r="Y354" i="3"/>
  <c r="AG356" i="3" l="1"/>
  <c r="E356" i="3"/>
  <c r="H356" i="3" s="1"/>
  <c r="K356" i="3" s="1"/>
  <c r="AE356" i="3" s="1"/>
  <c r="D356" i="3"/>
  <c r="F356" i="3" l="1"/>
  <c r="G356" i="3"/>
  <c r="I356" i="3" s="1"/>
  <c r="V356" i="3"/>
  <c r="A357" i="3"/>
  <c r="B357" i="3" s="1"/>
  <c r="M356" i="3" l="1"/>
  <c r="N356" i="3" s="1"/>
  <c r="J356" i="3"/>
  <c r="L356" i="3" s="1"/>
  <c r="AC357" i="3"/>
  <c r="AA357" i="3"/>
  <c r="P357" i="3"/>
  <c r="Q357" i="3" s="1"/>
  <c r="R357" i="3" s="1"/>
  <c r="S357" i="3" s="1"/>
  <c r="AD357" i="3"/>
  <c r="Z357" i="3"/>
  <c r="W356" i="3"/>
  <c r="T357" i="3" l="1"/>
  <c r="AG357" i="3" s="1"/>
  <c r="U356" i="3"/>
  <c r="Y355" i="3"/>
  <c r="AH357" i="3" l="1"/>
  <c r="D357" i="3"/>
  <c r="G357" i="3" s="1"/>
  <c r="E357" i="3"/>
  <c r="H357" i="3" s="1"/>
  <c r="K357" i="3" s="1"/>
  <c r="AE357" i="3" s="1"/>
  <c r="F357" i="3" l="1"/>
  <c r="V357" i="3"/>
  <c r="A358" i="3"/>
  <c r="B358" i="3" s="1"/>
  <c r="I357" i="3"/>
  <c r="J357" i="3"/>
  <c r="M357" i="3"/>
  <c r="N357" i="3" s="1"/>
  <c r="L357" i="3" l="1"/>
  <c r="W357" i="3"/>
  <c r="AC358" i="3"/>
  <c r="Z358" i="3"/>
  <c r="AA358" i="3"/>
  <c r="AD358" i="3"/>
  <c r="P358" i="3"/>
  <c r="Q358" i="3" s="1"/>
  <c r="R358" i="3" s="1"/>
  <c r="S358" i="3" s="1"/>
  <c r="T358" i="3" l="1"/>
  <c r="AG358" i="3" s="1"/>
  <c r="U357" i="3"/>
  <c r="Y356" i="3"/>
  <c r="D358" i="3" l="1"/>
  <c r="G358" i="3" s="1"/>
  <c r="AH358" i="3"/>
  <c r="E358" i="3"/>
  <c r="H358" i="3" s="1"/>
  <c r="K358" i="3" l="1"/>
  <c r="AE358" i="3" s="1"/>
  <c r="I358" i="3"/>
  <c r="J358" i="3"/>
  <c r="M358" i="3"/>
  <c r="N358" i="3" s="1"/>
  <c r="F358" i="3"/>
  <c r="L358" i="3" l="1"/>
  <c r="V358" i="3"/>
  <c r="W358" i="3" s="1"/>
  <c r="A359" i="3"/>
  <c r="B359" i="3" s="1"/>
  <c r="AC359" i="3" l="1"/>
  <c r="AA359" i="3"/>
  <c r="Z359" i="3"/>
  <c r="AD359" i="3"/>
  <c r="P359" i="3"/>
  <c r="Q359" i="3" s="1"/>
  <c r="R359" i="3" s="1"/>
  <c r="S359" i="3" s="1"/>
  <c r="U358" i="3"/>
  <c r="Y357" i="3"/>
  <c r="T359" i="3" l="1"/>
  <c r="D359" i="3" s="1"/>
  <c r="E359" i="3" l="1"/>
  <c r="H359" i="3" s="1"/>
  <c r="K359" i="3" s="1"/>
  <c r="AE359" i="3" s="1"/>
  <c r="AG359" i="3"/>
  <c r="AH359" i="3"/>
  <c r="G359" i="3"/>
  <c r="F359" i="3" l="1"/>
  <c r="I359" i="3"/>
  <c r="J359" i="3"/>
  <c r="M359" i="3"/>
  <c r="N359" i="3" s="1"/>
  <c r="V359" i="3"/>
  <c r="A360" i="3"/>
  <c r="B360" i="3" s="1"/>
  <c r="W359" i="3" l="1"/>
  <c r="Z360" i="3"/>
  <c r="P360" i="3"/>
  <c r="Q360" i="3" s="1"/>
  <c r="R360" i="3" s="1"/>
  <c r="S360" i="3" s="1"/>
  <c r="AC360" i="3"/>
  <c r="AA360" i="3"/>
  <c r="AD360" i="3"/>
  <c r="L359" i="3"/>
  <c r="T360" i="3" l="1"/>
  <c r="AH360" i="3" s="1"/>
  <c r="U359" i="3"/>
  <c r="Y358" i="3"/>
  <c r="D360" i="3" l="1"/>
  <c r="G360" i="3" s="1"/>
  <c r="AG360" i="3"/>
  <c r="E360" i="3"/>
  <c r="H360" i="3" s="1"/>
  <c r="K360" i="3" l="1"/>
  <c r="AE360" i="3" s="1"/>
  <c r="I360" i="3"/>
  <c r="J360" i="3"/>
  <c r="M360" i="3"/>
  <c r="N360" i="3" s="1"/>
  <c r="F360" i="3"/>
  <c r="L360" i="3" l="1"/>
  <c r="V360" i="3"/>
  <c r="W360" i="3" s="1"/>
  <c r="A361" i="3"/>
  <c r="B361" i="3" s="1"/>
  <c r="Z361" i="3" l="1"/>
  <c r="AC361" i="3"/>
  <c r="AD361" i="3"/>
  <c r="P361" i="3"/>
  <c r="Q361" i="3" s="1"/>
  <c r="R361" i="3" s="1"/>
  <c r="S361" i="3" s="1"/>
  <c r="AA361" i="3"/>
  <c r="U360" i="3"/>
  <c r="Y359" i="3"/>
  <c r="T361" i="3" l="1"/>
  <c r="AH361" i="3" s="1"/>
  <c r="AG361" i="3" l="1"/>
  <c r="D361" i="3"/>
  <c r="E361" i="3"/>
  <c r="H361" i="3" s="1"/>
  <c r="K361" i="3" l="1"/>
  <c r="AE361" i="3" s="1"/>
  <c r="F361" i="3"/>
  <c r="G361" i="3"/>
  <c r="I361" i="3" l="1"/>
  <c r="J361" i="3"/>
  <c r="M361" i="3"/>
  <c r="N361" i="3" s="1"/>
  <c r="V361" i="3"/>
  <c r="A362" i="3"/>
  <c r="B362" i="3" s="1"/>
  <c r="W361" i="3" l="1"/>
  <c r="Z362" i="3"/>
  <c r="AD362" i="3"/>
  <c r="AC362" i="3"/>
  <c r="AA362" i="3"/>
  <c r="P362" i="3"/>
  <c r="Q362" i="3" s="1"/>
  <c r="R362" i="3" s="1"/>
  <c r="S362" i="3" s="1"/>
  <c r="L361" i="3"/>
  <c r="T362" i="3" l="1"/>
  <c r="AG362" i="3" s="1"/>
  <c r="U361" i="3"/>
  <c r="Y360" i="3"/>
  <c r="E362" i="3" l="1"/>
  <c r="H362" i="3" s="1"/>
  <c r="K362" i="3" s="1"/>
  <c r="AE362" i="3" s="1"/>
  <c r="AH362" i="3"/>
  <c r="D362" i="3"/>
  <c r="F362" i="3" l="1"/>
  <c r="G362" i="3"/>
  <c r="I362" i="3" s="1"/>
  <c r="V362" i="3"/>
  <c r="A363" i="3"/>
  <c r="B363" i="3" s="1"/>
  <c r="M362" i="3" l="1"/>
  <c r="N362" i="3" s="1"/>
  <c r="J362" i="3"/>
  <c r="L362" i="3" s="1"/>
  <c r="W362" i="3"/>
  <c r="AC363" i="3"/>
  <c r="Z363" i="3"/>
  <c r="P363" i="3"/>
  <c r="Q363" i="3" s="1"/>
  <c r="R363" i="3" s="1"/>
  <c r="S363" i="3" s="1"/>
  <c r="AA363" i="3"/>
  <c r="AD363" i="3"/>
  <c r="U362" i="3" l="1"/>
  <c r="Y361" i="3"/>
  <c r="T363" i="3"/>
  <c r="D363" i="3" l="1"/>
  <c r="G363" i="3" s="1"/>
  <c r="E363" i="3"/>
  <c r="H363" i="3" s="1"/>
  <c r="AH363" i="3"/>
  <c r="AG363" i="3"/>
  <c r="I363" i="3" l="1"/>
  <c r="J363" i="3"/>
  <c r="M363" i="3"/>
  <c r="N363" i="3" s="1"/>
  <c r="K363" i="3"/>
  <c r="AE363" i="3" s="1"/>
  <c r="F363" i="3"/>
  <c r="V363" i="3" l="1"/>
  <c r="W363" i="3" s="1"/>
  <c r="A364" i="3"/>
  <c r="B364" i="3" s="1"/>
  <c r="L363" i="3"/>
  <c r="U363" i="3" l="1"/>
  <c r="Y362" i="3"/>
  <c r="AC364" i="3"/>
  <c r="Z364" i="3"/>
  <c r="AA364" i="3"/>
  <c r="P364" i="3"/>
  <c r="Q364" i="3" s="1"/>
  <c r="R364" i="3" s="1"/>
  <c r="S364" i="3" s="1"/>
  <c r="T364" i="3" l="1"/>
  <c r="AG364" i="3" s="1"/>
  <c r="D364" i="3" l="1"/>
  <c r="G364" i="3" s="1"/>
  <c r="AH364" i="3"/>
  <c r="E364" i="3"/>
  <c r="H364" i="3" s="1"/>
  <c r="K364" i="3" s="1"/>
  <c r="AE364" i="3" s="1"/>
  <c r="F364" i="3" l="1"/>
  <c r="V364" i="3"/>
  <c r="A365" i="3"/>
  <c r="B365" i="3" s="1"/>
  <c r="I364" i="3"/>
  <c r="J364" i="3"/>
  <c r="AD364" i="3" s="1"/>
  <c r="M364" i="3"/>
  <c r="N364" i="3" s="1"/>
  <c r="L364" i="3" l="1"/>
  <c r="AD365" i="3"/>
  <c r="AA365" i="3"/>
  <c r="Z365" i="3"/>
  <c r="AC365" i="3"/>
  <c r="P365" i="3"/>
  <c r="Q365" i="3" s="1"/>
  <c r="R365" i="3" s="1"/>
  <c r="S365" i="3" s="1"/>
  <c r="W364" i="3"/>
  <c r="T365" i="3" l="1"/>
  <c r="AH365" i="3" s="1"/>
  <c r="U364" i="3"/>
  <c r="Y363" i="3"/>
  <c r="E365" i="3" l="1"/>
  <c r="H365" i="3" s="1"/>
  <c r="K365" i="3" s="1"/>
  <c r="AE365" i="3" s="1"/>
  <c r="AG365" i="3"/>
  <c r="D365" i="3"/>
  <c r="F365" i="3" l="1"/>
  <c r="G365" i="3"/>
  <c r="I365" i="3" s="1"/>
  <c r="V365" i="3"/>
  <c r="A366" i="3"/>
  <c r="B366" i="3" s="1"/>
  <c r="M365" i="3" l="1"/>
  <c r="N365" i="3" s="1"/>
  <c r="W365" i="3"/>
  <c r="J365" i="3"/>
  <c r="L365" i="3" s="1"/>
  <c r="AA366" i="3"/>
  <c r="AD366" i="3"/>
  <c r="P366" i="3"/>
  <c r="Q366" i="3" s="1"/>
  <c r="R366" i="3" s="1"/>
  <c r="S366" i="3" s="1"/>
  <c r="AC366" i="3"/>
  <c r="Z366" i="3"/>
  <c r="T366" i="3" l="1"/>
  <c r="AH366" i="3" s="1"/>
  <c r="U365" i="3"/>
  <c r="Y364" i="3"/>
  <c r="D366" i="3" l="1"/>
  <c r="G366" i="3" s="1"/>
  <c r="AG366" i="3"/>
  <c r="E366" i="3"/>
  <c r="H366" i="3" s="1"/>
  <c r="K366" i="3" s="1"/>
  <c r="AE366" i="3" s="1"/>
  <c r="F366" i="3" l="1"/>
  <c r="V366" i="3"/>
  <c r="A367" i="3"/>
  <c r="B367" i="3" s="1"/>
  <c r="I366" i="3"/>
  <c r="J366" i="3"/>
  <c r="M366" i="3"/>
  <c r="N366" i="3" s="1"/>
  <c r="Z367" i="3" l="1"/>
  <c r="P367" i="3"/>
  <c r="Q367" i="3" s="1"/>
  <c r="R367" i="3" s="1"/>
  <c r="S367" i="3" s="1"/>
  <c r="AA367" i="3"/>
  <c r="AD367" i="3"/>
  <c r="AC367" i="3"/>
  <c r="L366" i="3"/>
  <c r="W366" i="3"/>
  <c r="T367" i="3" l="1"/>
  <c r="AH367" i="3" s="1"/>
  <c r="U366" i="3"/>
  <c r="Y365" i="3"/>
  <c r="D367" i="3" l="1"/>
  <c r="G367" i="3" s="1"/>
  <c r="AG367" i="3"/>
  <c r="E367" i="3"/>
  <c r="H367" i="3" s="1"/>
  <c r="K367" i="3" s="1"/>
  <c r="AE367" i="3" s="1"/>
  <c r="F367" i="3" l="1"/>
  <c r="I367" i="3"/>
  <c r="J367" i="3"/>
  <c r="M367" i="3"/>
  <c r="N367" i="3" s="1"/>
  <c r="V367" i="3"/>
  <c r="A368" i="3"/>
  <c r="B368" i="3" s="1"/>
  <c r="W367" i="3" l="1"/>
  <c r="AD368" i="3"/>
  <c r="AA368" i="3"/>
  <c r="AC368" i="3"/>
  <c r="Z368" i="3"/>
  <c r="P368" i="3"/>
  <c r="Q368" i="3" s="1"/>
  <c r="R368" i="3" s="1"/>
  <c r="S368" i="3" s="1"/>
  <c r="L367" i="3"/>
  <c r="T368" i="3" l="1"/>
  <c r="AH368" i="3" s="1"/>
  <c r="U367" i="3"/>
  <c r="Y366" i="3"/>
  <c r="D368" i="3" l="1"/>
  <c r="G368" i="3" s="1"/>
  <c r="AG368" i="3"/>
  <c r="E368" i="3"/>
  <c r="H368" i="3" s="1"/>
  <c r="K368" i="3" l="1"/>
  <c r="AE368" i="3" s="1"/>
  <c r="I368" i="3"/>
  <c r="J368" i="3"/>
  <c r="M368" i="3"/>
  <c r="N368" i="3" s="1"/>
  <c r="F368" i="3"/>
  <c r="L368" i="3" l="1"/>
  <c r="V368" i="3"/>
  <c r="W368" i="3" s="1"/>
  <c r="A369" i="3"/>
  <c r="B369" i="3" s="1"/>
  <c r="Z369" i="3" l="1"/>
  <c r="AD369" i="3"/>
  <c r="P369" i="3"/>
  <c r="Q369" i="3" s="1"/>
  <c r="R369" i="3" s="1"/>
  <c r="S369" i="3" s="1"/>
  <c r="AC369" i="3"/>
  <c r="AA369" i="3"/>
  <c r="U368" i="3"/>
  <c r="Y367" i="3"/>
  <c r="T369" i="3" l="1"/>
  <c r="AG369" i="3" s="1"/>
  <c r="E369" i="3" l="1"/>
  <c r="H369" i="3" s="1"/>
  <c r="K369" i="3" s="1"/>
  <c r="AE369" i="3" s="1"/>
  <c r="AH369" i="3"/>
  <c r="D369" i="3"/>
  <c r="F369" i="3" l="1"/>
  <c r="G369" i="3"/>
  <c r="V369" i="3"/>
  <c r="A370" i="3"/>
  <c r="B370" i="3" s="1"/>
  <c r="AA370" i="3" l="1"/>
  <c r="Z370" i="3"/>
  <c r="P370" i="3"/>
  <c r="Q370" i="3" s="1"/>
  <c r="R370" i="3" s="1"/>
  <c r="S370" i="3" s="1"/>
  <c r="AD370" i="3"/>
  <c r="AC370" i="3"/>
  <c r="I369" i="3"/>
  <c r="W369" i="3" s="1"/>
  <c r="J369" i="3"/>
  <c r="M369" i="3"/>
  <c r="N369" i="3" s="1"/>
  <c r="L369" i="3" l="1"/>
  <c r="T370" i="3"/>
  <c r="U369" i="3" l="1"/>
  <c r="E370" i="3" s="1"/>
  <c r="H370" i="3" s="1"/>
  <c r="AG370" i="3"/>
  <c r="AH370" i="3"/>
  <c r="Y368" i="3"/>
  <c r="D370" i="3" l="1"/>
  <c r="F370" i="3" s="1"/>
  <c r="K370" i="3"/>
  <c r="AE370" i="3" s="1"/>
  <c r="G370" i="3" l="1"/>
  <c r="I370" i="3" s="1"/>
  <c r="V370" i="3"/>
  <c r="A371" i="3"/>
  <c r="B371" i="3" s="1"/>
  <c r="J370" i="3" l="1"/>
  <c r="L370" i="3" s="1"/>
  <c r="M370" i="3"/>
  <c r="N370" i="3" s="1"/>
  <c r="Z371" i="3"/>
  <c r="P371" i="3"/>
  <c r="Q371" i="3" s="1"/>
  <c r="R371" i="3" s="1"/>
  <c r="S371" i="3" s="1"/>
  <c r="AD371" i="3"/>
  <c r="AC371" i="3"/>
  <c r="AA371" i="3"/>
  <c r="W370" i="3"/>
  <c r="T371" i="3" l="1"/>
  <c r="AG371" i="3" s="1"/>
  <c r="U370" i="3"/>
  <c r="Y369" i="3"/>
  <c r="D371" i="3" l="1"/>
  <c r="G371" i="3" s="1"/>
  <c r="AH371" i="3"/>
  <c r="E371" i="3"/>
  <c r="H371" i="3" s="1"/>
  <c r="K371" i="3" l="1"/>
  <c r="AE371" i="3" s="1"/>
  <c r="I371" i="3"/>
  <c r="J371" i="3"/>
  <c r="M371" i="3"/>
  <c r="N371" i="3" s="1"/>
  <c r="F371" i="3"/>
  <c r="L371" i="3" l="1"/>
  <c r="V371" i="3"/>
  <c r="W371" i="3" s="1"/>
  <c r="A372" i="3"/>
  <c r="B372" i="3" s="1"/>
  <c r="AD372" i="3" l="1"/>
  <c r="P372" i="3"/>
  <c r="Q372" i="3" s="1"/>
  <c r="R372" i="3" s="1"/>
  <c r="S372" i="3" s="1"/>
  <c r="Z372" i="3"/>
  <c r="AA372" i="3"/>
  <c r="AC372" i="3"/>
  <c r="U371" i="3"/>
  <c r="Y370" i="3"/>
  <c r="T372" i="3" l="1"/>
  <c r="AH372" i="3" s="1"/>
  <c r="D372" i="3" l="1"/>
  <c r="G372" i="3" s="1"/>
  <c r="E372" i="3"/>
  <c r="H372" i="3" s="1"/>
  <c r="K372" i="3" s="1"/>
  <c r="AE372" i="3" s="1"/>
  <c r="AG372" i="3"/>
  <c r="F372" i="3" l="1"/>
  <c r="V372" i="3"/>
  <c r="A373" i="3"/>
  <c r="B373" i="3" s="1"/>
  <c r="I372" i="3"/>
  <c r="J372" i="3"/>
  <c r="M372" i="3"/>
  <c r="N372" i="3" s="1"/>
  <c r="L372" i="3" l="1"/>
  <c r="P373" i="3"/>
  <c r="Q373" i="3" s="1"/>
  <c r="R373" i="3" s="1"/>
  <c r="S373" i="3" s="1"/>
  <c r="AD373" i="3"/>
  <c r="AA373" i="3"/>
  <c r="Z373" i="3"/>
  <c r="AC373" i="3"/>
  <c r="W372" i="3"/>
  <c r="T373" i="3" l="1"/>
  <c r="AH373" i="3" s="1"/>
  <c r="U372" i="3"/>
  <c r="Y371" i="3"/>
  <c r="D373" i="3" l="1"/>
  <c r="G373" i="3" s="1"/>
  <c r="E373" i="3"/>
  <c r="H373" i="3" s="1"/>
  <c r="K373" i="3" s="1"/>
  <c r="AE373" i="3" s="1"/>
  <c r="AG373" i="3"/>
  <c r="F373" i="3" l="1"/>
  <c r="I373" i="3"/>
  <c r="J373" i="3"/>
  <c r="M373" i="3"/>
  <c r="N373" i="3" s="1"/>
  <c r="V373" i="3"/>
  <c r="A374" i="3"/>
  <c r="B374" i="3" s="1"/>
  <c r="W373" i="3" l="1"/>
  <c r="AC374" i="3"/>
  <c r="AA374" i="3"/>
  <c r="Z374" i="3"/>
  <c r="P374" i="3"/>
  <c r="Q374" i="3" s="1"/>
  <c r="R374" i="3" s="1"/>
  <c r="S374" i="3" s="1"/>
  <c r="L373" i="3"/>
  <c r="T374" i="3" l="1"/>
  <c r="AG374" i="3" s="1"/>
  <c r="U373" i="3"/>
  <c r="Y372" i="3"/>
  <c r="E374" i="3" l="1"/>
  <c r="H374" i="3" s="1"/>
  <c r="K374" i="3" s="1"/>
  <c r="AE374" i="3" s="1"/>
  <c r="AH374" i="3"/>
  <c r="D374" i="3"/>
  <c r="F374" i="3" l="1"/>
  <c r="G374" i="3"/>
  <c r="I374" i="3" s="1"/>
  <c r="V374" i="3"/>
  <c r="A375" i="3"/>
  <c r="B375" i="3" s="1"/>
  <c r="M374" i="3" l="1"/>
  <c r="N374" i="3" s="1"/>
  <c r="J374" i="3"/>
  <c r="AD375" i="3"/>
  <c r="P375" i="3"/>
  <c r="Q375" i="3" s="1"/>
  <c r="R375" i="3" s="1"/>
  <c r="S375" i="3" s="1"/>
  <c r="AC375" i="3"/>
  <c r="Z375" i="3"/>
  <c r="AA375" i="3"/>
  <c r="W374" i="3"/>
  <c r="L374" i="3" l="1"/>
  <c r="AD374" i="3"/>
  <c r="T375" i="3"/>
  <c r="AG375" i="3" s="1"/>
  <c r="U374" i="3"/>
  <c r="Y373" i="3"/>
  <c r="AH375" i="3" l="1"/>
  <c r="E375" i="3"/>
  <c r="H375" i="3" s="1"/>
  <c r="K375" i="3" s="1"/>
  <c r="AE375" i="3" s="1"/>
  <c r="D375" i="3"/>
  <c r="F375" i="3" l="1"/>
  <c r="G375" i="3"/>
  <c r="J375" i="3" s="1"/>
  <c r="V375" i="3"/>
  <c r="A376" i="3"/>
  <c r="B376" i="3" s="1"/>
  <c r="M375" i="3" l="1"/>
  <c r="N375" i="3" s="1"/>
  <c r="I375" i="3"/>
  <c r="W375" i="3" s="1"/>
  <c r="Z376" i="3"/>
  <c r="AD376" i="3"/>
  <c r="P376" i="3"/>
  <c r="Q376" i="3" s="1"/>
  <c r="R376" i="3" s="1"/>
  <c r="S376" i="3" s="1"/>
  <c r="AC376" i="3"/>
  <c r="AA376" i="3"/>
  <c r="L375" i="3"/>
  <c r="U375" i="3" l="1"/>
  <c r="Y374" i="3"/>
  <c r="T376" i="3"/>
  <c r="D376" i="3" l="1"/>
  <c r="G376" i="3" s="1"/>
  <c r="E376" i="3"/>
  <c r="H376" i="3" s="1"/>
  <c r="K376" i="3" s="1"/>
  <c r="AE376" i="3" s="1"/>
  <c r="AH376" i="3"/>
  <c r="AG376" i="3"/>
  <c r="F376" i="3" l="1"/>
  <c r="I376" i="3"/>
  <c r="J376" i="3"/>
  <c r="M376" i="3"/>
  <c r="N376" i="3" s="1"/>
  <c r="V376" i="3"/>
  <c r="A377" i="3"/>
  <c r="B377" i="3" s="1"/>
  <c r="W376" i="3" l="1"/>
  <c r="AD377" i="3"/>
  <c r="AC377" i="3"/>
  <c r="Z377" i="3"/>
  <c r="AA377" i="3"/>
  <c r="P377" i="3"/>
  <c r="Q377" i="3" s="1"/>
  <c r="R377" i="3" s="1"/>
  <c r="S377" i="3" s="1"/>
  <c r="L376" i="3"/>
  <c r="U376" i="3" l="1"/>
  <c r="Y375" i="3"/>
  <c r="T377" i="3"/>
  <c r="AG377" i="3" s="1"/>
  <c r="AH377" i="3" l="1"/>
  <c r="D377" i="3"/>
  <c r="G377" i="3" s="1"/>
  <c r="E377" i="3"/>
  <c r="H377" i="3" s="1"/>
  <c r="K377" i="3" s="1"/>
  <c r="AE377" i="3" s="1"/>
  <c r="F377" i="3" l="1"/>
  <c r="I377" i="3"/>
  <c r="J377" i="3"/>
  <c r="M377" i="3"/>
  <c r="N377" i="3" s="1"/>
  <c r="V377" i="3"/>
  <c r="A378" i="3"/>
  <c r="B378" i="3" s="1"/>
  <c r="W377" i="3" l="1"/>
  <c r="AC378" i="3"/>
  <c r="P378" i="3"/>
  <c r="Q378" i="3" s="1"/>
  <c r="R378" i="3" s="1"/>
  <c r="S378" i="3" s="1"/>
  <c r="AD378" i="3"/>
  <c r="Z378" i="3"/>
  <c r="AA378" i="3"/>
  <c r="L377" i="3"/>
  <c r="T378" i="3" l="1"/>
  <c r="AH378" i="3" s="1"/>
  <c r="U377" i="3"/>
  <c r="Y376" i="3"/>
  <c r="D378" i="3" l="1"/>
  <c r="AG378" i="3"/>
  <c r="E378" i="3"/>
  <c r="H378" i="3" s="1"/>
  <c r="K378" i="3" s="1"/>
  <c r="AE378" i="3" s="1"/>
  <c r="F378" i="3" l="1"/>
  <c r="G378" i="3"/>
  <c r="I378" i="3" s="1"/>
  <c r="V378" i="3"/>
  <c r="A379" i="3"/>
  <c r="B379" i="3" s="1"/>
  <c r="M378" i="3" l="1"/>
  <c r="N378" i="3" s="1"/>
  <c r="J378" i="3"/>
  <c r="L378" i="3" s="1"/>
  <c r="AD379" i="3"/>
  <c r="Z379" i="3"/>
  <c r="AC379" i="3"/>
  <c r="AA379" i="3"/>
  <c r="P379" i="3"/>
  <c r="Q379" i="3" s="1"/>
  <c r="R379" i="3" s="1"/>
  <c r="S379" i="3" s="1"/>
  <c r="W378" i="3"/>
  <c r="T379" i="3" l="1"/>
  <c r="AH379" i="3" s="1"/>
  <c r="U378" i="3"/>
  <c r="Y377" i="3"/>
  <c r="AG379" i="3" l="1"/>
  <c r="E379" i="3"/>
  <c r="H379" i="3" s="1"/>
  <c r="K379" i="3" s="1"/>
  <c r="AE379" i="3" s="1"/>
  <c r="D379" i="3"/>
  <c r="G379" i="3" s="1"/>
  <c r="F379" i="3" l="1"/>
  <c r="V379" i="3"/>
  <c r="A380" i="3"/>
  <c r="B380" i="3" s="1"/>
  <c r="I379" i="3"/>
  <c r="J379" i="3"/>
  <c r="M379" i="3"/>
  <c r="N379" i="3" s="1"/>
  <c r="AA380" i="3" l="1"/>
  <c r="Z380" i="3"/>
  <c r="P380" i="3"/>
  <c r="Q380" i="3" s="1"/>
  <c r="R380" i="3" s="1"/>
  <c r="S380" i="3" s="1"/>
  <c r="AC380" i="3"/>
  <c r="AD380" i="3"/>
  <c r="L379" i="3"/>
  <c r="W379" i="3"/>
  <c r="T380" i="3" l="1"/>
  <c r="AH380" i="3" s="1"/>
  <c r="U379" i="3"/>
  <c r="Y378" i="3"/>
  <c r="AG380" i="3" l="1"/>
  <c r="D380" i="3"/>
  <c r="G380" i="3" s="1"/>
  <c r="E380" i="3"/>
  <c r="H380" i="3" s="1"/>
  <c r="K380" i="3" l="1"/>
  <c r="AE380" i="3" s="1"/>
  <c r="I380" i="3"/>
  <c r="J380" i="3"/>
  <c r="M380" i="3"/>
  <c r="N380" i="3" s="1"/>
  <c r="F380" i="3"/>
  <c r="L380" i="3" l="1"/>
  <c r="V380" i="3"/>
  <c r="W380" i="3" s="1"/>
  <c r="A381" i="3"/>
  <c r="B381" i="3" s="1"/>
  <c r="AC381" i="3" l="1"/>
  <c r="P381" i="3"/>
  <c r="Q381" i="3" s="1"/>
  <c r="R381" i="3" s="1"/>
  <c r="S381" i="3" s="1"/>
  <c r="AA381" i="3"/>
  <c r="AD381" i="3"/>
  <c r="Z381" i="3"/>
  <c r="U380" i="3"/>
  <c r="Y379" i="3"/>
  <c r="T381" i="3" l="1"/>
  <c r="AH381" i="3" s="1"/>
  <c r="AG381" i="3" l="1"/>
  <c r="D381" i="3"/>
  <c r="G381" i="3" s="1"/>
  <c r="E381" i="3"/>
  <c r="H381" i="3" s="1"/>
  <c r="K381" i="3" l="1"/>
  <c r="AE381" i="3" s="1"/>
  <c r="I381" i="3"/>
  <c r="J381" i="3"/>
  <c r="M381" i="3"/>
  <c r="N381" i="3" s="1"/>
  <c r="F381" i="3"/>
  <c r="L381" i="3" l="1"/>
  <c r="V381" i="3"/>
  <c r="W381" i="3" s="1"/>
  <c r="A382" i="3"/>
  <c r="B382" i="3" s="1"/>
  <c r="AD382" i="3" l="1"/>
  <c r="Z382" i="3"/>
  <c r="AC382" i="3"/>
  <c r="P382" i="3"/>
  <c r="Q382" i="3" s="1"/>
  <c r="R382" i="3" s="1"/>
  <c r="S382" i="3" s="1"/>
  <c r="AA382" i="3"/>
  <c r="U381" i="3"/>
  <c r="Y380" i="3"/>
  <c r="T382" i="3" l="1"/>
  <c r="D382" i="3" s="1"/>
  <c r="E382" i="3" l="1"/>
  <c r="H382" i="3" s="1"/>
  <c r="K382" i="3" s="1"/>
  <c r="AE382" i="3" s="1"/>
  <c r="AH382" i="3"/>
  <c r="AG382" i="3"/>
  <c r="G382" i="3"/>
  <c r="F382" i="3" l="1"/>
  <c r="V382" i="3"/>
  <c r="A383" i="3"/>
  <c r="B383" i="3" s="1"/>
  <c r="I382" i="3"/>
  <c r="J382" i="3"/>
  <c r="M382" i="3"/>
  <c r="N382" i="3" s="1"/>
  <c r="Z383" i="3" l="1"/>
  <c r="AD383" i="3"/>
  <c r="AA383" i="3"/>
  <c r="AC383" i="3"/>
  <c r="P383" i="3"/>
  <c r="Q383" i="3" s="1"/>
  <c r="R383" i="3" s="1"/>
  <c r="S383" i="3" s="1"/>
  <c r="L382" i="3"/>
  <c r="W382" i="3"/>
  <c r="T383" i="3" l="1"/>
  <c r="AH383" i="3" s="1"/>
  <c r="U382" i="3"/>
  <c r="Y381" i="3"/>
  <c r="AG383" i="3" l="1"/>
  <c r="E383" i="3"/>
  <c r="H383" i="3" s="1"/>
  <c r="K383" i="3" s="1"/>
  <c r="AE383" i="3" s="1"/>
  <c r="D383" i="3"/>
  <c r="G383" i="3" s="1"/>
  <c r="F383" i="3" l="1"/>
  <c r="I383" i="3"/>
  <c r="J383" i="3"/>
  <c r="M383" i="3"/>
  <c r="N383" i="3" s="1"/>
  <c r="V383" i="3"/>
  <c r="A384" i="3"/>
  <c r="B384" i="3" s="1"/>
  <c r="W383" i="3" l="1"/>
  <c r="P384" i="3"/>
  <c r="Q384" i="3" s="1"/>
  <c r="R384" i="3" s="1"/>
  <c r="S384" i="3" s="1"/>
  <c r="Z384" i="3"/>
  <c r="AC384" i="3"/>
  <c r="AA384" i="3"/>
  <c r="L383" i="3"/>
  <c r="T384" i="3" l="1"/>
  <c r="AG384" i="3" s="1"/>
  <c r="U383" i="3"/>
  <c r="Y382" i="3"/>
  <c r="D384" i="3" l="1"/>
  <c r="G384" i="3" s="1"/>
  <c r="AH384" i="3"/>
  <c r="E384" i="3"/>
  <c r="H384" i="3" s="1"/>
  <c r="K384" i="3" s="1"/>
  <c r="AE384" i="3" s="1"/>
  <c r="F384" i="3" l="1"/>
  <c r="V384" i="3"/>
  <c r="A385" i="3"/>
  <c r="B385" i="3" s="1"/>
  <c r="I384" i="3"/>
  <c r="J384" i="3"/>
  <c r="AD384" i="3" s="1"/>
  <c r="M384" i="3"/>
  <c r="N384" i="3" s="1"/>
  <c r="AD385" i="3" l="1"/>
  <c r="AC385" i="3"/>
  <c r="Z385" i="3"/>
  <c r="AA385" i="3"/>
  <c r="P385" i="3"/>
  <c r="Q385" i="3" s="1"/>
  <c r="R385" i="3" s="1"/>
  <c r="S385" i="3" s="1"/>
  <c r="L384" i="3"/>
  <c r="W384" i="3"/>
  <c r="U384" i="3" l="1"/>
  <c r="Y383" i="3"/>
  <c r="T385" i="3"/>
  <c r="D385" i="3" l="1"/>
  <c r="G385" i="3" s="1"/>
  <c r="E385" i="3"/>
  <c r="H385" i="3" s="1"/>
  <c r="K385" i="3" s="1"/>
  <c r="AE385" i="3" s="1"/>
  <c r="AG385" i="3"/>
  <c r="AH385" i="3"/>
  <c r="F385" i="3" l="1"/>
  <c r="V385" i="3"/>
  <c r="A386" i="3"/>
  <c r="B386" i="3" s="1"/>
  <c r="I385" i="3"/>
  <c r="J385" i="3"/>
  <c r="M385" i="3"/>
  <c r="N385" i="3" s="1"/>
  <c r="L385" i="3" l="1"/>
  <c r="AC386" i="3"/>
  <c r="P386" i="3"/>
  <c r="Q386" i="3" s="1"/>
  <c r="R386" i="3" s="1"/>
  <c r="S386" i="3" s="1"/>
  <c r="Z386" i="3"/>
  <c r="AA386" i="3"/>
  <c r="AD386" i="3"/>
  <c r="W385" i="3"/>
  <c r="T386" i="3" l="1"/>
  <c r="AG386" i="3" s="1"/>
  <c r="U385" i="3"/>
  <c r="Y384" i="3"/>
  <c r="AH386" i="3" l="1"/>
  <c r="E386" i="3"/>
  <c r="H386" i="3" s="1"/>
  <c r="K386" i="3" s="1"/>
  <c r="AE386" i="3" s="1"/>
  <c r="D386" i="3"/>
  <c r="F386" i="3" l="1"/>
  <c r="G386" i="3"/>
  <c r="I386" i="3" s="1"/>
  <c r="V386" i="3"/>
  <c r="A387" i="3"/>
  <c r="B387" i="3" s="1"/>
  <c r="M386" i="3" l="1"/>
  <c r="N386" i="3" s="1"/>
  <c r="J386" i="3"/>
  <c r="L386" i="3" s="1"/>
  <c r="W386" i="3"/>
  <c r="AC387" i="3"/>
  <c r="AA387" i="3"/>
  <c r="Z387" i="3"/>
  <c r="AD387" i="3"/>
  <c r="P387" i="3"/>
  <c r="Q387" i="3" s="1"/>
  <c r="R387" i="3" s="1"/>
  <c r="S387" i="3" s="1"/>
  <c r="T387" i="3" l="1"/>
  <c r="AH387" i="3" s="1"/>
  <c r="U386" i="3"/>
  <c r="Y385" i="3"/>
  <c r="D387" i="3" l="1"/>
  <c r="G387" i="3" s="1"/>
  <c r="AG387" i="3"/>
  <c r="E387" i="3"/>
  <c r="H387" i="3" s="1"/>
  <c r="K387" i="3" s="1"/>
  <c r="AE387" i="3" s="1"/>
  <c r="F387" i="3" l="1"/>
  <c r="I387" i="3"/>
  <c r="J387" i="3"/>
  <c r="M387" i="3"/>
  <c r="N387" i="3" s="1"/>
  <c r="V387" i="3"/>
  <c r="A388" i="3"/>
  <c r="B388" i="3" s="1"/>
  <c r="W387" i="3" l="1"/>
  <c r="AA388" i="3"/>
  <c r="Z388" i="3"/>
  <c r="P388" i="3"/>
  <c r="Q388" i="3" s="1"/>
  <c r="R388" i="3" s="1"/>
  <c r="S388" i="3" s="1"/>
  <c r="AC388" i="3"/>
  <c r="AD388" i="3"/>
  <c r="L387" i="3"/>
  <c r="T388" i="3" l="1"/>
  <c r="AH388" i="3" s="1"/>
  <c r="U387" i="3"/>
  <c r="Y386" i="3"/>
  <c r="AG388" i="3" l="1"/>
  <c r="E388" i="3"/>
  <c r="H388" i="3" s="1"/>
  <c r="K388" i="3" s="1"/>
  <c r="AE388" i="3" s="1"/>
  <c r="D388" i="3"/>
  <c r="G388" i="3" s="1"/>
  <c r="F388" i="3" l="1"/>
  <c r="I388" i="3"/>
  <c r="J388" i="3"/>
  <c r="M388" i="3"/>
  <c r="N388" i="3" s="1"/>
  <c r="V388" i="3"/>
  <c r="A389" i="3"/>
  <c r="B389" i="3" s="1"/>
  <c r="W388" i="3" l="1"/>
  <c r="AA389" i="3"/>
  <c r="AD389" i="3"/>
  <c r="AC389" i="3"/>
  <c r="Z389" i="3"/>
  <c r="P389" i="3"/>
  <c r="Q389" i="3" s="1"/>
  <c r="R389" i="3" s="1"/>
  <c r="S389" i="3" s="1"/>
  <c r="L388" i="3"/>
  <c r="T389" i="3" l="1"/>
  <c r="AH389" i="3" s="1"/>
  <c r="U388" i="3"/>
  <c r="Y387" i="3"/>
  <c r="AG389" i="3" l="1"/>
  <c r="E389" i="3"/>
  <c r="H389" i="3" s="1"/>
  <c r="K389" i="3" s="1"/>
  <c r="AE389" i="3" s="1"/>
  <c r="D389" i="3"/>
  <c r="F389" i="3" l="1"/>
  <c r="G389" i="3"/>
  <c r="I389" i="3" s="1"/>
  <c r="V389" i="3"/>
  <c r="A390" i="3"/>
  <c r="B390" i="3" s="1"/>
  <c r="M389" i="3" l="1"/>
  <c r="N389" i="3" s="1"/>
  <c r="J389" i="3"/>
  <c r="L389" i="3" s="1"/>
  <c r="W389" i="3"/>
  <c r="P390" i="3"/>
  <c r="Q390" i="3" s="1"/>
  <c r="R390" i="3" s="1"/>
  <c r="S390" i="3" s="1"/>
  <c r="AC390" i="3"/>
  <c r="Z390" i="3"/>
  <c r="AA390" i="3"/>
  <c r="AD390" i="3"/>
  <c r="T390" i="3" l="1"/>
  <c r="AG390" i="3" s="1"/>
  <c r="U389" i="3"/>
  <c r="Y388" i="3"/>
  <c r="D390" i="3" l="1"/>
  <c r="G390" i="3" s="1"/>
  <c r="AH390" i="3"/>
  <c r="E390" i="3"/>
  <c r="H390" i="3" s="1"/>
  <c r="K390" i="3" l="1"/>
  <c r="AE390" i="3" s="1"/>
  <c r="I390" i="3"/>
  <c r="J390" i="3"/>
  <c r="M390" i="3"/>
  <c r="N390" i="3" s="1"/>
  <c r="F390" i="3"/>
  <c r="L390" i="3" l="1"/>
  <c r="V390" i="3"/>
  <c r="W390" i="3" s="1"/>
  <c r="A391" i="3"/>
  <c r="B391" i="3" s="1"/>
  <c r="Z391" i="3" l="1"/>
  <c r="AC391" i="3"/>
  <c r="AA391" i="3"/>
  <c r="AD391" i="3"/>
  <c r="P391" i="3"/>
  <c r="Q391" i="3" s="1"/>
  <c r="R391" i="3" s="1"/>
  <c r="S391" i="3" s="1"/>
  <c r="U390" i="3"/>
  <c r="Y389" i="3"/>
  <c r="T391" i="3" l="1"/>
  <c r="E391" i="3" s="1"/>
  <c r="H391" i="3" s="1"/>
  <c r="AG391" i="3" l="1"/>
  <c r="AH391" i="3"/>
  <c r="D391" i="3"/>
  <c r="G391" i="3" s="1"/>
  <c r="K391" i="3"/>
  <c r="AE391" i="3" s="1"/>
  <c r="F391" i="3" l="1"/>
  <c r="I391" i="3"/>
  <c r="J391" i="3"/>
  <c r="M391" i="3"/>
  <c r="N391" i="3" s="1"/>
  <c r="V391" i="3"/>
  <c r="A392" i="3"/>
  <c r="B392" i="3" s="1"/>
  <c r="W391" i="3" l="1"/>
  <c r="P392" i="3"/>
  <c r="Q392" i="3" s="1"/>
  <c r="R392" i="3" s="1"/>
  <c r="S392" i="3" s="1"/>
  <c r="AD392" i="3"/>
  <c r="Z392" i="3"/>
  <c r="AA392" i="3"/>
  <c r="AC392" i="3"/>
  <c r="L391" i="3"/>
  <c r="T392" i="3" l="1"/>
  <c r="U391" i="3"/>
  <c r="Y390" i="3"/>
  <c r="D392" i="3" l="1"/>
  <c r="G392" i="3" s="1"/>
  <c r="E392" i="3"/>
  <c r="H392" i="3" s="1"/>
  <c r="K392" i="3" s="1"/>
  <c r="AE392" i="3" s="1"/>
  <c r="AH392" i="3"/>
  <c r="AG392" i="3"/>
  <c r="F392" i="3" l="1"/>
  <c r="V392" i="3"/>
  <c r="A393" i="3"/>
  <c r="B393" i="3" s="1"/>
  <c r="I392" i="3"/>
  <c r="J392" i="3"/>
  <c r="M392" i="3"/>
  <c r="N392" i="3" s="1"/>
  <c r="AC393" i="3" l="1"/>
  <c r="AD393" i="3"/>
  <c r="Z393" i="3"/>
  <c r="AA393" i="3"/>
  <c r="P393" i="3"/>
  <c r="Q393" i="3" s="1"/>
  <c r="R393" i="3" s="1"/>
  <c r="S393" i="3" s="1"/>
  <c r="L392" i="3"/>
  <c r="W392" i="3"/>
  <c r="U392" i="3" l="1"/>
  <c r="Y391" i="3"/>
  <c r="T393" i="3"/>
  <c r="E393" i="3" l="1"/>
  <c r="H393" i="3" s="1"/>
  <c r="K393" i="3" s="1"/>
  <c r="AE393" i="3" s="1"/>
  <c r="D393" i="3"/>
  <c r="AG393" i="3"/>
  <c r="AH393" i="3"/>
  <c r="F393" i="3" l="1"/>
  <c r="G393" i="3"/>
  <c r="I393" i="3" s="1"/>
  <c r="V393" i="3"/>
  <c r="A394" i="3"/>
  <c r="B394" i="3" s="1"/>
  <c r="M393" i="3" l="1"/>
  <c r="N393" i="3" s="1"/>
  <c r="J393" i="3"/>
  <c r="L393" i="3" s="1"/>
  <c r="W393" i="3"/>
  <c r="Z394" i="3"/>
  <c r="AA394" i="3"/>
  <c r="P394" i="3"/>
  <c r="Q394" i="3" s="1"/>
  <c r="R394" i="3" s="1"/>
  <c r="S394" i="3" s="1"/>
  <c r="AC394" i="3"/>
  <c r="T394" i="3" l="1"/>
  <c r="AG394" i="3" s="1"/>
  <c r="U393" i="3"/>
  <c r="Y392" i="3"/>
  <c r="D394" i="3" l="1"/>
  <c r="G394" i="3" s="1"/>
  <c r="AH394" i="3"/>
  <c r="E394" i="3"/>
  <c r="H394" i="3" s="1"/>
  <c r="K394" i="3" s="1"/>
  <c r="AE394" i="3" s="1"/>
  <c r="F394" i="3" l="1"/>
  <c r="V394" i="3"/>
  <c r="A395" i="3"/>
  <c r="B395" i="3" s="1"/>
  <c r="I394" i="3"/>
  <c r="J394" i="3"/>
  <c r="AD394" i="3" s="1"/>
  <c r="M394" i="3"/>
  <c r="N394" i="3" s="1"/>
  <c r="L394" i="3" l="1"/>
  <c r="Z395" i="3"/>
  <c r="AC395" i="3"/>
  <c r="AD395" i="3"/>
  <c r="P395" i="3"/>
  <c r="Q395" i="3" s="1"/>
  <c r="R395" i="3" s="1"/>
  <c r="S395" i="3" s="1"/>
  <c r="AA395" i="3"/>
  <c r="W394" i="3"/>
  <c r="U394" i="3" l="1"/>
  <c r="Y393" i="3"/>
  <c r="T395" i="3"/>
  <c r="D395" i="3" l="1"/>
  <c r="G395" i="3" s="1"/>
  <c r="E395" i="3"/>
  <c r="H395" i="3" s="1"/>
  <c r="K395" i="3" s="1"/>
  <c r="AE395" i="3" s="1"/>
  <c r="AG395" i="3"/>
  <c r="AH395" i="3"/>
  <c r="F395" i="3" l="1"/>
  <c r="V395" i="3"/>
  <c r="A396" i="3"/>
  <c r="B396" i="3" s="1"/>
  <c r="I395" i="3"/>
  <c r="J395" i="3"/>
  <c r="M395" i="3"/>
  <c r="N395" i="3" s="1"/>
  <c r="L395" i="3" l="1"/>
  <c r="AD396" i="3"/>
  <c r="AC396" i="3"/>
  <c r="AA396" i="3"/>
  <c r="P396" i="3"/>
  <c r="Q396" i="3" s="1"/>
  <c r="R396" i="3" s="1"/>
  <c r="S396" i="3" s="1"/>
  <c r="Z396" i="3"/>
  <c r="W395" i="3"/>
  <c r="T396" i="3" l="1"/>
  <c r="AG396" i="3" s="1"/>
  <c r="U395" i="3"/>
  <c r="Y394" i="3"/>
  <c r="AH396" i="3" l="1"/>
  <c r="D396" i="3"/>
  <c r="G396" i="3" s="1"/>
  <c r="E396" i="3"/>
  <c r="H396" i="3" s="1"/>
  <c r="K396" i="3" s="1"/>
  <c r="AE396" i="3" s="1"/>
  <c r="F396" i="3" l="1"/>
  <c r="I396" i="3"/>
  <c r="J396" i="3"/>
  <c r="M396" i="3"/>
  <c r="N396" i="3" s="1"/>
  <c r="V396" i="3"/>
  <c r="A397" i="3"/>
  <c r="B397" i="3" s="1"/>
  <c r="W396" i="3" l="1"/>
  <c r="Z397" i="3"/>
  <c r="AD397" i="3"/>
  <c r="P397" i="3"/>
  <c r="Q397" i="3" s="1"/>
  <c r="R397" i="3" s="1"/>
  <c r="S397" i="3" s="1"/>
  <c r="AA397" i="3"/>
  <c r="AC397" i="3"/>
  <c r="L396" i="3"/>
  <c r="T397" i="3" l="1"/>
  <c r="AH397" i="3" s="1"/>
  <c r="U396" i="3"/>
  <c r="Y395" i="3"/>
  <c r="E397" i="3" l="1"/>
  <c r="H397" i="3" s="1"/>
  <c r="K397" i="3" s="1"/>
  <c r="AE397" i="3" s="1"/>
  <c r="AG397" i="3"/>
  <c r="D397" i="3"/>
  <c r="F397" i="3" l="1"/>
  <c r="G397" i="3"/>
  <c r="I397" i="3" s="1"/>
  <c r="V397" i="3"/>
  <c r="A398" i="3"/>
  <c r="B398" i="3" s="1"/>
  <c r="M397" i="3" l="1"/>
  <c r="N397" i="3" s="1"/>
  <c r="J397" i="3"/>
  <c r="L397" i="3" s="1"/>
  <c r="W397" i="3"/>
  <c r="Z398" i="3"/>
  <c r="AC398" i="3"/>
  <c r="AA398" i="3"/>
  <c r="AD398" i="3"/>
  <c r="P398" i="3"/>
  <c r="Q398" i="3" s="1"/>
  <c r="R398" i="3" s="1"/>
  <c r="S398" i="3" s="1"/>
  <c r="T398" i="3" l="1"/>
  <c r="AH398" i="3" s="1"/>
  <c r="U397" i="3"/>
  <c r="Y396" i="3"/>
  <c r="D398" i="3" l="1"/>
  <c r="G398" i="3" s="1"/>
  <c r="AG398" i="3"/>
  <c r="E398" i="3"/>
  <c r="H398" i="3" s="1"/>
  <c r="K398" i="3" l="1"/>
  <c r="AE398" i="3" s="1"/>
  <c r="I398" i="3"/>
  <c r="J398" i="3"/>
  <c r="M398" i="3"/>
  <c r="N398" i="3" s="1"/>
  <c r="F398" i="3"/>
  <c r="L398" i="3" l="1"/>
  <c r="V398" i="3"/>
  <c r="W398" i="3" s="1"/>
  <c r="A399" i="3"/>
  <c r="B399" i="3" s="1"/>
  <c r="AA399" i="3" l="1"/>
  <c r="AC399" i="3"/>
  <c r="Z399" i="3"/>
  <c r="AD399" i="3"/>
  <c r="P399" i="3"/>
  <c r="Q399" i="3" s="1"/>
  <c r="R399" i="3" s="1"/>
  <c r="S399" i="3" s="1"/>
  <c r="U398" i="3"/>
  <c r="Y397" i="3"/>
  <c r="T399" i="3" l="1"/>
  <c r="AH399" i="3" s="1"/>
  <c r="D399" i="3" l="1"/>
  <c r="G399" i="3" s="1"/>
  <c r="AG399" i="3"/>
  <c r="E399" i="3"/>
  <c r="H399" i="3" s="1"/>
  <c r="K399" i="3" l="1"/>
  <c r="AE399" i="3" s="1"/>
  <c r="I399" i="3"/>
  <c r="J399" i="3"/>
  <c r="M399" i="3"/>
  <c r="N399" i="3" s="1"/>
  <c r="F399" i="3"/>
  <c r="L399" i="3" l="1"/>
  <c r="V399" i="3"/>
  <c r="W399" i="3" s="1"/>
  <c r="A400" i="3"/>
  <c r="B400" i="3" s="1"/>
  <c r="P400" i="3" l="1"/>
  <c r="Q400" i="3" s="1"/>
  <c r="R400" i="3" s="1"/>
  <c r="S400" i="3" s="1"/>
  <c r="AA400" i="3"/>
  <c r="AD400" i="3"/>
  <c r="AC400" i="3"/>
  <c r="Z400" i="3"/>
  <c r="U399" i="3"/>
  <c r="Y398" i="3"/>
  <c r="T400" i="3" l="1"/>
  <c r="E400" i="3" s="1"/>
  <c r="H400" i="3" s="1"/>
  <c r="K400" i="3" l="1"/>
  <c r="AE400" i="3" s="1"/>
  <c r="AG400" i="3"/>
  <c r="AH400" i="3"/>
  <c r="D400" i="3"/>
  <c r="F400" i="3" l="1"/>
  <c r="G400" i="3"/>
  <c r="V400" i="3"/>
  <c r="A401" i="3"/>
  <c r="B401" i="3" s="1"/>
  <c r="AA401" i="3" l="1"/>
  <c r="Z401" i="3"/>
  <c r="AC401" i="3"/>
  <c r="AD401" i="3"/>
  <c r="P401" i="3"/>
  <c r="Q401" i="3" s="1"/>
  <c r="R401" i="3" s="1"/>
  <c r="S401" i="3" s="1"/>
  <c r="I400" i="3"/>
  <c r="W400" i="3" s="1"/>
  <c r="J400" i="3"/>
  <c r="M400" i="3"/>
  <c r="N400" i="3" s="1"/>
  <c r="T401" i="3" l="1"/>
  <c r="L400" i="3"/>
  <c r="AH401" i="3" l="1"/>
  <c r="AG401" i="3"/>
  <c r="U400" i="3"/>
  <c r="E401" i="3" s="1"/>
  <c r="H401" i="3" s="1"/>
  <c r="Y399" i="3"/>
  <c r="D401" i="3" l="1"/>
  <c r="F401" i="3" s="1"/>
  <c r="K401" i="3"/>
  <c r="AE401" i="3" s="1"/>
  <c r="G401" i="3" l="1"/>
  <c r="I401" i="3" s="1"/>
  <c r="V401" i="3"/>
  <c r="A402" i="3"/>
  <c r="B402" i="3" s="1"/>
  <c r="M401" i="3" l="1"/>
  <c r="N401" i="3" s="1"/>
  <c r="J401" i="3"/>
  <c r="L401" i="3" s="1"/>
  <c r="W401" i="3"/>
  <c r="AA402" i="3"/>
  <c r="AC402" i="3"/>
  <c r="Z402" i="3"/>
  <c r="AD402" i="3"/>
  <c r="P402" i="3"/>
  <c r="Q402" i="3" s="1"/>
  <c r="R402" i="3" s="1"/>
  <c r="S402" i="3" s="1"/>
  <c r="T402" i="3" l="1"/>
  <c r="AG402" i="3" s="1"/>
  <c r="U401" i="3"/>
  <c r="Y400" i="3"/>
  <c r="AH402" i="3" l="1"/>
  <c r="D402" i="3"/>
  <c r="G402" i="3" s="1"/>
  <c r="E402" i="3"/>
  <c r="H402" i="3" s="1"/>
  <c r="K402" i="3" s="1"/>
  <c r="AE402" i="3" s="1"/>
  <c r="F402" i="3" l="1"/>
  <c r="I402" i="3"/>
  <c r="J402" i="3"/>
  <c r="M402" i="3"/>
  <c r="N402" i="3" s="1"/>
  <c r="V402" i="3"/>
  <c r="A403" i="3"/>
  <c r="B403" i="3" s="1"/>
  <c r="W402" i="3" l="1"/>
  <c r="Z403" i="3"/>
  <c r="AD403" i="3"/>
  <c r="AC403" i="3"/>
  <c r="AA403" i="3"/>
  <c r="P403" i="3"/>
  <c r="Q403" i="3" s="1"/>
  <c r="R403" i="3" s="1"/>
  <c r="S403" i="3" s="1"/>
  <c r="L402" i="3"/>
  <c r="T403" i="3" l="1"/>
  <c r="AH403" i="3" s="1"/>
  <c r="U402" i="3"/>
  <c r="Y401" i="3"/>
  <c r="AG403" i="3" l="1"/>
  <c r="D403" i="3"/>
  <c r="G403" i="3" s="1"/>
  <c r="E403" i="3"/>
  <c r="H403" i="3" s="1"/>
  <c r="K403" i="3" s="1"/>
  <c r="AE403" i="3" s="1"/>
  <c r="F403" i="3" l="1"/>
  <c r="V403" i="3"/>
  <c r="A404" i="3"/>
  <c r="B404" i="3" s="1"/>
  <c r="I403" i="3"/>
  <c r="J403" i="3"/>
  <c r="M403" i="3"/>
  <c r="N403" i="3" s="1"/>
  <c r="L403" i="3" l="1"/>
  <c r="AA404" i="3"/>
  <c r="Z404" i="3"/>
  <c r="AC404" i="3"/>
  <c r="P404" i="3"/>
  <c r="Q404" i="3" s="1"/>
  <c r="R404" i="3" s="1"/>
  <c r="S404" i="3" s="1"/>
  <c r="W403" i="3"/>
  <c r="U403" i="3" l="1"/>
  <c r="Y402" i="3"/>
  <c r="T404" i="3"/>
  <c r="E404" i="3" l="1"/>
  <c r="H404" i="3" s="1"/>
  <c r="K404" i="3" s="1"/>
  <c r="AE404" i="3" s="1"/>
  <c r="AG404" i="3"/>
  <c r="D404" i="3"/>
  <c r="G404" i="3" s="1"/>
  <c r="AH404" i="3"/>
  <c r="F404" i="3" l="1"/>
  <c r="I404" i="3"/>
  <c r="J404" i="3"/>
  <c r="AD404" i="3" s="1"/>
  <c r="M404" i="3"/>
  <c r="N404" i="3" s="1"/>
  <c r="V404" i="3"/>
  <c r="W404" i="3" s="1"/>
  <c r="A405" i="3"/>
  <c r="B405" i="3" s="1"/>
  <c r="AA405" i="3" l="1"/>
  <c r="AD405" i="3"/>
  <c r="P405" i="3"/>
  <c r="Q405" i="3" s="1"/>
  <c r="R405" i="3" s="1"/>
  <c r="S405" i="3" s="1"/>
  <c r="Z405" i="3"/>
  <c r="AC405" i="3"/>
  <c r="L404" i="3"/>
  <c r="T405" i="3" l="1"/>
  <c r="AH405" i="3" s="1"/>
  <c r="U404" i="3"/>
  <c r="Y403" i="3"/>
  <c r="E405" i="3" l="1"/>
  <c r="H405" i="3" s="1"/>
  <c r="K405" i="3" s="1"/>
  <c r="AE405" i="3" s="1"/>
  <c r="D405" i="3"/>
  <c r="G405" i="3" s="1"/>
  <c r="AG405" i="3"/>
  <c r="F405" i="3" l="1"/>
  <c r="V405" i="3"/>
  <c r="A406" i="3"/>
  <c r="B406" i="3" s="1"/>
  <c r="I405" i="3"/>
  <c r="J405" i="3"/>
  <c r="M405" i="3"/>
  <c r="N405" i="3" s="1"/>
  <c r="L405" i="3" l="1"/>
  <c r="Z406" i="3"/>
  <c r="AC406" i="3"/>
  <c r="AD406" i="3"/>
  <c r="AA406" i="3"/>
  <c r="P406" i="3"/>
  <c r="Q406" i="3" s="1"/>
  <c r="R406" i="3" s="1"/>
  <c r="S406" i="3" s="1"/>
  <c r="W405" i="3"/>
  <c r="T406" i="3" l="1"/>
  <c r="AH406" i="3" s="1"/>
  <c r="U405" i="3"/>
  <c r="Y404" i="3"/>
  <c r="AG406" i="3" l="1"/>
  <c r="D406" i="3"/>
  <c r="G406" i="3" s="1"/>
  <c r="E406" i="3"/>
  <c r="H406" i="3" s="1"/>
  <c r="K406" i="3" s="1"/>
  <c r="AE406" i="3" s="1"/>
  <c r="F406" i="3" l="1"/>
  <c r="V406" i="3"/>
  <c r="A407" i="3"/>
  <c r="B407" i="3" s="1"/>
  <c r="I406" i="3"/>
  <c r="J406" i="3"/>
  <c r="M406" i="3"/>
  <c r="N406" i="3" s="1"/>
  <c r="AC407" i="3" l="1"/>
  <c r="Z407" i="3"/>
  <c r="P407" i="3"/>
  <c r="Q407" i="3" s="1"/>
  <c r="R407" i="3" s="1"/>
  <c r="S407" i="3" s="1"/>
  <c r="AA407" i="3"/>
  <c r="AD407" i="3"/>
  <c r="L406" i="3"/>
  <c r="W406" i="3"/>
  <c r="T407" i="3" l="1"/>
  <c r="AH407" i="3" s="1"/>
  <c r="U406" i="3"/>
  <c r="Y405" i="3"/>
  <c r="E407" i="3" l="1"/>
  <c r="H407" i="3" s="1"/>
  <c r="K407" i="3" s="1"/>
  <c r="AE407" i="3" s="1"/>
  <c r="AG407" i="3"/>
  <c r="D407" i="3"/>
  <c r="F407" i="3" l="1"/>
  <c r="G407" i="3"/>
  <c r="I407" i="3" s="1"/>
  <c r="V407" i="3"/>
  <c r="A408" i="3"/>
  <c r="B408" i="3" s="1"/>
  <c r="M407" i="3" l="1"/>
  <c r="N407" i="3" s="1"/>
  <c r="J407" i="3"/>
  <c r="L407" i="3" s="1"/>
  <c r="W407" i="3"/>
  <c r="P408" i="3"/>
  <c r="Q408" i="3" s="1"/>
  <c r="R408" i="3" s="1"/>
  <c r="S408" i="3" s="1"/>
  <c r="AD408" i="3"/>
  <c r="Z408" i="3"/>
  <c r="AA408" i="3"/>
  <c r="AC408" i="3"/>
  <c r="T408" i="3" l="1"/>
  <c r="AG408" i="3" s="1"/>
  <c r="U407" i="3"/>
  <c r="Y406" i="3"/>
  <c r="AH408" i="3" l="1"/>
  <c r="E408" i="3"/>
  <c r="H408" i="3" s="1"/>
  <c r="K408" i="3" s="1"/>
  <c r="AE408" i="3" s="1"/>
  <c r="D408" i="3"/>
  <c r="F408" i="3" l="1"/>
  <c r="G408" i="3"/>
  <c r="V408" i="3"/>
  <c r="A409" i="3"/>
  <c r="B409" i="3" s="1"/>
  <c r="P409" i="3" l="1"/>
  <c r="Q409" i="3" s="1"/>
  <c r="R409" i="3" s="1"/>
  <c r="S409" i="3" s="1"/>
  <c r="AA409" i="3"/>
  <c r="Z409" i="3"/>
  <c r="AD409" i="3"/>
  <c r="AC409" i="3"/>
  <c r="I408" i="3"/>
  <c r="W408" i="3" s="1"/>
  <c r="J408" i="3"/>
  <c r="M408" i="3"/>
  <c r="N408" i="3" s="1"/>
  <c r="L408" i="3" l="1"/>
  <c r="T409" i="3"/>
  <c r="AH409" i="3" l="1"/>
  <c r="U408" i="3"/>
  <c r="E409" i="3" s="1"/>
  <c r="H409" i="3" s="1"/>
  <c r="AG409" i="3"/>
  <c r="Y407" i="3"/>
  <c r="D409" i="3" l="1"/>
  <c r="G409" i="3" s="1"/>
  <c r="K409" i="3"/>
  <c r="AE409" i="3" s="1"/>
  <c r="F409" i="3" l="1"/>
  <c r="I409" i="3"/>
  <c r="J409" i="3"/>
  <c r="M409" i="3"/>
  <c r="N409" i="3" s="1"/>
  <c r="V409" i="3"/>
  <c r="A410" i="3"/>
  <c r="B410" i="3" s="1"/>
  <c r="W409" i="3" l="1"/>
  <c r="AA410" i="3"/>
  <c r="AC410" i="3"/>
  <c r="Z410" i="3"/>
  <c r="AD410" i="3"/>
  <c r="P410" i="3"/>
  <c r="Q410" i="3" s="1"/>
  <c r="R410" i="3" s="1"/>
  <c r="S410" i="3" s="1"/>
  <c r="L409" i="3"/>
  <c r="T410" i="3" l="1"/>
  <c r="AG410" i="3" s="1"/>
  <c r="U409" i="3"/>
  <c r="Y408" i="3"/>
  <c r="AH410" i="3" l="1"/>
  <c r="D410" i="3"/>
  <c r="G410" i="3" s="1"/>
  <c r="E410" i="3"/>
  <c r="H410" i="3" s="1"/>
  <c r="K410" i="3" s="1"/>
  <c r="AE410" i="3" s="1"/>
  <c r="F410" i="3" l="1"/>
  <c r="V410" i="3"/>
  <c r="A411" i="3"/>
  <c r="B411" i="3" s="1"/>
  <c r="I410" i="3"/>
  <c r="J410" i="3"/>
  <c r="M410" i="3"/>
  <c r="N410" i="3" s="1"/>
  <c r="L410" i="3" l="1"/>
  <c r="P411" i="3"/>
  <c r="Q411" i="3" s="1"/>
  <c r="R411" i="3" s="1"/>
  <c r="S411" i="3" s="1"/>
  <c r="AC411" i="3"/>
  <c r="Z411" i="3"/>
  <c r="AA411" i="3"/>
  <c r="AD411" i="3"/>
  <c r="W410" i="3"/>
  <c r="T411" i="3" l="1"/>
  <c r="AG411" i="3" s="1"/>
  <c r="U410" i="3"/>
  <c r="Y409" i="3"/>
  <c r="D411" i="3" l="1"/>
  <c r="G411" i="3" s="1"/>
  <c r="AH411" i="3"/>
  <c r="E411" i="3"/>
  <c r="H411" i="3" s="1"/>
  <c r="K411" i="3" s="1"/>
  <c r="AE411" i="3" s="1"/>
  <c r="F411" i="3" l="1"/>
  <c r="V411" i="3"/>
  <c r="A412" i="3"/>
  <c r="B412" i="3" s="1"/>
  <c r="I411" i="3"/>
  <c r="J411" i="3"/>
  <c r="M411" i="3"/>
  <c r="N411" i="3" s="1"/>
  <c r="AD412" i="3" l="1"/>
  <c r="AA412" i="3"/>
  <c r="AC412" i="3"/>
  <c r="Z412" i="3"/>
  <c r="P412" i="3"/>
  <c r="Q412" i="3" s="1"/>
  <c r="R412" i="3" s="1"/>
  <c r="S412" i="3" s="1"/>
  <c r="L411" i="3"/>
  <c r="W411" i="3"/>
  <c r="T412" i="3" l="1"/>
  <c r="AH412" i="3" s="1"/>
  <c r="U411" i="3"/>
  <c r="Y410" i="3"/>
  <c r="AG412" i="3" l="1"/>
  <c r="E412" i="3"/>
  <c r="H412" i="3" s="1"/>
  <c r="K412" i="3" s="1"/>
  <c r="AE412" i="3" s="1"/>
  <c r="D412" i="3"/>
  <c r="G412" i="3" s="1"/>
  <c r="F412" i="3" l="1"/>
  <c r="I412" i="3"/>
  <c r="J412" i="3"/>
  <c r="M412" i="3"/>
  <c r="N412" i="3" s="1"/>
  <c r="V412" i="3"/>
  <c r="A413" i="3"/>
  <c r="B413" i="3" s="1"/>
  <c r="W412" i="3" l="1"/>
  <c r="AA413" i="3"/>
  <c r="Z413" i="3"/>
  <c r="P413" i="3"/>
  <c r="Q413" i="3" s="1"/>
  <c r="R413" i="3" s="1"/>
  <c r="S413" i="3" s="1"/>
  <c r="AC413" i="3"/>
  <c r="AD413" i="3"/>
  <c r="L412" i="3"/>
  <c r="T413" i="3" l="1"/>
  <c r="AG413" i="3" s="1"/>
  <c r="U412" i="3"/>
  <c r="Y411" i="3"/>
  <c r="AH413" i="3" l="1"/>
  <c r="E413" i="3"/>
  <c r="H413" i="3" s="1"/>
  <c r="K413" i="3" s="1"/>
  <c r="AE413" i="3" s="1"/>
  <c r="D413" i="3"/>
  <c r="F413" i="3" l="1"/>
  <c r="G413" i="3"/>
  <c r="J413" i="3" s="1"/>
  <c r="V413" i="3"/>
  <c r="A414" i="3"/>
  <c r="B414" i="3" s="1"/>
  <c r="M413" i="3" l="1"/>
  <c r="N413" i="3" s="1"/>
  <c r="I413" i="3"/>
  <c r="W413" i="3" s="1"/>
  <c r="Z414" i="3"/>
  <c r="AA414" i="3"/>
  <c r="AC414" i="3"/>
  <c r="P414" i="3"/>
  <c r="Q414" i="3" s="1"/>
  <c r="R414" i="3" s="1"/>
  <c r="S414" i="3" s="1"/>
  <c r="L413" i="3"/>
  <c r="T414" i="3" l="1"/>
  <c r="AH414" i="3" s="1"/>
  <c r="U413" i="3"/>
  <c r="Y412" i="3"/>
  <c r="AG414" i="3" l="1"/>
  <c r="D414" i="3"/>
  <c r="G414" i="3" s="1"/>
  <c r="E414" i="3"/>
  <c r="H414" i="3" s="1"/>
  <c r="K414" i="3" s="1"/>
  <c r="AE414" i="3" s="1"/>
  <c r="F414" i="3" l="1"/>
  <c r="V414" i="3"/>
  <c r="A415" i="3"/>
  <c r="B415" i="3" s="1"/>
  <c r="I414" i="3"/>
  <c r="J414" i="3"/>
  <c r="AD414" i="3" s="1"/>
  <c r="M414" i="3"/>
  <c r="N414" i="3" s="1"/>
  <c r="L414" i="3" l="1"/>
  <c r="P415" i="3"/>
  <c r="Q415" i="3" s="1"/>
  <c r="R415" i="3" s="1"/>
  <c r="S415" i="3" s="1"/>
  <c r="AA415" i="3"/>
  <c r="Z415" i="3"/>
  <c r="AC415" i="3"/>
  <c r="AD415" i="3"/>
  <c r="W414" i="3"/>
  <c r="T415" i="3" l="1"/>
  <c r="AH415" i="3" s="1"/>
  <c r="U414" i="3"/>
  <c r="Y413" i="3"/>
  <c r="E415" i="3" l="1"/>
  <c r="H415" i="3" s="1"/>
  <c r="K415" i="3" s="1"/>
  <c r="AE415" i="3" s="1"/>
  <c r="AG415" i="3"/>
  <c r="D415" i="3"/>
  <c r="F415" i="3" l="1"/>
  <c r="G415" i="3"/>
  <c r="I415" i="3" s="1"/>
  <c r="V415" i="3"/>
  <c r="A416" i="3"/>
  <c r="B416" i="3" s="1"/>
  <c r="M415" i="3" l="1"/>
  <c r="N415" i="3" s="1"/>
  <c r="J415" i="3"/>
  <c r="L415" i="3" s="1"/>
  <c r="P416" i="3"/>
  <c r="Q416" i="3" s="1"/>
  <c r="R416" i="3" s="1"/>
  <c r="S416" i="3" s="1"/>
  <c r="AC416" i="3"/>
  <c r="Z416" i="3"/>
  <c r="AD416" i="3"/>
  <c r="AA416" i="3"/>
  <c r="W415" i="3"/>
  <c r="T416" i="3" l="1"/>
  <c r="AH416" i="3" s="1"/>
  <c r="U415" i="3"/>
  <c r="Y414" i="3"/>
  <c r="AG416" i="3" l="1"/>
  <c r="E416" i="3"/>
  <c r="H416" i="3" s="1"/>
  <c r="K416" i="3" s="1"/>
  <c r="AE416" i="3" s="1"/>
  <c r="D416" i="3"/>
  <c r="F416" i="3" l="1"/>
  <c r="G416" i="3"/>
  <c r="I416" i="3" s="1"/>
  <c r="V416" i="3"/>
  <c r="A417" i="3"/>
  <c r="B417" i="3" s="1"/>
  <c r="M416" i="3" l="1"/>
  <c r="N416" i="3" s="1"/>
  <c r="J416" i="3"/>
  <c r="L416" i="3" s="1"/>
  <c r="W416" i="3"/>
  <c r="AA417" i="3"/>
  <c r="AC417" i="3"/>
  <c r="AD417" i="3"/>
  <c r="Z417" i="3"/>
  <c r="P417" i="3"/>
  <c r="Q417" i="3" s="1"/>
  <c r="R417" i="3" s="1"/>
  <c r="S417" i="3" s="1"/>
  <c r="T417" i="3" l="1"/>
  <c r="AH417" i="3" s="1"/>
  <c r="U416" i="3"/>
  <c r="Y415" i="3"/>
  <c r="AG417" i="3" l="1"/>
  <c r="E417" i="3"/>
  <c r="H417" i="3" s="1"/>
  <c r="K417" i="3" s="1"/>
  <c r="AE417" i="3" s="1"/>
  <c r="D417" i="3"/>
  <c r="F417" i="3" l="1"/>
  <c r="G417" i="3"/>
  <c r="I417" i="3" s="1"/>
  <c r="V417" i="3"/>
  <c r="A418" i="3"/>
  <c r="B418" i="3" s="1"/>
  <c r="M417" i="3" l="1"/>
  <c r="N417" i="3" s="1"/>
  <c r="J417" i="3"/>
  <c r="L417" i="3" s="1"/>
  <c r="W417" i="3"/>
  <c r="AC418" i="3"/>
  <c r="AD418" i="3"/>
  <c r="P418" i="3"/>
  <c r="Q418" i="3" s="1"/>
  <c r="R418" i="3" s="1"/>
  <c r="S418" i="3" s="1"/>
  <c r="AA418" i="3"/>
  <c r="Z418" i="3"/>
  <c r="U417" i="3" l="1"/>
  <c r="Y416" i="3"/>
  <c r="T418" i="3"/>
  <c r="AG418" i="3" s="1"/>
  <c r="E418" i="3" l="1"/>
  <c r="H418" i="3" s="1"/>
  <c r="D418" i="3"/>
  <c r="AH418" i="3"/>
  <c r="F418" i="3" l="1"/>
  <c r="G418" i="3"/>
  <c r="K418" i="3"/>
  <c r="AE418" i="3" s="1"/>
  <c r="V418" i="3" l="1"/>
  <c r="A419" i="3"/>
  <c r="B419" i="3" s="1"/>
  <c r="I418" i="3"/>
  <c r="J418" i="3"/>
  <c r="M418" i="3"/>
  <c r="N418" i="3" s="1"/>
  <c r="L418" i="3" l="1"/>
  <c r="AD419" i="3"/>
  <c r="AC419" i="3"/>
  <c r="AA419" i="3"/>
  <c r="Z419" i="3"/>
  <c r="P419" i="3"/>
  <c r="Q419" i="3" s="1"/>
  <c r="R419" i="3" s="1"/>
  <c r="S419" i="3" s="1"/>
  <c r="W418" i="3"/>
  <c r="T419" i="3" l="1"/>
  <c r="AG419" i="3" s="1"/>
  <c r="U418" i="3"/>
  <c r="Y417" i="3"/>
  <c r="D419" i="3" l="1"/>
  <c r="G419" i="3" s="1"/>
  <c r="AH419" i="3"/>
  <c r="E419" i="3"/>
  <c r="H419" i="3" s="1"/>
  <c r="K419" i="3" s="1"/>
  <c r="AE419" i="3" s="1"/>
  <c r="F419" i="3" l="1"/>
  <c r="I419" i="3"/>
  <c r="J419" i="3"/>
  <c r="M419" i="3"/>
  <c r="N419" i="3" s="1"/>
  <c r="V419" i="3"/>
  <c r="A420" i="3"/>
  <c r="B420" i="3" s="1"/>
  <c r="W419" i="3" l="1"/>
  <c r="Z420" i="3"/>
  <c r="AC420" i="3"/>
  <c r="AA420" i="3"/>
  <c r="AD420" i="3"/>
  <c r="P420" i="3"/>
  <c r="Q420" i="3" s="1"/>
  <c r="R420" i="3" s="1"/>
  <c r="S420" i="3" s="1"/>
  <c r="L419" i="3"/>
  <c r="T420" i="3" l="1"/>
  <c r="AG420" i="3" s="1"/>
  <c r="U419" i="3"/>
  <c r="Y418" i="3"/>
  <c r="E420" i="3" l="1"/>
  <c r="H420" i="3" s="1"/>
  <c r="K420" i="3" s="1"/>
  <c r="AE420" i="3" s="1"/>
  <c r="AH420" i="3"/>
  <c r="D420" i="3"/>
  <c r="F420" i="3" l="1"/>
  <c r="G420" i="3"/>
  <c r="I420" i="3" s="1"/>
  <c r="V420" i="3"/>
  <c r="A421" i="3"/>
  <c r="B421" i="3" s="1"/>
  <c r="M420" i="3" l="1"/>
  <c r="N420" i="3" s="1"/>
  <c r="J420" i="3"/>
  <c r="L420" i="3" s="1"/>
  <c r="W420" i="3"/>
  <c r="Z421" i="3"/>
  <c r="P421" i="3"/>
  <c r="Q421" i="3" s="1"/>
  <c r="R421" i="3" s="1"/>
  <c r="S421" i="3" s="1"/>
  <c r="AD421" i="3"/>
  <c r="AA421" i="3"/>
  <c r="AC421" i="3"/>
  <c r="T421" i="3" l="1"/>
  <c r="AH421" i="3" s="1"/>
  <c r="U420" i="3"/>
  <c r="Y419" i="3"/>
  <c r="D421" i="3" l="1"/>
  <c r="G421" i="3" s="1"/>
  <c r="AG421" i="3"/>
  <c r="E421" i="3"/>
  <c r="H421" i="3" s="1"/>
  <c r="K421" i="3" s="1"/>
  <c r="AE421" i="3" s="1"/>
  <c r="F421" i="3" l="1"/>
  <c r="V421" i="3"/>
  <c r="A422" i="3"/>
  <c r="B422" i="3" s="1"/>
  <c r="I421" i="3"/>
  <c r="J421" i="3"/>
  <c r="M421" i="3"/>
  <c r="N421" i="3" s="1"/>
  <c r="L421" i="3" l="1"/>
  <c r="P422" i="3"/>
  <c r="Q422" i="3" s="1"/>
  <c r="R422" i="3" s="1"/>
  <c r="S422" i="3" s="1"/>
  <c r="AC422" i="3"/>
  <c r="AA422" i="3"/>
  <c r="AD422" i="3"/>
  <c r="Z422" i="3"/>
  <c r="W421" i="3"/>
  <c r="T422" i="3" l="1"/>
  <c r="AH422" i="3" s="1"/>
  <c r="U421" i="3"/>
  <c r="Y420" i="3"/>
  <c r="D422" i="3" l="1"/>
  <c r="G422" i="3" s="1"/>
  <c r="AG422" i="3"/>
  <c r="E422" i="3"/>
  <c r="H422" i="3" s="1"/>
  <c r="K422" i="3" l="1"/>
  <c r="AE422" i="3" s="1"/>
  <c r="I422" i="3"/>
  <c r="J422" i="3"/>
  <c r="M422" i="3"/>
  <c r="N422" i="3" s="1"/>
  <c r="F422" i="3"/>
  <c r="L422" i="3" l="1"/>
  <c r="V422" i="3"/>
  <c r="W422" i="3" s="1"/>
  <c r="A423" i="3"/>
  <c r="B423" i="3" s="1"/>
  <c r="AD423" i="3" l="1"/>
  <c r="P423" i="3"/>
  <c r="Q423" i="3" s="1"/>
  <c r="R423" i="3" s="1"/>
  <c r="S423" i="3" s="1"/>
  <c r="AA423" i="3"/>
  <c r="Z423" i="3"/>
  <c r="AC423" i="3"/>
  <c r="U422" i="3"/>
  <c r="Y421" i="3"/>
  <c r="T423" i="3" l="1"/>
  <c r="D423" i="3" s="1"/>
  <c r="E423" i="3" l="1"/>
  <c r="H423" i="3" s="1"/>
  <c r="K423" i="3" s="1"/>
  <c r="AE423" i="3" s="1"/>
  <c r="AH423" i="3"/>
  <c r="AG423" i="3"/>
  <c r="G423" i="3"/>
  <c r="F423" i="3" l="1"/>
  <c r="I423" i="3"/>
  <c r="J423" i="3"/>
  <c r="M423" i="3"/>
  <c r="N423" i="3" s="1"/>
  <c r="V423" i="3"/>
  <c r="A424" i="3"/>
  <c r="B424" i="3" s="1"/>
  <c r="W423" i="3" l="1"/>
  <c r="Z424" i="3"/>
  <c r="AC424" i="3"/>
  <c r="P424" i="3"/>
  <c r="Q424" i="3" s="1"/>
  <c r="R424" i="3" s="1"/>
  <c r="S424" i="3" s="1"/>
  <c r="AA424" i="3"/>
  <c r="L423" i="3"/>
  <c r="U423" i="3" l="1"/>
  <c r="Y422" i="3"/>
  <c r="T424" i="3"/>
  <c r="E424" i="3" l="1"/>
  <c r="H424" i="3" s="1"/>
  <c r="K424" i="3" s="1"/>
  <c r="AE424" i="3" s="1"/>
  <c r="D424" i="3"/>
  <c r="AG424" i="3"/>
  <c r="AH424" i="3"/>
  <c r="F424" i="3" l="1"/>
  <c r="G424" i="3"/>
  <c r="I424" i="3" s="1"/>
  <c r="V424" i="3"/>
  <c r="A425" i="3"/>
  <c r="B425" i="3" s="1"/>
  <c r="W424" i="3" l="1"/>
  <c r="M424" i="3"/>
  <c r="N424" i="3" s="1"/>
  <c r="J424" i="3"/>
  <c r="AC425" i="3"/>
  <c r="AD425" i="3"/>
  <c r="Z425" i="3"/>
  <c r="P425" i="3"/>
  <c r="Q425" i="3" s="1"/>
  <c r="R425" i="3" s="1"/>
  <c r="S425" i="3" s="1"/>
  <c r="AA425" i="3"/>
  <c r="L424" i="3" l="1"/>
  <c r="U424" i="3" s="1"/>
  <c r="AD424" i="3"/>
  <c r="T425" i="3"/>
  <c r="Y423" i="3"/>
  <c r="AH425" i="3" l="1"/>
  <c r="AG425" i="3"/>
  <c r="E425" i="3"/>
  <c r="H425" i="3" s="1"/>
  <c r="K425" i="3" s="1"/>
  <c r="AE425" i="3" s="1"/>
  <c r="D425" i="3"/>
  <c r="G425" i="3" s="1"/>
  <c r="F425" i="3" l="1"/>
  <c r="V425" i="3"/>
  <c r="A426" i="3"/>
  <c r="B426" i="3" s="1"/>
  <c r="I425" i="3"/>
  <c r="J425" i="3"/>
  <c r="M425" i="3"/>
  <c r="N425" i="3" s="1"/>
  <c r="P426" i="3" l="1"/>
  <c r="Q426" i="3" s="1"/>
  <c r="R426" i="3" s="1"/>
  <c r="S426" i="3" s="1"/>
  <c r="AC426" i="3"/>
  <c r="AA426" i="3"/>
  <c r="AD426" i="3"/>
  <c r="Z426" i="3"/>
  <c r="L425" i="3"/>
  <c r="W425" i="3"/>
  <c r="U425" i="3" l="1"/>
  <c r="Y424" i="3"/>
  <c r="T426" i="3"/>
  <c r="AH426" i="3" s="1"/>
  <c r="D426" i="3" l="1"/>
  <c r="AG426" i="3"/>
  <c r="E426" i="3"/>
  <c r="H426" i="3" s="1"/>
  <c r="K426" i="3" l="1"/>
  <c r="AE426" i="3" s="1"/>
  <c r="F426" i="3"/>
  <c r="G426" i="3"/>
  <c r="V426" i="3" l="1"/>
  <c r="A427" i="3"/>
  <c r="B427" i="3" s="1"/>
  <c r="I426" i="3"/>
  <c r="J426" i="3"/>
  <c r="M426" i="3"/>
  <c r="N426" i="3" s="1"/>
  <c r="L426" i="3" l="1"/>
  <c r="Z427" i="3"/>
  <c r="AA427" i="3"/>
  <c r="P427" i="3"/>
  <c r="Q427" i="3" s="1"/>
  <c r="R427" i="3" s="1"/>
  <c r="S427" i="3" s="1"/>
  <c r="AD427" i="3"/>
  <c r="AC427" i="3"/>
  <c r="W426" i="3"/>
  <c r="T427" i="3" l="1"/>
  <c r="AH427" i="3" s="1"/>
  <c r="U426" i="3"/>
  <c r="Y425" i="3"/>
  <c r="AG427" i="3" l="1"/>
  <c r="D427" i="3"/>
  <c r="G427" i="3" s="1"/>
  <c r="E427" i="3"/>
  <c r="H427" i="3" s="1"/>
  <c r="K427" i="3" s="1"/>
  <c r="AE427" i="3" s="1"/>
  <c r="F427" i="3" l="1"/>
  <c r="I427" i="3"/>
  <c r="J427" i="3"/>
  <c r="M427" i="3"/>
  <c r="N427" i="3" s="1"/>
  <c r="V427" i="3"/>
  <c r="A428" i="3"/>
  <c r="B428" i="3" s="1"/>
  <c r="W427" i="3" l="1"/>
  <c r="AA428" i="3"/>
  <c r="AD428" i="3"/>
  <c r="P428" i="3"/>
  <c r="Q428" i="3" s="1"/>
  <c r="R428" i="3" s="1"/>
  <c r="S428" i="3" s="1"/>
  <c r="Z428" i="3"/>
  <c r="AC428" i="3"/>
  <c r="L427" i="3"/>
  <c r="T428" i="3" l="1"/>
  <c r="AH428" i="3" s="1"/>
  <c r="U427" i="3"/>
  <c r="Y426" i="3"/>
  <c r="D428" i="3" l="1"/>
  <c r="G428" i="3" s="1"/>
  <c r="E428" i="3"/>
  <c r="H428" i="3" s="1"/>
  <c r="K428" i="3" s="1"/>
  <c r="AE428" i="3" s="1"/>
  <c r="AG428" i="3"/>
  <c r="F428" i="3" l="1"/>
  <c r="V428" i="3"/>
  <c r="A429" i="3"/>
  <c r="B429" i="3" s="1"/>
  <c r="I428" i="3"/>
  <c r="J428" i="3"/>
  <c r="M428" i="3"/>
  <c r="N428" i="3" s="1"/>
  <c r="P429" i="3" l="1"/>
  <c r="Q429" i="3" s="1"/>
  <c r="R429" i="3" s="1"/>
  <c r="S429" i="3" s="1"/>
  <c r="AC429" i="3"/>
  <c r="AD429" i="3"/>
  <c r="AA429" i="3"/>
  <c r="Z429" i="3"/>
  <c r="L428" i="3"/>
  <c r="W428" i="3"/>
  <c r="U428" i="3" l="1"/>
  <c r="Y427" i="3"/>
  <c r="T429" i="3"/>
  <c r="AG429" i="3" s="1"/>
  <c r="E429" i="3" l="1"/>
  <c r="H429" i="3" s="1"/>
  <c r="K429" i="3" s="1"/>
  <c r="AE429" i="3" s="1"/>
  <c r="AH429" i="3"/>
  <c r="D429" i="3"/>
  <c r="F429" i="3" l="1"/>
  <c r="G429" i="3"/>
  <c r="I429" i="3" s="1"/>
  <c r="V429" i="3"/>
  <c r="A430" i="3"/>
  <c r="B430" i="3" s="1"/>
  <c r="M429" i="3" l="1"/>
  <c r="N429" i="3" s="1"/>
  <c r="J429" i="3"/>
  <c r="L429" i="3" s="1"/>
  <c r="P430" i="3"/>
  <c r="Q430" i="3" s="1"/>
  <c r="R430" i="3" s="1"/>
  <c r="S430" i="3" s="1"/>
  <c r="AC430" i="3"/>
  <c r="AD430" i="3"/>
  <c r="AA430" i="3"/>
  <c r="Z430" i="3"/>
  <c r="W429" i="3"/>
  <c r="T430" i="3" l="1"/>
  <c r="AH430" i="3" s="1"/>
  <c r="U429" i="3"/>
  <c r="Y428" i="3"/>
  <c r="D430" i="3" l="1"/>
  <c r="G430" i="3" s="1"/>
  <c r="E430" i="3"/>
  <c r="H430" i="3" s="1"/>
  <c r="K430" i="3" s="1"/>
  <c r="AE430" i="3" s="1"/>
  <c r="AG430" i="3"/>
  <c r="F430" i="3" l="1"/>
  <c r="V430" i="3"/>
  <c r="A431" i="3"/>
  <c r="B431" i="3" s="1"/>
  <c r="I430" i="3"/>
  <c r="J430" i="3"/>
  <c r="M430" i="3"/>
  <c r="N430" i="3" s="1"/>
  <c r="AC431" i="3" l="1"/>
  <c r="Z431" i="3"/>
  <c r="P431" i="3"/>
  <c r="Q431" i="3" s="1"/>
  <c r="R431" i="3" s="1"/>
  <c r="S431" i="3" s="1"/>
  <c r="AD431" i="3"/>
  <c r="AA431" i="3"/>
  <c r="L430" i="3"/>
  <c r="W430" i="3"/>
  <c r="T431" i="3" l="1"/>
  <c r="AG431" i="3" s="1"/>
  <c r="U430" i="3"/>
  <c r="Y429" i="3"/>
  <c r="AH431" i="3" l="1"/>
  <c r="D431" i="3"/>
  <c r="G431" i="3" s="1"/>
  <c r="E431" i="3"/>
  <c r="H431" i="3" s="1"/>
  <c r="K431" i="3" l="1"/>
  <c r="AE431" i="3" s="1"/>
  <c r="I431" i="3"/>
  <c r="J431" i="3"/>
  <c r="M431" i="3"/>
  <c r="N431" i="3" s="1"/>
  <c r="F431" i="3"/>
  <c r="L431" i="3" l="1"/>
  <c r="V431" i="3"/>
  <c r="W431" i="3" s="1"/>
  <c r="A432" i="3"/>
  <c r="B432" i="3" s="1"/>
  <c r="AC432" i="3" l="1"/>
  <c r="Z432" i="3"/>
  <c r="AD432" i="3"/>
  <c r="AA432" i="3"/>
  <c r="P432" i="3"/>
  <c r="Q432" i="3" s="1"/>
  <c r="R432" i="3" s="1"/>
  <c r="S432" i="3" s="1"/>
  <c r="U431" i="3"/>
  <c r="Y430" i="3"/>
  <c r="T432" i="3" l="1"/>
  <c r="E432" i="3" s="1"/>
  <c r="H432" i="3" s="1"/>
  <c r="AH432" i="3" l="1"/>
  <c r="D432" i="3"/>
  <c r="F432" i="3" s="1"/>
  <c r="AG432" i="3"/>
  <c r="K432" i="3"/>
  <c r="AE432" i="3" s="1"/>
  <c r="G432" i="3" l="1"/>
  <c r="I432" i="3" s="1"/>
  <c r="V432" i="3"/>
  <c r="A433" i="3"/>
  <c r="B433" i="3" s="1"/>
  <c r="M432" i="3" l="1"/>
  <c r="N432" i="3" s="1"/>
  <c r="J432" i="3"/>
  <c r="L432" i="3" s="1"/>
  <c r="W432" i="3"/>
  <c r="AA433" i="3"/>
  <c r="P433" i="3"/>
  <c r="Q433" i="3" s="1"/>
  <c r="R433" i="3" s="1"/>
  <c r="S433" i="3" s="1"/>
  <c r="AD433" i="3"/>
  <c r="AC433" i="3"/>
  <c r="Z433" i="3"/>
  <c r="T433" i="3" l="1"/>
  <c r="AG433" i="3" s="1"/>
  <c r="U432" i="3"/>
  <c r="Y431" i="3"/>
  <c r="E433" i="3" l="1"/>
  <c r="H433" i="3" s="1"/>
  <c r="K433" i="3" s="1"/>
  <c r="AE433" i="3" s="1"/>
  <c r="AH433" i="3"/>
  <c r="D433" i="3"/>
  <c r="F433" i="3" l="1"/>
  <c r="G433" i="3"/>
  <c r="V433" i="3"/>
  <c r="A434" i="3"/>
  <c r="B434" i="3" s="1"/>
  <c r="AA434" i="3" l="1"/>
  <c r="AC434" i="3"/>
  <c r="P434" i="3"/>
  <c r="Q434" i="3" s="1"/>
  <c r="R434" i="3" s="1"/>
  <c r="S434" i="3" s="1"/>
  <c r="Z434" i="3"/>
  <c r="I433" i="3"/>
  <c r="W433" i="3" s="1"/>
  <c r="J433" i="3"/>
  <c r="M433" i="3"/>
  <c r="N433" i="3" s="1"/>
  <c r="T434" i="3" l="1"/>
  <c r="L433" i="3"/>
  <c r="U433" i="3" l="1"/>
  <c r="D434" i="3" s="1"/>
  <c r="AH434" i="3"/>
  <c r="AG434" i="3"/>
  <c r="Y432" i="3"/>
  <c r="E434" i="3" l="1"/>
  <c r="H434" i="3" s="1"/>
  <c r="K434" i="3" s="1"/>
  <c r="AE434" i="3" s="1"/>
  <c r="G434" i="3"/>
  <c r="F434" i="3" l="1"/>
  <c r="I434" i="3"/>
  <c r="J434" i="3"/>
  <c r="AD434" i="3" s="1"/>
  <c r="M434" i="3"/>
  <c r="N434" i="3" s="1"/>
  <c r="V434" i="3"/>
  <c r="A435" i="3"/>
  <c r="B435" i="3" s="1"/>
  <c r="W434" i="3" l="1"/>
  <c r="P435" i="3"/>
  <c r="Q435" i="3" s="1"/>
  <c r="R435" i="3" s="1"/>
  <c r="S435" i="3" s="1"/>
  <c r="AD435" i="3"/>
  <c r="AC435" i="3"/>
  <c r="Z435" i="3"/>
  <c r="AA435" i="3"/>
  <c r="L434" i="3"/>
  <c r="T435" i="3" l="1"/>
  <c r="AH435" i="3" s="1"/>
  <c r="U434" i="3"/>
  <c r="Y433" i="3"/>
  <c r="E435" i="3" l="1"/>
  <c r="H435" i="3" s="1"/>
  <c r="K435" i="3" s="1"/>
  <c r="AE435" i="3" s="1"/>
  <c r="D435" i="3"/>
  <c r="AG435" i="3"/>
  <c r="F435" i="3" l="1"/>
  <c r="G435" i="3"/>
  <c r="J435" i="3" s="1"/>
  <c r="V435" i="3"/>
  <c r="A436" i="3"/>
  <c r="B436" i="3" s="1"/>
  <c r="M435" i="3" l="1"/>
  <c r="N435" i="3" s="1"/>
  <c r="I435" i="3"/>
  <c r="W435" i="3" s="1"/>
  <c r="L435" i="3"/>
  <c r="AA436" i="3"/>
  <c r="AD436" i="3"/>
  <c r="AC436" i="3"/>
  <c r="P436" i="3"/>
  <c r="Q436" i="3" s="1"/>
  <c r="R436" i="3" s="1"/>
  <c r="S436" i="3" s="1"/>
  <c r="Z436" i="3"/>
  <c r="T436" i="3" l="1"/>
  <c r="U435" i="3"/>
  <c r="Y434" i="3"/>
  <c r="E436" i="3" l="1"/>
  <c r="H436" i="3" s="1"/>
  <c r="K436" i="3" s="1"/>
  <c r="AE436" i="3" s="1"/>
  <c r="AH436" i="3"/>
  <c r="AG436" i="3"/>
  <c r="D436" i="3"/>
  <c r="G436" i="3" s="1"/>
  <c r="F436" i="3" l="1"/>
  <c r="V436" i="3"/>
  <c r="A437" i="3"/>
  <c r="B437" i="3" s="1"/>
  <c r="I436" i="3"/>
  <c r="J436" i="3"/>
  <c r="M436" i="3"/>
  <c r="N436" i="3" s="1"/>
  <c r="P437" i="3" l="1"/>
  <c r="Q437" i="3" s="1"/>
  <c r="R437" i="3" s="1"/>
  <c r="S437" i="3" s="1"/>
  <c r="AD437" i="3"/>
  <c r="Z437" i="3"/>
  <c r="AC437" i="3"/>
  <c r="AA437" i="3"/>
  <c r="L436" i="3"/>
  <c r="W436" i="3"/>
  <c r="T437" i="3" l="1"/>
  <c r="AH437" i="3" s="1"/>
  <c r="U436" i="3"/>
  <c r="Y435" i="3"/>
  <c r="D437" i="3" l="1"/>
  <c r="G437" i="3" s="1"/>
  <c r="AG437" i="3"/>
  <c r="E437" i="3"/>
  <c r="H437" i="3" s="1"/>
  <c r="K437" i="3" s="1"/>
  <c r="AE437" i="3" s="1"/>
  <c r="F437" i="3" l="1"/>
  <c r="I437" i="3"/>
  <c r="J437" i="3"/>
  <c r="M437" i="3"/>
  <c r="N437" i="3" s="1"/>
  <c r="V437" i="3"/>
  <c r="A438" i="3"/>
  <c r="B438" i="3" s="1"/>
  <c r="W437" i="3" l="1"/>
  <c r="AA438" i="3"/>
  <c r="AD438" i="3"/>
  <c r="Z438" i="3"/>
  <c r="AC438" i="3"/>
  <c r="P438" i="3"/>
  <c r="Q438" i="3" s="1"/>
  <c r="R438" i="3" s="1"/>
  <c r="S438" i="3" s="1"/>
  <c r="L437" i="3"/>
  <c r="T438" i="3" l="1"/>
  <c r="AH438" i="3" s="1"/>
  <c r="U437" i="3"/>
  <c r="Y436" i="3"/>
  <c r="D438" i="3" l="1"/>
  <c r="G438" i="3" s="1"/>
  <c r="AG438" i="3"/>
  <c r="E438" i="3"/>
  <c r="H438" i="3" s="1"/>
  <c r="K438" i="3" s="1"/>
  <c r="AE438" i="3" s="1"/>
  <c r="F438" i="3" l="1"/>
  <c r="I438" i="3"/>
  <c r="J438" i="3"/>
  <c r="M438" i="3"/>
  <c r="N438" i="3" s="1"/>
  <c r="V438" i="3"/>
  <c r="A439" i="3"/>
  <c r="B439" i="3" s="1"/>
  <c r="W438" i="3" l="1"/>
  <c r="P439" i="3"/>
  <c r="Q439" i="3" s="1"/>
  <c r="R439" i="3" s="1"/>
  <c r="S439" i="3" s="1"/>
  <c r="AA439" i="3"/>
  <c r="AD439" i="3"/>
  <c r="AC439" i="3"/>
  <c r="Z439" i="3"/>
  <c r="L438" i="3"/>
  <c r="T439" i="3" l="1"/>
  <c r="AG439" i="3" s="1"/>
  <c r="U438" i="3"/>
  <c r="Y437" i="3"/>
  <c r="D439" i="3" l="1"/>
  <c r="G439" i="3" s="1"/>
  <c r="E439" i="3"/>
  <c r="H439" i="3" s="1"/>
  <c r="K439" i="3" s="1"/>
  <c r="AE439" i="3" s="1"/>
  <c r="AH439" i="3"/>
  <c r="F439" i="3" l="1"/>
  <c r="I439" i="3"/>
  <c r="J439" i="3"/>
  <c r="M439" i="3"/>
  <c r="N439" i="3" s="1"/>
  <c r="V439" i="3"/>
  <c r="A440" i="3"/>
  <c r="B440" i="3" s="1"/>
  <c r="W439" i="3" l="1"/>
  <c r="AA440" i="3"/>
  <c r="AC440" i="3"/>
  <c r="AD440" i="3"/>
  <c r="Z440" i="3"/>
  <c r="P440" i="3"/>
  <c r="Q440" i="3" s="1"/>
  <c r="R440" i="3" s="1"/>
  <c r="S440" i="3" s="1"/>
  <c r="L439" i="3"/>
  <c r="T440" i="3" l="1"/>
  <c r="AG440" i="3" s="1"/>
  <c r="U439" i="3"/>
  <c r="Y438" i="3"/>
  <c r="AH440" i="3" l="1"/>
  <c r="D440" i="3"/>
  <c r="G440" i="3" s="1"/>
  <c r="E440" i="3"/>
  <c r="H440" i="3" s="1"/>
  <c r="K440" i="3" s="1"/>
  <c r="AE440" i="3" s="1"/>
  <c r="F440" i="3" l="1"/>
  <c r="V440" i="3"/>
  <c r="A441" i="3"/>
  <c r="B441" i="3" s="1"/>
  <c r="I440" i="3"/>
  <c r="J440" i="3"/>
  <c r="M440" i="3"/>
  <c r="N440" i="3" s="1"/>
  <c r="L440" i="3" l="1"/>
  <c r="P441" i="3"/>
  <c r="Q441" i="3" s="1"/>
  <c r="R441" i="3" s="1"/>
  <c r="S441" i="3" s="1"/>
  <c r="AD441" i="3"/>
  <c r="AC441" i="3"/>
  <c r="Z441" i="3"/>
  <c r="AA441" i="3"/>
  <c r="W440" i="3"/>
  <c r="T441" i="3" l="1"/>
  <c r="AG441" i="3" s="1"/>
  <c r="U440" i="3"/>
  <c r="Y439" i="3"/>
  <c r="D441" i="3" l="1"/>
  <c r="G441" i="3" s="1"/>
  <c r="AH441" i="3"/>
  <c r="E441" i="3"/>
  <c r="H441" i="3" s="1"/>
  <c r="K441" i="3" s="1"/>
  <c r="AE441" i="3" s="1"/>
  <c r="F441" i="3" l="1"/>
  <c r="V441" i="3"/>
  <c r="A442" i="3"/>
  <c r="B442" i="3" s="1"/>
  <c r="I441" i="3"/>
  <c r="J441" i="3"/>
  <c r="M441" i="3"/>
  <c r="N441" i="3" s="1"/>
  <c r="AA442" i="3" l="1"/>
  <c r="P442" i="3"/>
  <c r="Q442" i="3" s="1"/>
  <c r="R442" i="3" s="1"/>
  <c r="S442" i="3" s="1"/>
  <c r="AD442" i="3"/>
  <c r="Z442" i="3"/>
  <c r="AC442" i="3"/>
  <c r="L441" i="3"/>
  <c r="W441" i="3"/>
  <c r="T442" i="3" l="1"/>
  <c r="AG442" i="3" s="1"/>
  <c r="U441" i="3"/>
  <c r="Y440" i="3"/>
  <c r="AH442" i="3" l="1"/>
  <c r="E442" i="3"/>
  <c r="H442" i="3" s="1"/>
  <c r="K442" i="3" s="1"/>
  <c r="AE442" i="3" s="1"/>
  <c r="D442" i="3"/>
  <c r="F442" i="3" l="1"/>
  <c r="G442" i="3"/>
  <c r="I442" i="3" s="1"/>
  <c r="V442" i="3"/>
  <c r="A443" i="3"/>
  <c r="B443" i="3" s="1"/>
  <c r="M442" i="3" l="1"/>
  <c r="N442" i="3" s="1"/>
  <c r="J442" i="3"/>
  <c r="L442" i="3" s="1"/>
  <c r="Z443" i="3"/>
  <c r="P443" i="3"/>
  <c r="Q443" i="3" s="1"/>
  <c r="R443" i="3" s="1"/>
  <c r="S443" i="3" s="1"/>
  <c r="AA443" i="3"/>
  <c r="AD443" i="3"/>
  <c r="AC443" i="3"/>
  <c r="W442" i="3"/>
  <c r="T443" i="3" l="1"/>
  <c r="AH443" i="3" s="1"/>
  <c r="U442" i="3"/>
  <c r="Y441" i="3"/>
  <c r="E443" i="3" l="1"/>
  <c r="H443" i="3" s="1"/>
  <c r="K443" i="3" s="1"/>
  <c r="AE443" i="3" s="1"/>
  <c r="AG443" i="3"/>
  <c r="D443" i="3"/>
  <c r="F443" i="3" l="1"/>
  <c r="G443" i="3"/>
  <c r="I443" i="3" s="1"/>
  <c r="V443" i="3"/>
  <c r="A444" i="3"/>
  <c r="B444" i="3" s="1"/>
  <c r="M443" i="3" l="1"/>
  <c r="N443" i="3" s="1"/>
  <c r="J443" i="3"/>
  <c r="L443" i="3" s="1"/>
  <c r="Z444" i="3"/>
  <c r="P444" i="3"/>
  <c r="Q444" i="3" s="1"/>
  <c r="R444" i="3" s="1"/>
  <c r="S444" i="3" s="1"/>
  <c r="AC444" i="3"/>
  <c r="AA444" i="3"/>
  <c r="W443" i="3"/>
  <c r="T444" i="3" l="1"/>
  <c r="AG444" i="3" s="1"/>
  <c r="U443" i="3"/>
  <c r="Y442" i="3"/>
  <c r="AH444" i="3" l="1"/>
  <c r="D444" i="3"/>
  <c r="G444" i="3" s="1"/>
  <c r="E444" i="3"/>
  <c r="H444" i="3" s="1"/>
  <c r="K444" i="3" l="1"/>
  <c r="AE444" i="3" s="1"/>
  <c r="I444" i="3"/>
  <c r="J444" i="3"/>
  <c r="AD444" i="3" s="1"/>
  <c r="M444" i="3"/>
  <c r="N444" i="3" s="1"/>
  <c r="F444" i="3"/>
  <c r="L444" i="3" l="1"/>
  <c r="V444" i="3"/>
  <c r="W444" i="3" s="1"/>
  <c r="A445" i="3"/>
  <c r="B445" i="3" s="1"/>
  <c r="Z445" i="3" l="1"/>
  <c r="AC445" i="3"/>
  <c r="AA445" i="3"/>
  <c r="P445" i="3"/>
  <c r="Q445" i="3" s="1"/>
  <c r="R445" i="3" s="1"/>
  <c r="S445" i="3" s="1"/>
  <c r="AD445" i="3"/>
  <c r="U444" i="3"/>
  <c r="Y443" i="3"/>
  <c r="T445" i="3" l="1"/>
  <c r="D445" i="3" s="1"/>
  <c r="E445" i="3" l="1"/>
  <c r="H445" i="3" s="1"/>
  <c r="K445" i="3" s="1"/>
  <c r="AE445" i="3" s="1"/>
  <c r="AG445" i="3"/>
  <c r="AH445" i="3"/>
  <c r="G445" i="3"/>
  <c r="F445" i="3" l="1"/>
  <c r="I445" i="3"/>
  <c r="J445" i="3"/>
  <c r="M445" i="3"/>
  <c r="N445" i="3" s="1"/>
  <c r="V445" i="3"/>
  <c r="W445" i="3" s="1"/>
  <c r="A446" i="3"/>
  <c r="B446" i="3" s="1"/>
  <c r="Z446" i="3" l="1"/>
  <c r="AA446" i="3"/>
  <c r="AD446" i="3"/>
  <c r="AC446" i="3"/>
  <c r="P446" i="3"/>
  <c r="Q446" i="3" s="1"/>
  <c r="R446" i="3" s="1"/>
  <c r="S446" i="3" s="1"/>
  <c r="L445" i="3"/>
  <c r="T446" i="3" l="1"/>
  <c r="AH446" i="3" s="1"/>
  <c r="U445" i="3"/>
  <c r="Y444" i="3"/>
  <c r="AG446" i="3" l="1"/>
  <c r="E446" i="3"/>
  <c r="H446" i="3" s="1"/>
  <c r="K446" i="3" s="1"/>
  <c r="AE446" i="3" s="1"/>
  <c r="D446" i="3"/>
  <c r="F446" i="3" l="1"/>
  <c r="G446" i="3"/>
  <c r="I446" i="3" s="1"/>
  <c r="V446" i="3"/>
  <c r="A447" i="3"/>
  <c r="B447" i="3" s="1"/>
  <c r="M446" i="3" l="1"/>
  <c r="N446" i="3" s="1"/>
  <c r="J446" i="3"/>
  <c r="L446" i="3" s="1"/>
  <c r="AA447" i="3"/>
  <c r="AD447" i="3"/>
  <c r="Z447" i="3"/>
  <c r="AC447" i="3"/>
  <c r="P447" i="3"/>
  <c r="Q447" i="3" s="1"/>
  <c r="R447" i="3" s="1"/>
  <c r="S447" i="3" s="1"/>
  <c r="W446" i="3"/>
  <c r="T447" i="3" l="1"/>
  <c r="AG447" i="3" s="1"/>
  <c r="U446" i="3"/>
  <c r="Y445" i="3"/>
  <c r="D447" i="3" l="1"/>
  <c r="G447" i="3" s="1"/>
  <c r="AH447" i="3"/>
  <c r="E447" i="3"/>
  <c r="H447" i="3" s="1"/>
  <c r="K447" i="3" s="1"/>
  <c r="AE447" i="3" s="1"/>
  <c r="F447" i="3" l="1"/>
  <c r="V447" i="3"/>
  <c r="A448" i="3"/>
  <c r="B448" i="3" s="1"/>
  <c r="I447" i="3"/>
  <c r="J447" i="3"/>
  <c r="M447" i="3"/>
  <c r="N447" i="3" s="1"/>
  <c r="L447" i="3" l="1"/>
  <c r="P448" i="3"/>
  <c r="Q448" i="3" s="1"/>
  <c r="R448" i="3" s="1"/>
  <c r="S448" i="3" s="1"/>
  <c r="Z448" i="3"/>
  <c r="AA448" i="3"/>
  <c r="AD448" i="3"/>
  <c r="AC448" i="3"/>
  <c r="W447" i="3"/>
  <c r="T448" i="3" l="1"/>
  <c r="AG448" i="3" s="1"/>
  <c r="U447" i="3"/>
  <c r="Y446" i="3"/>
  <c r="D448" i="3" l="1"/>
  <c r="G448" i="3" s="1"/>
  <c r="AH448" i="3"/>
  <c r="E448" i="3"/>
  <c r="H448" i="3" s="1"/>
  <c r="K448" i="3" s="1"/>
  <c r="AE448" i="3" s="1"/>
  <c r="F448" i="3" l="1"/>
  <c r="V448" i="3"/>
  <c r="A449" i="3"/>
  <c r="B449" i="3" s="1"/>
  <c r="I448" i="3"/>
  <c r="J448" i="3"/>
  <c r="M448" i="3"/>
  <c r="N448" i="3" s="1"/>
  <c r="L448" i="3" l="1"/>
  <c r="AD449" i="3"/>
  <c r="AA449" i="3"/>
  <c r="Z449" i="3"/>
  <c r="P449" i="3"/>
  <c r="Q449" i="3" s="1"/>
  <c r="R449" i="3" s="1"/>
  <c r="S449" i="3" s="1"/>
  <c r="AC449" i="3"/>
  <c r="W448" i="3"/>
  <c r="T449" i="3" l="1"/>
  <c r="AH449" i="3" s="1"/>
  <c r="U448" i="3"/>
  <c r="Y447" i="3"/>
  <c r="E449" i="3" l="1"/>
  <c r="H449" i="3" s="1"/>
  <c r="K449" i="3" s="1"/>
  <c r="AE449" i="3" s="1"/>
  <c r="D449" i="3"/>
  <c r="G449" i="3" s="1"/>
  <c r="AG449" i="3"/>
  <c r="F449" i="3" l="1"/>
  <c r="I449" i="3"/>
  <c r="J449" i="3"/>
  <c r="M449" i="3"/>
  <c r="N449" i="3" s="1"/>
  <c r="V449" i="3"/>
  <c r="A450" i="3"/>
  <c r="B450" i="3" s="1"/>
  <c r="W449" i="3" l="1"/>
  <c r="Z450" i="3"/>
  <c r="AC450" i="3"/>
  <c r="AA450" i="3"/>
  <c r="AD450" i="3"/>
  <c r="P450" i="3"/>
  <c r="Q450" i="3" s="1"/>
  <c r="R450" i="3" s="1"/>
  <c r="S450" i="3" s="1"/>
  <c r="L449" i="3"/>
  <c r="T450" i="3" l="1"/>
  <c r="U449" i="3"/>
  <c r="Y448" i="3"/>
  <c r="E450" i="3" l="1"/>
  <c r="H450" i="3" s="1"/>
  <c r="K450" i="3" s="1"/>
  <c r="AE450" i="3" s="1"/>
  <c r="AH450" i="3"/>
  <c r="D450" i="3"/>
  <c r="G450" i="3" s="1"/>
  <c r="AG450" i="3"/>
  <c r="F450" i="3" l="1"/>
  <c r="I450" i="3"/>
  <c r="J450" i="3"/>
  <c r="M450" i="3"/>
  <c r="N450" i="3" s="1"/>
  <c r="V450" i="3"/>
  <c r="A451" i="3"/>
  <c r="B451" i="3" s="1"/>
  <c r="W450" i="3" l="1"/>
  <c r="P451" i="3"/>
  <c r="Q451" i="3" s="1"/>
  <c r="R451" i="3" s="1"/>
  <c r="S451" i="3" s="1"/>
  <c r="AC451" i="3"/>
  <c r="AD451" i="3"/>
  <c r="AA451" i="3"/>
  <c r="Z451" i="3"/>
  <c r="L450" i="3"/>
  <c r="U450" i="3" l="1"/>
  <c r="Y449" i="3"/>
  <c r="T451" i="3"/>
  <c r="AH451" i="3" s="1"/>
  <c r="D451" i="3" l="1"/>
  <c r="AG451" i="3"/>
  <c r="E451" i="3"/>
  <c r="H451" i="3" s="1"/>
  <c r="K451" i="3" l="1"/>
  <c r="AE451" i="3" s="1"/>
  <c r="F451" i="3"/>
  <c r="G451" i="3"/>
  <c r="I451" i="3" l="1"/>
  <c r="J451" i="3"/>
  <c r="M451" i="3"/>
  <c r="N451" i="3" s="1"/>
  <c r="V451" i="3"/>
  <c r="A452" i="3"/>
  <c r="B452" i="3" s="1"/>
  <c r="W451" i="3" l="1"/>
  <c r="AD452" i="3"/>
  <c r="AA452" i="3"/>
  <c r="AC452" i="3"/>
  <c r="Z452" i="3"/>
  <c r="P452" i="3"/>
  <c r="Q452" i="3" s="1"/>
  <c r="R452" i="3" s="1"/>
  <c r="S452" i="3" s="1"/>
  <c r="L451" i="3"/>
  <c r="T452" i="3" l="1"/>
  <c r="AH452" i="3" s="1"/>
  <c r="U451" i="3"/>
  <c r="Y450" i="3"/>
  <c r="D452" i="3" l="1"/>
  <c r="G452" i="3" s="1"/>
  <c r="AG452" i="3"/>
  <c r="E452" i="3"/>
  <c r="H452" i="3" s="1"/>
  <c r="K452" i="3" l="1"/>
  <c r="AE452" i="3" s="1"/>
  <c r="I452" i="3"/>
  <c r="J452" i="3"/>
  <c r="M452" i="3"/>
  <c r="N452" i="3" s="1"/>
  <c r="F452" i="3"/>
  <c r="L452" i="3" l="1"/>
  <c r="V452" i="3"/>
  <c r="W452" i="3" s="1"/>
  <c r="A453" i="3"/>
  <c r="B453" i="3" s="1"/>
  <c r="AA453" i="3" l="1"/>
  <c r="Z453" i="3"/>
  <c r="AD453" i="3"/>
  <c r="P453" i="3"/>
  <c r="Q453" i="3" s="1"/>
  <c r="R453" i="3" s="1"/>
  <c r="S453" i="3" s="1"/>
  <c r="AC453" i="3"/>
  <c r="U452" i="3"/>
  <c r="Y451" i="3"/>
  <c r="T453" i="3" l="1"/>
  <c r="AG453" i="3" s="1"/>
  <c r="AH453" i="3" l="1"/>
  <c r="D453" i="3"/>
  <c r="G453" i="3" s="1"/>
  <c r="E453" i="3"/>
  <c r="H453" i="3" s="1"/>
  <c r="K453" i="3" s="1"/>
  <c r="AE453" i="3" s="1"/>
  <c r="F453" i="3" l="1"/>
  <c r="V453" i="3"/>
  <c r="A454" i="3"/>
  <c r="B454" i="3" s="1"/>
  <c r="I453" i="3"/>
  <c r="J453" i="3"/>
  <c r="M453" i="3"/>
  <c r="N453" i="3" s="1"/>
  <c r="L453" i="3" l="1"/>
  <c r="Z454" i="3"/>
  <c r="AC454" i="3"/>
  <c r="P454" i="3"/>
  <c r="Q454" i="3" s="1"/>
  <c r="R454" i="3" s="1"/>
  <c r="S454" i="3" s="1"/>
  <c r="AA454" i="3"/>
  <c r="W453" i="3"/>
  <c r="T454" i="3" l="1"/>
  <c r="AG454" i="3" s="1"/>
  <c r="U453" i="3"/>
  <c r="Y452" i="3"/>
  <c r="D454" i="3" l="1"/>
  <c r="G454" i="3" s="1"/>
  <c r="AH454" i="3"/>
  <c r="E454" i="3"/>
  <c r="H454" i="3" s="1"/>
  <c r="K454" i="3" s="1"/>
  <c r="AE454" i="3" s="1"/>
  <c r="F454" i="3" l="1"/>
  <c r="V454" i="3"/>
  <c r="A455" i="3"/>
  <c r="B455" i="3" s="1"/>
  <c r="I454" i="3"/>
  <c r="J454" i="3"/>
  <c r="AD454" i="3" s="1"/>
  <c r="M454" i="3"/>
  <c r="N454" i="3" s="1"/>
  <c r="AA455" i="3" l="1"/>
  <c r="Z455" i="3"/>
  <c r="AC455" i="3"/>
  <c r="P455" i="3"/>
  <c r="Q455" i="3" s="1"/>
  <c r="R455" i="3" s="1"/>
  <c r="S455" i="3" s="1"/>
  <c r="AD455" i="3"/>
  <c r="L454" i="3"/>
  <c r="W454" i="3"/>
  <c r="T455" i="3" l="1"/>
  <c r="AH455" i="3" s="1"/>
  <c r="U454" i="3"/>
  <c r="Y453" i="3"/>
  <c r="E455" i="3" l="1"/>
  <c r="H455" i="3" s="1"/>
  <c r="K455" i="3" s="1"/>
  <c r="AE455" i="3" s="1"/>
  <c r="AG455" i="3"/>
  <c r="D455" i="3"/>
  <c r="G455" i="3" s="1"/>
  <c r="F455" i="3" l="1"/>
  <c r="I455" i="3"/>
  <c r="J455" i="3"/>
  <c r="M455" i="3"/>
  <c r="N455" i="3" s="1"/>
  <c r="V455" i="3"/>
  <c r="A456" i="3"/>
  <c r="B456" i="3" s="1"/>
  <c r="W455" i="3" l="1"/>
  <c r="AA456" i="3"/>
  <c r="AC456" i="3"/>
  <c r="AD456" i="3"/>
  <c r="Z456" i="3"/>
  <c r="P456" i="3"/>
  <c r="Q456" i="3" s="1"/>
  <c r="R456" i="3" s="1"/>
  <c r="S456" i="3" s="1"/>
  <c r="L455" i="3"/>
  <c r="T456" i="3" l="1"/>
  <c r="AG456" i="3" s="1"/>
  <c r="U455" i="3"/>
  <c r="Y454" i="3"/>
  <c r="AH456" i="3" l="1"/>
  <c r="D456" i="3"/>
  <c r="G456" i="3" s="1"/>
  <c r="E456" i="3"/>
  <c r="H456" i="3" s="1"/>
  <c r="K456" i="3" s="1"/>
  <c r="AE456" i="3" s="1"/>
  <c r="F456" i="3" l="1"/>
  <c r="V456" i="3"/>
  <c r="A457" i="3"/>
  <c r="B457" i="3" s="1"/>
  <c r="I456" i="3"/>
  <c r="J456" i="3"/>
  <c r="M456" i="3"/>
  <c r="N456" i="3" s="1"/>
  <c r="AD457" i="3" l="1"/>
  <c r="AA457" i="3"/>
  <c r="AC457" i="3"/>
  <c r="P457" i="3"/>
  <c r="Q457" i="3" s="1"/>
  <c r="R457" i="3" s="1"/>
  <c r="S457" i="3" s="1"/>
  <c r="Z457" i="3"/>
  <c r="L456" i="3"/>
  <c r="W456" i="3"/>
  <c r="T457" i="3" l="1"/>
  <c r="AH457" i="3" s="1"/>
  <c r="U456" i="3"/>
  <c r="Y455" i="3"/>
  <c r="E457" i="3" l="1"/>
  <c r="H457" i="3" s="1"/>
  <c r="K457" i="3" s="1"/>
  <c r="AE457" i="3" s="1"/>
  <c r="D457" i="3"/>
  <c r="AG457" i="3"/>
  <c r="F457" i="3" l="1"/>
  <c r="G457" i="3"/>
  <c r="I457" i="3" s="1"/>
  <c r="V457" i="3"/>
  <c r="A458" i="3"/>
  <c r="B458" i="3" s="1"/>
  <c r="J457" i="3" l="1"/>
  <c r="L457" i="3" s="1"/>
  <c r="M457" i="3"/>
  <c r="N457" i="3" s="1"/>
  <c r="AA458" i="3"/>
  <c r="P458" i="3"/>
  <c r="Q458" i="3" s="1"/>
  <c r="R458" i="3" s="1"/>
  <c r="S458" i="3" s="1"/>
  <c r="Z458" i="3"/>
  <c r="AD458" i="3"/>
  <c r="AC458" i="3"/>
  <c r="W457" i="3"/>
  <c r="T458" i="3" l="1"/>
  <c r="AH458" i="3" s="1"/>
  <c r="U457" i="3"/>
  <c r="Y456" i="3"/>
  <c r="E458" i="3" l="1"/>
  <c r="H458" i="3" s="1"/>
  <c r="K458" i="3" s="1"/>
  <c r="AE458" i="3" s="1"/>
  <c r="AG458" i="3"/>
  <c r="D458" i="3"/>
  <c r="F458" i="3" l="1"/>
  <c r="G458" i="3"/>
  <c r="V458" i="3"/>
  <c r="A459" i="3"/>
  <c r="B459" i="3" s="1"/>
  <c r="AA459" i="3" l="1"/>
  <c r="AD459" i="3"/>
  <c r="AC459" i="3"/>
  <c r="P459" i="3"/>
  <c r="Q459" i="3" s="1"/>
  <c r="R459" i="3" s="1"/>
  <c r="S459" i="3" s="1"/>
  <c r="Z459" i="3"/>
  <c r="I458" i="3"/>
  <c r="W458" i="3" s="1"/>
  <c r="J458" i="3"/>
  <c r="M458" i="3"/>
  <c r="N458" i="3" s="1"/>
  <c r="T459" i="3" l="1"/>
  <c r="L458" i="3"/>
  <c r="AG459" i="3" l="1"/>
  <c r="AH459" i="3"/>
  <c r="U458" i="3"/>
  <c r="D459" i="3" s="1"/>
  <c r="Y457" i="3"/>
  <c r="E459" i="3" l="1"/>
  <c r="H459" i="3" s="1"/>
  <c r="K459" i="3" s="1"/>
  <c r="AE459" i="3" s="1"/>
  <c r="G459" i="3"/>
  <c r="F459" i="3" l="1"/>
  <c r="V459" i="3"/>
  <c r="A460" i="3"/>
  <c r="B460" i="3" s="1"/>
  <c r="I459" i="3"/>
  <c r="J459" i="3"/>
  <c r="M459" i="3"/>
  <c r="N459" i="3" s="1"/>
  <c r="W459" i="3" l="1"/>
  <c r="L459" i="3"/>
  <c r="AD460" i="3"/>
  <c r="AC460" i="3"/>
  <c r="Z460" i="3"/>
  <c r="AA460" i="3"/>
  <c r="P460" i="3"/>
  <c r="Q460" i="3" s="1"/>
  <c r="R460" i="3" s="1"/>
  <c r="S460" i="3" s="1"/>
  <c r="U459" i="3" l="1"/>
  <c r="Y458" i="3"/>
  <c r="T460" i="3"/>
  <c r="AG460" i="3" s="1"/>
  <c r="E460" i="3" l="1"/>
  <c r="H460" i="3" s="1"/>
  <c r="K460" i="3" s="1"/>
  <c r="AE460" i="3" s="1"/>
  <c r="AH460" i="3"/>
  <c r="D460" i="3"/>
  <c r="F460" i="3" l="1"/>
  <c r="G460" i="3"/>
  <c r="I460" i="3" s="1"/>
  <c r="V460" i="3"/>
  <c r="A461" i="3"/>
  <c r="B461" i="3" s="1"/>
  <c r="M460" i="3" l="1"/>
  <c r="N460" i="3" s="1"/>
  <c r="J460" i="3"/>
  <c r="L460" i="3" s="1"/>
  <c r="W460" i="3"/>
  <c r="Z461" i="3"/>
  <c r="P461" i="3"/>
  <c r="Q461" i="3" s="1"/>
  <c r="R461" i="3" s="1"/>
  <c r="S461" i="3" s="1"/>
  <c r="AC461" i="3"/>
  <c r="AD461" i="3"/>
  <c r="AA461" i="3"/>
  <c r="T461" i="3" l="1"/>
  <c r="AH461" i="3" s="1"/>
  <c r="U460" i="3"/>
  <c r="Y459" i="3"/>
  <c r="E461" i="3" l="1"/>
  <c r="H461" i="3" s="1"/>
  <c r="K461" i="3" s="1"/>
  <c r="AE461" i="3" s="1"/>
  <c r="D461" i="3"/>
  <c r="AG461" i="3"/>
  <c r="F461" i="3" l="1"/>
  <c r="G461" i="3"/>
  <c r="I461" i="3" s="1"/>
  <c r="V461" i="3"/>
  <c r="A462" i="3"/>
  <c r="B462" i="3" s="1"/>
  <c r="M461" i="3" l="1"/>
  <c r="N461" i="3" s="1"/>
  <c r="J461" i="3"/>
  <c r="L461" i="3" s="1"/>
  <c r="W461" i="3"/>
  <c r="AA462" i="3"/>
  <c r="AC462" i="3"/>
  <c r="AD462" i="3"/>
  <c r="Z462" i="3"/>
  <c r="P462" i="3"/>
  <c r="Q462" i="3" s="1"/>
  <c r="R462" i="3" s="1"/>
  <c r="S462" i="3" s="1"/>
  <c r="T462" i="3" l="1"/>
  <c r="AH462" i="3" s="1"/>
  <c r="U461" i="3"/>
  <c r="Y460" i="3"/>
  <c r="AG462" i="3" l="1"/>
  <c r="E462" i="3"/>
  <c r="H462" i="3" s="1"/>
  <c r="K462" i="3" s="1"/>
  <c r="AE462" i="3" s="1"/>
  <c r="D462" i="3"/>
  <c r="G462" i="3" s="1"/>
  <c r="F462" i="3" l="1"/>
  <c r="I462" i="3"/>
  <c r="J462" i="3"/>
  <c r="M462" i="3"/>
  <c r="N462" i="3" s="1"/>
  <c r="V462" i="3"/>
  <c r="A463" i="3"/>
  <c r="B463" i="3" s="1"/>
  <c r="W462" i="3" l="1"/>
  <c r="AC463" i="3"/>
  <c r="Z463" i="3"/>
  <c r="P463" i="3"/>
  <c r="Q463" i="3" s="1"/>
  <c r="R463" i="3" s="1"/>
  <c r="S463" i="3" s="1"/>
  <c r="AA463" i="3"/>
  <c r="AD463" i="3"/>
  <c r="L462" i="3"/>
  <c r="T463" i="3" l="1"/>
  <c r="AH463" i="3" s="1"/>
  <c r="U462" i="3"/>
  <c r="Y461" i="3"/>
  <c r="D463" i="3" l="1"/>
  <c r="G463" i="3" s="1"/>
  <c r="E463" i="3"/>
  <c r="H463" i="3" s="1"/>
  <c r="K463" i="3" s="1"/>
  <c r="AE463" i="3" s="1"/>
  <c r="AG463" i="3"/>
  <c r="F463" i="3" l="1"/>
  <c r="V463" i="3"/>
  <c r="A464" i="3"/>
  <c r="B464" i="3" s="1"/>
  <c r="I463" i="3"/>
  <c r="J463" i="3"/>
  <c r="M463" i="3"/>
  <c r="N463" i="3" s="1"/>
  <c r="AA464" i="3" l="1"/>
  <c r="P464" i="3"/>
  <c r="Q464" i="3" s="1"/>
  <c r="R464" i="3" s="1"/>
  <c r="S464" i="3" s="1"/>
  <c r="AC464" i="3"/>
  <c r="Z464" i="3"/>
  <c r="L463" i="3"/>
  <c r="W463" i="3"/>
  <c r="T464" i="3" l="1"/>
  <c r="AH464" i="3" s="1"/>
  <c r="U463" i="3"/>
  <c r="Y462" i="3"/>
  <c r="E464" i="3" l="1"/>
  <c r="H464" i="3" s="1"/>
  <c r="K464" i="3" s="1"/>
  <c r="AE464" i="3" s="1"/>
  <c r="AG464" i="3"/>
  <c r="D464" i="3"/>
  <c r="F464" i="3" l="1"/>
  <c r="G464" i="3"/>
  <c r="I464" i="3" s="1"/>
  <c r="V464" i="3"/>
  <c r="A465" i="3"/>
  <c r="B465" i="3" s="1"/>
  <c r="M464" i="3" l="1"/>
  <c r="N464" i="3" s="1"/>
  <c r="J464" i="3"/>
  <c r="AD465" i="3"/>
  <c r="AA465" i="3"/>
  <c r="Z465" i="3"/>
  <c r="AC465" i="3"/>
  <c r="P465" i="3"/>
  <c r="Q465" i="3" s="1"/>
  <c r="R465" i="3" s="1"/>
  <c r="S465" i="3" s="1"/>
  <c r="W464" i="3"/>
  <c r="L464" i="3" l="1"/>
  <c r="AD464" i="3"/>
  <c r="T465" i="3"/>
  <c r="AH465" i="3" s="1"/>
  <c r="U464" i="3"/>
  <c r="Y463" i="3"/>
  <c r="AG465" i="3" l="1"/>
  <c r="E465" i="3"/>
  <c r="H465" i="3" s="1"/>
  <c r="K465" i="3" s="1"/>
  <c r="AE465" i="3" s="1"/>
  <c r="D465" i="3"/>
  <c r="F465" i="3" l="1"/>
  <c r="G465" i="3"/>
  <c r="J465" i="3" s="1"/>
  <c r="V465" i="3"/>
  <c r="A466" i="3"/>
  <c r="B466" i="3" s="1"/>
  <c r="M465" i="3" l="1"/>
  <c r="N465" i="3" s="1"/>
  <c r="I465" i="3"/>
  <c r="W465" i="3" s="1"/>
  <c r="L465" i="3"/>
  <c r="Z466" i="3"/>
  <c r="AA466" i="3"/>
  <c r="P466" i="3"/>
  <c r="Q466" i="3" s="1"/>
  <c r="R466" i="3" s="1"/>
  <c r="S466" i="3" s="1"/>
  <c r="AD466" i="3"/>
  <c r="AC466" i="3"/>
  <c r="T466" i="3" l="1"/>
  <c r="AH466" i="3" s="1"/>
  <c r="U465" i="3"/>
  <c r="Y464" i="3"/>
  <c r="E466" i="3" l="1"/>
  <c r="H466" i="3" s="1"/>
  <c r="K466" i="3" s="1"/>
  <c r="AE466" i="3" s="1"/>
  <c r="AG466" i="3"/>
  <c r="D466" i="3"/>
  <c r="F466" i="3" l="1"/>
  <c r="G466" i="3"/>
  <c r="J466" i="3" s="1"/>
  <c r="V466" i="3"/>
  <c r="A467" i="3"/>
  <c r="B467" i="3" s="1"/>
  <c r="M466" i="3" l="1"/>
  <c r="N466" i="3" s="1"/>
  <c r="I466" i="3"/>
  <c r="W466" i="3" s="1"/>
  <c r="L466" i="3"/>
  <c r="AA467" i="3"/>
  <c r="AD467" i="3"/>
  <c r="Z467" i="3"/>
  <c r="P467" i="3"/>
  <c r="Q467" i="3" s="1"/>
  <c r="R467" i="3" s="1"/>
  <c r="S467" i="3" s="1"/>
  <c r="AC467" i="3"/>
  <c r="T467" i="3" l="1"/>
  <c r="AH467" i="3" s="1"/>
  <c r="U466" i="3"/>
  <c r="Y465" i="3"/>
  <c r="D467" i="3" l="1"/>
  <c r="G467" i="3" s="1"/>
  <c r="AG467" i="3"/>
  <c r="E467" i="3"/>
  <c r="H467" i="3" s="1"/>
  <c r="K467" i="3" s="1"/>
  <c r="AE467" i="3" s="1"/>
  <c r="F467" i="3" l="1"/>
  <c r="V467" i="3"/>
  <c r="A468" i="3"/>
  <c r="B468" i="3" s="1"/>
  <c r="I467" i="3"/>
  <c r="J467" i="3"/>
  <c r="M467" i="3"/>
  <c r="N467" i="3" s="1"/>
  <c r="L467" i="3" l="1"/>
  <c r="AC468" i="3"/>
  <c r="Z468" i="3"/>
  <c r="P468" i="3"/>
  <c r="Q468" i="3" s="1"/>
  <c r="R468" i="3" s="1"/>
  <c r="S468" i="3" s="1"/>
  <c r="AA468" i="3"/>
  <c r="AD468" i="3"/>
  <c r="W467" i="3"/>
  <c r="T468" i="3" l="1"/>
  <c r="U467" i="3"/>
  <c r="Y466" i="3"/>
  <c r="D468" i="3" l="1"/>
  <c r="G468" i="3" s="1"/>
  <c r="E468" i="3"/>
  <c r="H468" i="3" s="1"/>
  <c r="K468" i="3" s="1"/>
  <c r="AE468" i="3" s="1"/>
  <c r="AG468" i="3"/>
  <c r="AH468" i="3"/>
  <c r="F468" i="3" l="1"/>
  <c r="V468" i="3"/>
  <c r="A469" i="3"/>
  <c r="B469" i="3" s="1"/>
  <c r="I468" i="3"/>
  <c r="J468" i="3"/>
  <c r="M468" i="3"/>
  <c r="N468" i="3" s="1"/>
  <c r="Z469" i="3" l="1"/>
  <c r="AD469" i="3"/>
  <c r="AA469" i="3"/>
  <c r="AC469" i="3"/>
  <c r="P469" i="3"/>
  <c r="Q469" i="3" s="1"/>
  <c r="R469" i="3" s="1"/>
  <c r="S469" i="3" s="1"/>
  <c r="L468" i="3"/>
  <c r="W468" i="3"/>
  <c r="U468" i="3" l="1"/>
  <c r="Y467" i="3"/>
  <c r="T469" i="3"/>
  <c r="AG469" i="3" s="1"/>
  <c r="E469" i="3" l="1"/>
  <c r="H469" i="3" s="1"/>
  <c r="K469" i="3" s="1"/>
  <c r="AE469" i="3" s="1"/>
  <c r="D469" i="3"/>
  <c r="AH469" i="3"/>
  <c r="F469" i="3" l="1"/>
  <c r="G469" i="3"/>
  <c r="I469" i="3" s="1"/>
  <c r="V469" i="3"/>
  <c r="A470" i="3"/>
  <c r="B470" i="3" s="1"/>
  <c r="M469" i="3" l="1"/>
  <c r="N469" i="3" s="1"/>
  <c r="J469" i="3"/>
  <c r="L469" i="3" s="1"/>
  <c r="AA470" i="3"/>
  <c r="Z470" i="3"/>
  <c r="AD470" i="3"/>
  <c r="AC470" i="3"/>
  <c r="P470" i="3"/>
  <c r="Q470" i="3" s="1"/>
  <c r="R470" i="3" s="1"/>
  <c r="S470" i="3" s="1"/>
  <c r="W469" i="3"/>
  <c r="U469" i="3" l="1"/>
  <c r="Y468" i="3"/>
  <c r="T470" i="3"/>
  <c r="E470" i="3" l="1"/>
  <c r="H470" i="3" s="1"/>
  <c r="K470" i="3" s="1"/>
  <c r="AE470" i="3" s="1"/>
  <c r="AH470" i="3"/>
  <c r="D470" i="3"/>
  <c r="AG470" i="3"/>
  <c r="F470" i="3" l="1"/>
  <c r="G470" i="3"/>
  <c r="V470" i="3"/>
  <c r="A471" i="3"/>
  <c r="B471" i="3" s="1"/>
  <c r="Z471" i="3" l="1"/>
  <c r="AA471" i="3"/>
  <c r="AD471" i="3"/>
  <c r="AC471" i="3"/>
  <c r="P471" i="3"/>
  <c r="Q471" i="3" s="1"/>
  <c r="R471" i="3" s="1"/>
  <c r="S471" i="3" s="1"/>
  <c r="I470" i="3"/>
  <c r="W470" i="3" s="1"/>
  <c r="J470" i="3"/>
  <c r="M470" i="3"/>
  <c r="N470" i="3" s="1"/>
  <c r="T471" i="3" l="1"/>
  <c r="L470" i="3"/>
  <c r="U470" i="3" l="1"/>
  <c r="E471" i="3" s="1"/>
  <c r="H471" i="3" s="1"/>
  <c r="AG471" i="3"/>
  <c r="AH471" i="3"/>
  <c r="Y469" i="3"/>
  <c r="D471" i="3" l="1"/>
  <c r="F471" i="3" s="1"/>
  <c r="K471" i="3"/>
  <c r="AE471" i="3" s="1"/>
  <c r="G471" i="3" l="1"/>
  <c r="I471" i="3" s="1"/>
  <c r="V471" i="3"/>
  <c r="A472" i="3"/>
  <c r="B472" i="3" s="1"/>
  <c r="M471" i="3" l="1"/>
  <c r="N471" i="3" s="1"/>
  <c r="J471" i="3"/>
  <c r="L471" i="3" s="1"/>
  <c r="W471" i="3"/>
  <c r="P472" i="3"/>
  <c r="Q472" i="3" s="1"/>
  <c r="R472" i="3" s="1"/>
  <c r="S472" i="3" s="1"/>
  <c r="AD472" i="3"/>
  <c r="AA472" i="3"/>
  <c r="AC472" i="3"/>
  <c r="Z472" i="3"/>
  <c r="U471" i="3" l="1"/>
  <c r="Y470" i="3"/>
  <c r="T472" i="3"/>
  <c r="AH472" i="3" s="1"/>
  <c r="D472" i="3" l="1"/>
  <c r="E472" i="3"/>
  <c r="H472" i="3" s="1"/>
  <c r="AG472" i="3"/>
  <c r="K472" i="3" l="1"/>
  <c r="AE472" i="3" s="1"/>
  <c r="F472" i="3"/>
  <c r="G472" i="3"/>
  <c r="I472" i="3" l="1"/>
  <c r="J472" i="3"/>
  <c r="M472" i="3"/>
  <c r="N472" i="3" s="1"/>
  <c r="V472" i="3"/>
  <c r="A473" i="3"/>
  <c r="B473" i="3" s="1"/>
  <c r="W472" i="3" l="1"/>
  <c r="Z473" i="3"/>
  <c r="AA473" i="3"/>
  <c r="AD473" i="3"/>
  <c r="AC473" i="3"/>
  <c r="P473" i="3"/>
  <c r="Q473" i="3" s="1"/>
  <c r="R473" i="3" s="1"/>
  <c r="S473" i="3" s="1"/>
  <c r="L472" i="3"/>
  <c r="T473" i="3" l="1"/>
  <c r="AH473" i="3" s="1"/>
  <c r="U472" i="3"/>
  <c r="Y471" i="3"/>
  <c r="D473" i="3" l="1"/>
  <c r="G473" i="3" s="1"/>
  <c r="AG473" i="3"/>
  <c r="E473" i="3"/>
  <c r="H473" i="3" s="1"/>
  <c r="K473" i="3" l="1"/>
  <c r="AE473" i="3" s="1"/>
  <c r="I473" i="3"/>
  <c r="J473" i="3"/>
  <c r="M473" i="3"/>
  <c r="N473" i="3" s="1"/>
  <c r="F473" i="3"/>
  <c r="L473" i="3" l="1"/>
  <c r="V473" i="3"/>
  <c r="W473" i="3" s="1"/>
  <c r="A474" i="3"/>
  <c r="B474" i="3" s="1"/>
  <c r="Z474" i="3" l="1"/>
  <c r="AA474" i="3"/>
  <c r="P474" i="3"/>
  <c r="Q474" i="3" s="1"/>
  <c r="R474" i="3" s="1"/>
  <c r="S474" i="3" s="1"/>
  <c r="AC474" i="3"/>
  <c r="U473" i="3"/>
  <c r="Y472" i="3"/>
  <c r="T474" i="3" l="1"/>
  <c r="AH474" i="3" s="1"/>
  <c r="D474" i="3" l="1"/>
  <c r="E474" i="3"/>
  <c r="H474" i="3" s="1"/>
  <c r="AG474" i="3"/>
  <c r="K474" i="3" l="1"/>
  <c r="AE474" i="3" s="1"/>
  <c r="F474" i="3"/>
  <c r="G474" i="3"/>
  <c r="I474" i="3" l="1"/>
  <c r="J474" i="3"/>
  <c r="AD474" i="3" s="1"/>
  <c r="M474" i="3"/>
  <c r="N474" i="3" s="1"/>
  <c r="V474" i="3"/>
  <c r="A475" i="3"/>
  <c r="B475" i="3" s="1"/>
  <c r="W474" i="3" l="1"/>
  <c r="P475" i="3"/>
  <c r="Q475" i="3" s="1"/>
  <c r="R475" i="3" s="1"/>
  <c r="S475" i="3" s="1"/>
  <c r="AC475" i="3"/>
  <c r="AD475" i="3"/>
  <c r="AA475" i="3"/>
  <c r="Z475" i="3"/>
  <c r="L474" i="3"/>
  <c r="U474" i="3" l="1"/>
  <c r="Y473" i="3"/>
  <c r="T475" i="3"/>
  <c r="D475" i="3" l="1"/>
  <c r="G475" i="3" s="1"/>
  <c r="AH475" i="3"/>
  <c r="AG475" i="3"/>
  <c r="E475" i="3"/>
  <c r="H475" i="3" s="1"/>
  <c r="K475" i="3" l="1"/>
  <c r="AE475" i="3" s="1"/>
  <c r="I475" i="3"/>
  <c r="J475" i="3"/>
  <c r="M475" i="3"/>
  <c r="N475" i="3" s="1"/>
  <c r="F475" i="3"/>
  <c r="L475" i="3" l="1"/>
  <c r="V475" i="3"/>
  <c r="W475" i="3" s="1"/>
  <c r="A476" i="3"/>
  <c r="B476" i="3" s="1"/>
  <c r="AA476" i="3" l="1"/>
  <c r="AD476" i="3"/>
  <c r="AC476" i="3"/>
  <c r="P476" i="3"/>
  <c r="Q476" i="3" s="1"/>
  <c r="R476" i="3" s="1"/>
  <c r="S476" i="3" s="1"/>
  <c r="Z476" i="3"/>
  <c r="U475" i="3"/>
  <c r="Y474" i="3"/>
  <c r="T476" i="3" l="1"/>
  <c r="E476" i="3" s="1"/>
  <c r="H476" i="3" s="1"/>
  <c r="D476" i="3" l="1"/>
  <c r="F476" i="3" s="1"/>
  <c r="AG476" i="3"/>
  <c r="AH476" i="3"/>
  <c r="K476" i="3"/>
  <c r="AE476" i="3" s="1"/>
  <c r="G476" i="3" l="1"/>
  <c r="I476" i="3" s="1"/>
  <c r="V476" i="3"/>
  <c r="A477" i="3"/>
  <c r="B477" i="3" s="1"/>
  <c r="M476" i="3" l="1"/>
  <c r="N476" i="3" s="1"/>
  <c r="J476" i="3"/>
  <c r="L476" i="3" s="1"/>
  <c r="W476" i="3"/>
  <c r="AA477" i="3"/>
  <c r="AD477" i="3"/>
  <c r="AC477" i="3"/>
  <c r="P477" i="3"/>
  <c r="Q477" i="3" s="1"/>
  <c r="R477" i="3" s="1"/>
  <c r="S477" i="3" s="1"/>
  <c r="Z477" i="3"/>
  <c r="T477" i="3" l="1"/>
  <c r="AG477" i="3" s="1"/>
  <c r="U476" i="3"/>
  <c r="Y475" i="3"/>
  <c r="D477" i="3" l="1"/>
  <c r="G477" i="3" s="1"/>
  <c r="AH477" i="3"/>
  <c r="E477" i="3"/>
  <c r="H477" i="3" s="1"/>
  <c r="K477" i="3" s="1"/>
  <c r="AE477" i="3" s="1"/>
  <c r="F477" i="3" l="1"/>
  <c r="V477" i="3"/>
  <c r="A478" i="3"/>
  <c r="B478" i="3" s="1"/>
  <c r="I477" i="3"/>
  <c r="J477" i="3"/>
  <c r="M477" i="3"/>
  <c r="N477" i="3" s="1"/>
  <c r="L477" i="3" l="1"/>
  <c r="AC478" i="3"/>
  <c r="Z478" i="3"/>
  <c r="AA478" i="3"/>
  <c r="AD478" i="3"/>
  <c r="P478" i="3"/>
  <c r="Q478" i="3" s="1"/>
  <c r="R478" i="3" s="1"/>
  <c r="S478" i="3" s="1"/>
  <c r="W477" i="3"/>
  <c r="T478" i="3" l="1"/>
  <c r="AH478" i="3" s="1"/>
  <c r="U477" i="3"/>
  <c r="Y476" i="3"/>
  <c r="AG478" i="3" l="1"/>
  <c r="D478" i="3"/>
  <c r="G478" i="3" s="1"/>
  <c r="E478" i="3"/>
  <c r="H478" i="3" s="1"/>
  <c r="K478" i="3" s="1"/>
  <c r="AE478" i="3" s="1"/>
  <c r="F478" i="3" l="1"/>
  <c r="V478" i="3"/>
  <c r="A479" i="3"/>
  <c r="B479" i="3" s="1"/>
  <c r="I478" i="3"/>
  <c r="J478" i="3"/>
  <c r="M478" i="3"/>
  <c r="N478" i="3" s="1"/>
  <c r="AD479" i="3" l="1"/>
  <c r="P479" i="3"/>
  <c r="Q479" i="3" s="1"/>
  <c r="R479" i="3" s="1"/>
  <c r="S479" i="3" s="1"/>
  <c r="AA479" i="3"/>
  <c r="Z479" i="3"/>
  <c r="AC479" i="3"/>
  <c r="L478" i="3"/>
  <c r="W478" i="3"/>
  <c r="T479" i="3" l="1"/>
  <c r="AG479" i="3" s="1"/>
  <c r="U478" i="3"/>
  <c r="Y477" i="3"/>
  <c r="AH479" i="3" l="1"/>
  <c r="D479" i="3"/>
  <c r="G479" i="3" s="1"/>
  <c r="E479" i="3"/>
  <c r="H479" i="3" s="1"/>
  <c r="K479" i="3" s="1"/>
  <c r="AE479" i="3" s="1"/>
  <c r="F479" i="3" l="1"/>
  <c r="V479" i="3"/>
  <c r="A480" i="3"/>
  <c r="B480" i="3" s="1"/>
  <c r="I479" i="3"/>
  <c r="J479" i="3"/>
  <c r="M479" i="3"/>
  <c r="N479" i="3" s="1"/>
  <c r="P480" i="3" l="1"/>
  <c r="Q480" i="3" s="1"/>
  <c r="R480" i="3" s="1"/>
  <c r="S480" i="3" s="1"/>
  <c r="AA480" i="3"/>
  <c r="AC480" i="3"/>
  <c r="AD480" i="3"/>
  <c r="Z480" i="3"/>
  <c r="L479" i="3"/>
  <c r="W479" i="3"/>
  <c r="U479" i="3" l="1"/>
  <c r="Y478" i="3"/>
  <c r="T480" i="3"/>
  <c r="AH480" i="3" s="1"/>
  <c r="D480" i="3" l="1"/>
  <c r="AG480" i="3"/>
  <c r="E480" i="3"/>
  <c r="H480" i="3" s="1"/>
  <c r="K480" i="3" l="1"/>
  <c r="AE480" i="3" s="1"/>
  <c r="F480" i="3"/>
  <c r="G480" i="3"/>
  <c r="I480" i="3" l="1"/>
  <c r="J480" i="3"/>
  <c r="M480" i="3"/>
  <c r="N480" i="3" s="1"/>
  <c r="V480" i="3"/>
  <c r="A481" i="3"/>
  <c r="B481" i="3" s="1"/>
  <c r="W480" i="3" l="1"/>
  <c r="AA481" i="3"/>
  <c r="AD481" i="3"/>
  <c r="Z481" i="3"/>
  <c r="AC481" i="3"/>
  <c r="P481" i="3"/>
  <c r="Q481" i="3" s="1"/>
  <c r="R481" i="3" s="1"/>
  <c r="S481" i="3" s="1"/>
  <c r="L480" i="3"/>
  <c r="U480" i="3" l="1"/>
  <c r="Y479" i="3"/>
  <c r="T481" i="3"/>
  <c r="E481" i="3" l="1"/>
  <c r="H481" i="3" s="1"/>
  <c r="K481" i="3" s="1"/>
  <c r="AE481" i="3" s="1"/>
  <c r="AG481" i="3"/>
  <c r="D481" i="3"/>
  <c r="AH481" i="3"/>
  <c r="F481" i="3" l="1"/>
  <c r="G481" i="3"/>
  <c r="I481" i="3" s="1"/>
  <c r="V481" i="3"/>
  <c r="A482" i="3"/>
  <c r="B482" i="3" s="1"/>
  <c r="W481" i="3" l="1"/>
  <c r="J481" i="3"/>
  <c r="L481" i="3" s="1"/>
  <c r="M481" i="3"/>
  <c r="N481" i="3" s="1"/>
  <c r="Z482" i="3"/>
  <c r="AD482" i="3"/>
  <c r="AC482" i="3"/>
  <c r="AA482" i="3"/>
  <c r="P482" i="3"/>
  <c r="Q482" i="3" s="1"/>
  <c r="R482" i="3" s="1"/>
  <c r="S482" i="3" s="1"/>
  <c r="T482" i="3" l="1"/>
  <c r="AG482" i="3" s="1"/>
  <c r="U481" i="3"/>
  <c r="Y480" i="3"/>
  <c r="D482" i="3" l="1"/>
  <c r="G482" i="3" s="1"/>
  <c r="E482" i="3"/>
  <c r="H482" i="3" s="1"/>
  <c r="K482" i="3" s="1"/>
  <c r="AE482" i="3" s="1"/>
  <c r="AH482" i="3"/>
  <c r="F482" i="3" l="1"/>
  <c r="I482" i="3"/>
  <c r="J482" i="3"/>
  <c r="M482" i="3"/>
  <c r="N482" i="3" s="1"/>
  <c r="V482" i="3"/>
  <c r="A483" i="3"/>
  <c r="B483" i="3" s="1"/>
  <c r="W482" i="3" l="1"/>
  <c r="L482" i="3"/>
  <c r="AA483" i="3"/>
  <c r="P483" i="3"/>
  <c r="Q483" i="3" s="1"/>
  <c r="R483" i="3" s="1"/>
  <c r="S483" i="3" s="1"/>
  <c r="AC483" i="3"/>
  <c r="AD483" i="3"/>
  <c r="Z483" i="3"/>
  <c r="T483" i="3" l="1"/>
  <c r="AG483" i="3" s="1"/>
  <c r="U482" i="3"/>
  <c r="Y481" i="3"/>
  <c r="AH483" i="3" l="1"/>
  <c r="D483" i="3"/>
  <c r="G483" i="3" s="1"/>
  <c r="E483" i="3"/>
  <c r="H483" i="3" s="1"/>
  <c r="K483" i="3" l="1"/>
  <c r="AE483" i="3" s="1"/>
  <c r="I483" i="3"/>
  <c r="J483" i="3"/>
  <c r="M483" i="3"/>
  <c r="N483" i="3" s="1"/>
  <c r="F483" i="3"/>
  <c r="V483" i="3" l="1"/>
  <c r="W483" i="3" s="1"/>
  <c r="A484" i="3"/>
  <c r="B484" i="3" s="1"/>
  <c r="L483" i="3"/>
  <c r="Z484" i="3" l="1"/>
  <c r="AC484" i="3"/>
  <c r="AA484" i="3"/>
  <c r="P484" i="3"/>
  <c r="Q484" i="3" s="1"/>
  <c r="R484" i="3" s="1"/>
  <c r="S484" i="3" s="1"/>
  <c r="U483" i="3"/>
  <c r="Y482" i="3"/>
  <c r="T484" i="3" l="1"/>
  <c r="AG484" i="3" s="1"/>
  <c r="E484" i="3" l="1"/>
  <c r="H484" i="3" s="1"/>
  <c r="K484" i="3" s="1"/>
  <c r="AE484" i="3" s="1"/>
  <c r="AH484" i="3"/>
  <c r="D484" i="3"/>
  <c r="F484" i="3" l="1"/>
  <c r="G484" i="3"/>
  <c r="V484" i="3"/>
  <c r="A485" i="3"/>
  <c r="B485" i="3" s="1"/>
  <c r="AC485" i="3" l="1"/>
  <c r="Z485" i="3"/>
  <c r="P485" i="3"/>
  <c r="Q485" i="3" s="1"/>
  <c r="R485" i="3" s="1"/>
  <c r="S485" i="3" s="1"/>
  <c r="AD485" i="3"/>
  <c r="AA485" i="3"/>
  <c r="I484" i="3"/>
  <c r="W484" i="3" s="1"/>
  <c r="J484" i="3"/>
  <c r="AD484" i="3" s="1"/>
  <c r="M484" i="3"/>
  <c r="N484" i="3" s="1"/>
  <c r="T485" i="3" l="1"/>
  <c r="L484" i="3"/>
  <c r="AH485" i="3" l="1"/>
  <c r="U484" i="3"/>
  <c r="D485" i="3" s="1"/>
  <c r="AG485" i="3"/>
  <c r="Y483" i="3"/>
  <c r="E485" i="3" l="1"/>
  <c r="H485" i="3" s="1"/>
  <c r="K485" i="3" s="1"/>
  <c r="AE485" i="3" s="1"/>
  <c r="G485" i="3"/>
  <c r="F485" i="3" l="1"/>
  <c r="V485" i="3"/>
  <c r="A486" i="3"/>
  <c r="B486" i="3" s="1"/>
  <c r="I485" i="3"/>
  <c r="J485" i="3"/>
  <c r="M485" i="3"/>
  <c r="N485" i="3" s="1"/>
  <c r="L485" i="3" l="1"/>
  <c r="AC486" i="3"/>
  <c r="AD486" i="3"/>
  <c r="Z486" i="3"/>
  <c r="P486" i="3"/>
  <c r="Q486" i="3" s="1"/>
  <c r="R486" i="3" s="1"/>
  <c r="S486" i="3" s="1"/>
  <c r="AA486" i="3"/>
  <c r="W485" i="3"/>
  <c r="T486" i="3" l="1"/>
  <c r="AG486" i="3" s="1"/>
  <c r="U485" i="3"/>
  <c r="Y484" i="3"/>
  <c r="D486" i="3" l="1"/>
  <c r="G486" i="3" s="1"/>
  <c r="E486" i="3"/>
  <c r="H486" i="3" s="1"/>
  <c r="K486" i="3" s="1"/>
  <c r="AE486" i="3" s="1"/>
  <c r="AH486" i="3"/>
  <c r="F486" i="3" l="1"/>
  <c r="I486" i="3"/>
  <c r="J486" i="3"/>
  <c r="M486" i="3"/>
  <c r="N486" i="3" s="1"/>
  <c r="V486" i="3"/>
  <c r="A487" i="3"/>
  <c r="B487" i="3" s="1"/>
  <c r="W486" i="3" l="1"/>
  <c r="Z487" i="3"/>
  <c r="AA487" i="3"/>
  <c r="AD487" i="3"/>
  <c r="AC487" i="3"/>
  <c r="P487" i="3"/>
  <c r="Q487" i="3" s="1"/>
  <c r="R487" i="3" s="1"/>
  <c r="S487" i="3" s="1"/>
  <c r="L486" i="3"/>
  <c r="T487" i="3" l="1"/>
  <c r="AG487" i="3" s="1"/>
  <c r="U486" i="3"/>
  <c r="Y485" i="3"/>
  <c r="AH487" i="3" l="1"/>
  <c r="D487" i="3"/>
  <c r="G487" i="3" s="1"/>
  <c r="E487" i="3"/>
  <c r="H487" i="3" s="1"/>
  <c r="K487" i="3" s="1"/>
  <c r="AE487" i="3" s="1"/>
  <c r="F487" i="3" l="1"/>
  <c r="I487" i="3"/>
  <c r="J487" i="3"/>
  <c r="M487" i="3"/>
  <c r="N487" i="3" s="1"/>
  <c r="V487" i="3"/>
  <c r="A488" i="3"/>
  <c r="B488" i="3" s="1"/>
  <c r="W487" i="3" l="1"/>
  <c r="AA488" i="3"/>
  <c r="Z488" i="3"/>
  <c r="AC488" i="3"/>
  <c r="AD488" i="3"/>
  <c r="P488" i="3"/>
  <c r="Q488" i="3" s="1"/>
  <c r="R488" i="3" s="1"/>
  <c r="S488" i="3" s="1"/>
  <c r="L487" i="3"/>
  <c r="T488" i="3" l="1"/>
  <c r="AH488" i="3" s="1"/>
  <c r="U487" i="3"/>
  <c r="Y486" i="3"/>
  <c r="E488" i="3" l="1"/>
  <c r="H488" i="3" s="1"/>
  <c r="K488" i="3" s="1"/>
  <c r="AE488" i="3" s="1"/>
  <c r="AG488" i="3"/>
  <c r="D488" i="3"/>
  <c r="F488" i="3" l="1"/>
  <c r="G488" i="3"/>
  <c r="I488" i="3" s="1"/>
  <c r="V488" i="3"/>
  <c r="A489" i="3"/>
  <c r="B489" i="3" s="1"/>
  <c r="M488" i="3" l="1"/>
  <c r="N488" i="3" s="1"/>
  <c r="J488" i="3"/>
  <c r="L488" i="3" s="1"/>
  <c r="Z489" i="3"/>
  <c r="AC489" i="3"/>
  <c r="AA489" i="3"/>
  <c r="AD489" i="3"/>
  <c r="P489" i="3"/>
  <c r="Q489" i="3" s="1"/>
  <c r="R489" i="3" s="1"/>
  <c r="S489" i="3" s="1"/>
  <c r="W488" i="3"/>
  <c r="T489" i="3" l="1"/>
  <c r="AH489" i="3" s="1"/>
  <c r="U488" i="3"/>
  <c r="Y487" i="3"/>
  <c r="AG489" i="3" l="1"/>
  <c r="E489" i="3"/>
  <c r="H489" i="3" s="1"/>
  <c r="K489" i="3" s="1"/>
  <c r="AE489" i="3" s="1"/>
  <c r="D489" i="3"/>
  <c r="G489" i="3" s="1"/>
  <c r="F489" i="3" l="1"/>
  <c r="I489" i="3"/>
  <c r="J489" i="3"/>
  <c r="M489" i="3"/>
  <c r="N489" i="3" s="1"/>
  <c r="V489" i="3"/>
  <c r="A490" i="3"/>
  <c r="B490" i="3" s="1"/>
  <c r="W489" i="3" l="1"/>
  <c r="P490" i="3"/>
  <c r="Q490" i="3" s="1"/>
  <c r="R490" i="3" s="1"/>
  <c r="S490" i="3" s="1"/>
  <c r="AC490" i="3"/>
  <c r="AD490" i="3"/>
  <c r="AA490" i="3"/>
  <c r="Z490" i="3"/>
  <c r="L489" i="3"/>
  <c r="U489" i="3" l="1"/>
  <c r="Y488" i="3"/>
  <c r="T490" i="3"/>
  <c r="E490" i="3" l="1"/>
  <c r="H490" i="3" s="1"/>
  <c r="K490" i="3" s="1"/>
  <c r="AE490" i="3" s="1"/>
  <c r="AH490" i="3"/>
  <c r="AG490" i="3"/>
  <c r="D490" i="3"/>
  <c r="F490" i="3" l="1"/>
  <c r="G490" i="3"/>
  <c r="V490" i="3"/>
  <c r="A491" i="3"/>
  <c r="B491" i="3" s="1"/>
  <c r="AD491" i="3" l="1"/>
  <c r="P491" i="3"/>
  <c r="Q491" i="3" s="1"/>
  <c r="R491" i="3" s="1"/>
  <c r="S491" i="3" s="1"/>
  <c r="AC491" i="3"/>
  <c r="AA491" i="3"/>
  <c r="Z491" i="3"/>
  <c r="I490" i="3"/>
  <c r="W490" i="3" s="1"/>
  <c r="J490" i="3"/>
  <c r="M490" i="3"/>
  <c r="N490" i="3" s="1"/>
  <c r="L490" i="3" l="1"/>
  <c r="T491" i="3"/>
  <c r="AG491" i="3" l="1"/>
  <c r="U490" i="3"/>
  <c r="E491" i="3" s="1"/>
  <c r="H491" i="3" s="1"/>
  <c r="AH491" i="3"/>
  <c r="Y489" i="3"/>
  <c r="D491" i="3" l="1"/>
  <c r="F491" i="3" s="1"/>
  <c r="K491" i="3"/>
  <c r="AE491" i="3" s="1"/>
  <c r="G491" i="3" l="1"/>
  <c r="I491" i="3" s="1"/>
  <c r="V491" i="3"/>
  <c r="A492" i="3"/>
  <c r="B492" i="3" s="1"/>
  <c r="W491" i="3" l="1"/>
  <c r="M491" i="3"/>
  <c r="N491" i="3" s="1"/>
  <c r="J491" i="3"/>
  <c r="L491" i="3" s="1"/>
  <c r="Z492" i="3"/>
  <c r="P492" i="3"/>
  <c r="Q492" i="3" s="1"/>
  <c r="R492" i="3" s="1"/>
  <c r="S492" i="3" s="1"/>
  <c r="AA492" i="3"/>
  <c r="AD492" i="3"/>
  <c r="AC492" i="3"/>
  <c r="T492" i="3" l="1"/>
  <c r="AH492" i="3" s="1"/>
  <c r="U491" i="3"/>
  <c r="Y490" i="3"/>
  <c r="AG492" i="3" l="1"/>
  <c r="E492" i="3"/>
  <c r="H492" i="3" s="1"/>
  <c r="K492" i="3" s="1"/>
  <c r="AE492" i="3" s="1"/>
  <c r="D492" i="3"/>
  <c r="V492" i="3" l="1"/>
  <c r="A493" i="3"/>
  <c r="B493" i="3" s="1"/>
  <c r="F492" i="3"/>
  <c r="G492" i="3"/>
  <c r="AA493" i="3" l="1"/>
  <c r="P493" i="3"/>
  <c r="Q493" i="3" s="1"/>
  <c r="R493" i="3" s="1"/>
  <c r="S493" i="3" s="1"/>
  <c r="AD493" i="3"/>
  <c r="Z493" i="3"/>
  <c r="AC493" i="3"/>
  <c r="I492" i="3"/>
  <c r="W492" i="3" s="1"/>
  <c r="J492" i="3"/>
  <c r="M492" i="3"/>
  <c r="N492" i="3" s="1"/>
  <c r="T493" i="3" l="1"/>
  <c r="L492" i="3"/>
  <c r="AG493" i="3" l="1"/>
  <c r="AH493" i="3"/>
  <c r="U492" i="3"/>
  <c r="E493" i="3" s="1"/>
  <c r="H493" i="3" s="1"/>
  <c r="Y491" i="3"/>
  <c r="K493" i="3" l="1"/>
  <c r="AE493" i="3" s="1"/>
  <c r="D493" i="3"/>
  <c r="F493" i="3" l="1"/>
  <c r="G493" i="3"/>
  <c r="V493" i="3"/>
  <c r="A494" i="3"/>
  <c r="B494" i="3" s="1"/>
  <c r="AC494" i="3" l="1"/>
  <c r="P494" i="3"/>
  <c r="Q494" i="3" s="1"/>
  <c r="R494" i="3" s="1"/>
  <c r="S494" i="3" s="1"/>
  <c r="Z494" i="3"/>
  <c r="AA494" i="3"/>
  <c r="I493" i="3"/>
  <c r="W493" i="3" s="1"/>
  <c r="J493" i="3"/>
  <c r="M493" i="3"/>
  <c r="N493" i="3" s="1"/>
  <c r="L493" i="3" l="1"/>
  <c r="T494" i="3"/>
  <c r="AH494" i="3" l="1"/>
  <c r="AG494" i="3"/>
  <c r="U493" i="3"/>
  <c r="E494" i="3" s="1"/>
  <c r="H494" i="3" s="1"/>
  <c r="Y492" i="3"/>
  <c r="D494" i="3" l="1"/>
  <c r="F494" i="3" s="1"/>
  <c r="K494" i="3"/>
  <c r="AE494" i="3" s="1"/>
  <c r="G494" i="3" l="1"/>
  <c r="I494" i="3" s="1"/>
  <c r="V494" i="3"/>
  <c r="A495" i="3"/>
  <c r="B495" i="3" s="1"/>
  <c r="W494" i="3" l="1"/>
  <c r="J494" i="3"/>
  <c r="M494" i="3"/>
  <c r="N494" i="3" s="1"/>
  <c r="AC495" i="3"/>
  <c r="P495" i="3"/>
  <c r="Q495" i="3" s="1"/>
  <c r="R495" i="3" s="1"/>
  <c r="S495" i="3" s="1"/>
  <c r="Z495" i="3"/>
  <c r="AA495" i="3"/>
  <c r="AD495" i="3"/>
  <c r="L494" i="3" l="1"/>
  <c r="AD494" i="3"/>
  <c r="T495" i="3"/>
  <c r="AH495" i="3" s="1"/>
  <c r="U494" i="3"/>
  <c r="Y493" i="3"/>
  <c r="E495" i="3" l="1"/>
  <c r="H495" i="3" s="1"/>
  <c r="K495" i="3" s="1"/>
  <c r="AE495" i="3" s="1"/>
  <c r="D495" i="3"/>
  <c r="AG495" i="3"/>
  <c r="F495" i="3" l="1"/>
  <c r="G495" i="3"/>
  <c r="I495" i="3" s="1"/>
  <c r="V495" i="3"/>
  <c r="A496" i="3"/>
  <c r="B496" i="3" s="1"/>
  <c r="M495" i="3" l="1"/>
  <c r="N495" i="3" s="1"/>
  <c r="J495" i="3"/>
  <c r="L495" i="3" s="1"/>
  <c r="W495" i="3"/>
  <c r="AD496" i="3"/>
  <c r="Z496" i="3"/>
  <c r="AC496" i="3"/>
  <c r="AA496" i="3"/>
  <c r="P496" i="3"/>
  <c r="Q496" i="3" s="1"/>
  <c r="R496" i="3" s="1"/>
  <c r="S496" i="3" s="1"/>
  <c r="T496" i="3" l="1"/>
  <c r="AH496" i="3" s="1"/>
  <c r="U495" i="3"/>
  <c r="Y494" i="3"/>
  <c r="AG496" i="3" l="1"/>
  <c r="E496" i="3"/>
  <c r="H496" i="3" s="1"/>
  <c r="K496" i="3" s="1"/>
  <c r="AE496" i="3" s="1"/>
  <c r="D496" i="3"/>
  <c r="F496" i="3" l="1"/>
  <c r="G496" i="3"/>
  <c r="I496" i="3" s="1"/>
  <c r="V496" i="3"/>
  <c r="A497" i="3"/>
  <c r="B497" i="3" s="1"/>
  <c r="M496" i="3" l="1"/>
  <c r="N496" i="3" s="1"/>
  <c r="J496" i="3"/>
  <c r="L496" i="3" s="1"/>
  <c r="AC497" i="3"/>
  <c r="AA497" i="3"/>
  <c r="AD497" i="3"/>
  <c r="Z497" i="3"/>
  <c r="P497" i="3"/>
  <c r="Q497" i="3" s="1"/>
  <c r="R497" i="3" s="1"/>
  <c r="S497" i="3" s="1"/>
  <c r="W496" i="3"/>
  <c r="T497" i="3" l="1"/>
  <c r="AH497" i="3" s="1"/>
  <c r="U496" i="3"/>
  <c r="Y495" i="3"/>
  <c r="D497" i="3" l="1"/>
  <c r="G497" i="3" s="1"/>
  <c r="AG497" i="3"/>
  <c r="E497" i="3"/>
  <c r="H497" i="3" s="1"/>
  <c r="K497" i="3" s="1"/>
  <c r="AE497" i="3" s="1"/>
  <c r="F497" i="3" l="1"/>
  <c r="V497" i="3"/>
  <c r="A498" i="3"/>
  <c r="B498" i="3" s="1"/>
  <c r="I497" i="3"/>
  <c r="J497" i="3"/>
  <c r="M497" i="3"/>
  <c r="N497" i="3" s="1"/>
  <c r="AA498" i="3" l="1"/>
  <c r="P498" i="3"/>
  <c r="Q498" i="3" s="1"/>
  <c r="R498" i="3" s="1"/>
  <c r="S498" i="3" s="1"/>
  <c r="Z498" i="3"/>
  <c r="AC498" i="3"/>
  <c r="AD498" i="3"/>
  <c r="L497" i="3"/>
  <c r="W497" i="3"/>
  <c r="T498" i="3" l="1"/>
  <c r="AH498" i="3" s="1"/>
  <c r="U497" i="3"/>
  <c r="Y496" i="3"/>
  <c r="AG498" i="3" l="1"/>
  <c r="E498" i="3"/>
  <c r="H498" i="3" s="1"/>
  <c r="K498" i="3" s="1"/>
  <c r="AE498" i="3" s="1"/>
  <c r="D498" i="3"/>
  <c r="F498" i="3" l="1"/>
  <c r="G498" i="3"/>
  <c r="I498" i="3" s="1"/>
  <c r="V498" i="3"/>
  <c r="A499" i="3"/>
  <c r="B499" i="3" s="1"/>
  <c r="W498" i="3" l="1"/>
  <c r="M498" i="3"/>
  <c r="N498" i="3" s="1"/>
  <c r="J498" i="3"/>
  <c r="L498" i="3" s="1"/>
  <c r="AD499" i="3"/>
  <c r="AA499" i="3"/>
  <c r="Z499" i="3"/>
  <c r="AC499" i="3"/>
  <c r="P499" i="3"/>
  <c r="Q499" i="3" s="1"/>
  <c r="R499" i="3" s="1"/>
  <c r="S499" i="3" s="1"/>
  <c r="U498" i="3" l="1"/>
  <c r="Y497" i="3"/>
  <c r="T499" i="3"/>
  <c r="AH499" i="3" s="1"/>
  <c r="D499" i="3" l="1"/>
  <c r="AG499" i="3"/>
  <c r="E499" i="3"/>
  <c r="H499" i="3" s="1"/>
  <c r="K499" i="3" l="1"/>
  <c r="AE499" i="3" s="1"/>
  <c r="F499" i="3"/>
  <c r="G499" i="3"/>
  <c r="I499" i="3" l="1"/>
  <c r="J499" i="3"/>
  <c r="M499" i="3"/>
  <c r="N499" i="3" s="1"/>
  <c r="V499" i="3"/>
  <c r="A500" i="3"/>
  <c r="B500" i="3" s="1"/>
  <c r="W499" i="3" l="1"/>
  <c r="Z500" i="3"/>
  <c r="P500" i="3"/>
  <c r="Q500" i="3" s="1"/>
  <c r="R500" i="3" s="1"/>
  <c r="S500" i="3" s="1"/>
  <c r="AC500" i="3"/>
  <c r="AD500" i="3"/>
  <c r="AA500" i="3"/>
  <c r="L499" i="3"/>
  <c r="T500" i="3" l="1"/>
  <c r="AG500" i="3" s="1"/>
  <c r="U499" i="3"/>
  <c r="Y498" i="3"/>
  <c r="D500" i="3" l="1"/>
  <c r="G500" i="3" s="1"/>
  <c r="AH500" i="3"/>
  <c r="E500" i="3"/>
  <c r="H500" i="3" s="1"/>
  <c r="K500" i="3" s="1"/>
  <c r="AE500" i="3" s="1"/>
  <c r="F500" i="3" l="1"/>
  <c r="I500" i="3"/>
  <c r="J500" i="3"/>
  <c r="M500" i="3"/>
  <c r="N500" i="3" s="1"/>
  <c r="V500" i="3"/>
  <c r="A501" i="3"/>
  <c r="B501" i="3" s="1"/>
  <c r="W500" i="3" l="1"/>
  <c r="Z501" i="3"/>
  <c r="AD501" i="3"/>
  <c r="AA501" i="3"/>
  <c r="P501" i="3"/>
  <c r="Q501" i="3" s="1"/>
  <c r="R501" i="3" s="1"/>
  <c r="S501" i="3" s="1"/>
  <c r="AC501" i="3"/>
  <c r="L500" i="3"/>
  <c r="T501" i="3" l="1"/>
  <c r="AH501" i="3" s="1"/>
  <c r="U500" i="3"/>
  <c r="Y499" i="3"/>
  <c r="D501" i="3" l="1"/>
  <c r="G501" i="3" s="1"/>
  <c r="E501" i="3"/>
  <c r="H501" i="3" s="1"/>
  <c r="K501" i="3" s="1"/>
  <c r="AE501" i="3" s="1"/>
  <c r="AG501" i="3"/>
  <c r="F501" i="3" l="1"/>
  <c r="I501" i="3"/>
  <c r="J501" i="3"/>
  <c r="M501" i="3"/>
  <c r="N501" i="3" s="1"/>
  <c r="V501" i="3"/>
  <c r="A502" i="3"/>
  <c r="B502" i="3" s="1"/>
  <c r="W501" i="3" l="1"/>
  <c r="L501" i="3"/>
  <c r="AA502" i="3"/>
  <c r="AC502" i="3"/>
  <c r="Z502" i="3"/>
  <c r="AD502" i="3"/>
  <c r="P502" i="3"/>
  <c r="Q502" i="3" s="1"/>
  <c r="R502" i="3" s="1"/>
  <c r="S502" i="3" s="1"/>
  <c r="T502" i="3" l="1"/>
  <c r="AG502" i="3" s="1"/>
  <c r="U501" i="3"/>
  <c r="Y500" i="3"/>
  <c r="E502" i="3" l="1"/>
  <c r="H502" i="3" s="1"/>
  <c r="K502" i="3" s="1"/>
  <c r="AE502" i="3" s="1"/>
  <c r="D502" i="3"/>
  <c r="AH502" i="3"/>
  <c r="F502" i="3" l="1"/>
  <c r="G502" i="3"/>
  <c r="M502" i="3" s="1"/>
  <c r="N502" i="3" s="1"/>
  <c r="V502" i="3"/>
  <c r="A503" i="3"/>
  <c r="B503" i="3" s="1"/>
  <c r="J502" i="3" l="1"/>
  <c r="L502" i="3" s="1"/>
  <c r="I502" i="3"/>
  <c r="W502" i="3" s="1"/>
  <c r="Z503" i="3"/>
  <c r="AC503" i="3"/>
  <c r="AA503" i="3"/>
  <c r="AD503" i="3"/>
  <c r="P503" i="3"/>
  <c r="Q503" i="3" s="1"/>
  <c r="R503" i="3" s="1"/>
  <c r="S503" i="3" s="1"/>
  <c r="T503" i="3" l="1"/>
  <c r="AH503" i="3" s="1"/>
  <c r="U502" i="3"/>
  <c r="Y501" i="3"/>
  <c r="E503" i="3" l="1"/>
  <c r="H503" i="3" s="1"/>
  <c r="K503" i="3" s="1"/>
  <c r="AE503" i="3" s="1"/>
  <c r="AG503" i="3"/>
  <c r="D503" i="3"/>
  <c r="F503" i="3" l="1"/>
  <c r="G503" i="3"/>
  <c r="I503" i="3" s="1"/>
  <c r="V503" i="3"/>
  <c r="A504" i="3"/>
  <c r="B504" i="3" s="1"/>
  <c r="M503" i="3" l="1"/>
  <c r="N503" i="3" s="1"/>
  <c r="J503" i="3"/>
  <c r="L503" i="3" s="1"/>
  <c r="W503" i="3"/>
  <c r="AC504" i="3"/>
  <c r="Z504" i="3"/>
  <c r="P504" i="3"/>
  <c r="Q504" i="3" s="1"/>
  <c r="R504" i="3" s="1"/>
  <c r="S504" i="3" s="1"/>
  <c r="AA504" i="3"/>
  <c r="U503" i="3" l="1"/>
  <c r="Y502" i="3"/>
  <c r="T504" i="3"/>
  <c r="E504" i="3" l="1"/>
  <c r="H504" i="3" s="1"/>
  <c r="K504" i="3" s="1"/>
  <c r="AE504" i="3" s="1"/>
  <c r="AH504" i="3"/>
  <c r="AG504" i="3"/>
  <c r="D504" i="3"/>
  <c r="F504" i="3" l="1"/>
  <c r="G504" i="3"/>
  <c r="V504" i="3"/>
  <c r="A505" i="3"/>
  <c r="B505" i="3" s="1"/>
  <c r="P505" i="3" l="1"/>
  <c r="Q505" i="3" s="1"/>
  <c r="R505" i="3" s="1"/>
  <c r="S505" i="3" s="1"/>
  <c r="AD505" i="3"/>
  <c r="AA505" i="3"/>
  <c r="Z505" i="3"/>
  <c r="AC505" i="3"/>
  <c r="I504" i="3"/>
  <c r="W504" i="3" s="1"/>
  <c r="J504" i="3"/>
  <c r="AD504" i="3" s="1"/>
  <c r="M504" i="3"/>
  <c r="N504" i="3" s="1"/>
  <c r="L504" i="3" l="1"/>
  <c r="T505" i="3"/>
  <c r="AG505" i="3" l="1"/>
  <c r="AH505" i="3"/>
  <c r="U504" i="3"/>
  <c r="E505" i="3" s="1"/>
  <c r="H505" i="3" s="1"/>
  <c r="Y503" i="3"/>
  <c r="K505" i="3" l="1"/>
  <c r="AE505" i="3" s="1"/>
  <c r="D505" i="3"/>
  <c r="F505" i="3" l="1"/>
  <c r="G505" i="3"/>
  <c r="V505" i="3"/>
  <c r="A506" i="3"/>
  <c r="B506" i="3" s="1"/>
  <c r="Z506" i="3" l="1"/>
  <c r="AC506" i="3"/>
  <c r="P506" i="3"/>
  <c r="Q506" i="3" s="1"/>
  <c r="R506" i="3" s="1"/>
  <c r="S506" i="3" s="1"/>
  <c r="AD506" i="3"/>
  <c r="AA506" i="3"/>
  <c r="I505" i="3"/>
  <c r="W505" i="3" s="1"/>
  <c r="J505" i="3"/>
  <c r="M505" i="3"/>
  <c r="N505" i="3" s="1"/>
  <c r="T506" i="3" l="1"/>
  <c r="L505" i="3"/>
  <c r="U505" i="3" l="1"/>
  <c r="D506" i="3" s="1"/>
  <c r="AH506" i="3"/>
  <c r="AG506" i="3"/>
  <c r="Y504" i="3"/>
  <c r="E506" i="3" l="1"/>
  <c r="H506" i="3" s="1"/>
  <c r="K506" i="3" s="1"/>
  <c r="AE506" i="3" s="1"/>
  <c r="G506" i="3"/>
  <c r="F506" i="3" l="1"/>
  <c r="V506" i="3"/>
  <c r="A507" i="3"/>
  <c r="B507" i="3" s="1"/>
  <c r="I506" i="3"/>
  <c r="J506" i="3"/>
  <c r="M506" i="3"/>
  <c r="N506" i="3" s="1"/>
  <c r="L506" i="3" l="1"/>
  <c r="Z507" i="3"/>
  <c r="AD507" i="3"/>
  <c r="P507" i="3"/>
  <c r="Q507" i="3" s="1"/>
  <c r="R507" i="3" s="1"/>
  <c r="S507" i="3" s="1"/>
  <c r="AA507" i="3"/>
  <c r="AC507" i="3"/>
  <c r="W506" i="3"/>
  <c r="T507" i="3" l="1"/>
  <c r="AG507" i="3" s="1"/>
  <c r="U506" i="3"/>
  <c r="Y505" i="3"/>
  <c r="AH507" i="3" l="1"/>
  <c r="E507" i="3"/>
  <c r="H507" i="3" s="1"/>
  <c r="D507" i="3"/>
  <c r="K507" i="3" l="1"/>
  <c r="AE507" i="3" s="1"/>
  <c r="F507" i="3"/>
  <c r="G507" i="3"/>
  <c r="I507" i="3" l="1"/>
  <c r="J507" i="3"/>
  <c r="M507" i="3"/>
  <c r="N507" i="3" s="1"/>
  <c r="V507" i="3"/>
  <c r="A508" i="3"/>
  <c r="B508" i="3" s="1"/>
  <c r="W507" i="3" l="1"/>
  <c r="Z508" i="3"/>
  <c r="AC508" i="3"/>
  <c r="P508" i="3"/>
  <c r="Q508" i="3" s="1"/>
  <c r="R508" i="3" s="1"/>
  <c r="S508" i="3" s="1"/>
  <c r="AA508" i="3"/>
  <c r="AD508" i="3"/>
  <c r="L507" i="3"/>
  <c r="T508" i="3" l="1"/>
  <c r="AH508" i="3" s="1"/>
  <c r="U507" i="3"/>
  <c r="Y506" i="3"/>
  <c r="D508" i="3" l="1"/>
  <c r="G508" i="3" s="1"/>
  <c r="AG508" i="3"/>
  <c r="E508" i="3"/>
  <c r="H508" i="3" s="1"/>
  <c r="K508" i="3" l="1"/>
  <c r="AE508" i="3" s="1"/>
  <c r="I508" i="3"/>
  <c r="J508" i="3"/>
  <c r="M508" i="3"/>
  <c r="N508" i="3" s="1"/>
  <c r="F508" i="3"/>
  <c r="L508" i="3" l="1"/>
  <c r="V508" i="3"/>
  <c r="W508" i="3" s="1"/>
  <c r="A509" i="3"/>
  <c r="B509" i="3" s="1"/>
  <c r="P509" i="3" l="1"/>
  <c r="Q509" i="3" s="1"/>
  <c r="R509" i="3" s="1"/>
  <c r="S509" i="3" s="1"/>
  <c r="Z509" i="3"/>
  <c r="AC509" i="3"/>
  <c r="AD509" i="3"/>
  <c r="AA509" i="3"/>
  <c r="U508" i="3"/>
  <c r="Y507" i="3"/>
  <c r="T509" i="3" l="1"/>
  <c r="D509" i="3" l="1"/>
  <c r="AH509" i="3"/>
  <c r="E509" i="3"/>
  <c r="H509" i="3" s="1"/>
  <c r="AG509" i="3"/>
  <c r="K509" i="3" l="1"/>
  <c r="AE509" i="3" s="1"/>
  <c r="F509" i="3"/>
  <c r="G509" i="3"/>
  <c r="I509" i="3" l="1"/>
  <c r="J509" i="3"/>
  <c r="M509" i="3"/>
  <c r="N509" i="3" s="1"/>
  <c r="V509" i="3"/>
  <c r="A510" i="3"/>
  <c r="B510" i="3" s="1"/>
  <c r="W509" i="3" l="1"/>
  <c r="L509" i="3"/>
  <c r="AD510" i="3"/>
  <c r="P510" i="3"/>
  <c r="Q510" i="3" s="1"/>
  <c r="R510" i="3" s="1"/>
  <c r="S510" i="3" s="1"/>
  <c r="AC510" i="3"/>
  <c r="Z510" i="3"/>
  <c r="AA510" i="3"/>
  <c r="T510" i="3" l="1"/>
  <c r="AG510" i="3" s="1"/>
  <c r="U509" i="3"/>
  <c r="Y508" i="3"/>
  <c r="D510" i="3" l="1"/>
  <c r="G510" i="3" s="1"/>
  <c r="AH510" i="3"/>
  <c r="E510" i="3"/>
  <c r="H510" i="3" s="1"/>
  <c r="K510" i="3" s="1"/>
  <c r="AE510" i="3" s="1"/>
  <c r="F510" i="3" l="1"/>
  <c r="V510" i="3"/>
  <c r="A511" i="3"/>
  <c r="B511" i="3" s="1"/>
  <c r="I510" i="3"/>
  <c r="J510" i="3"/>
  <c r="M510" i="3"/>
  <c r="N510" i="3" s="1"/>
  <c r="L510" i="3" l="1"/>
  <c r="AC511" i="3"/>
  <c r="P511" i="3"/>
  <c r="Q511" i="3" s="1"/>
  <c r="R511" i="3" s="1"/>
  <c r="S511" i="3" s="1"/>
  <c r="Z511" i="3"/>
  <c r="AD511" i="3"/>
  <c r="AA511" i="3"/>
  <c r="W510" i="3"/>
  <c r="T511" i="3" l="1"/>
  <c r="AG511" i="3" s="1"/>
  <c r="U510" i="3"/>
  <c r="Y509" i="3"/>
  <c r="AH511" i="3" l="1"/>
  <c r="E511" i="3"/>
  <c r="H511" i="3" s="1"/>
  <c r="K511" i="3" s="1"/>
  <c r="AE511" i="3" s="1"/>
  <c r="D511" i="3"/>
  <c r="F511" i="3" l="1"/>
  <c r="G511" i="3"/>
  <c r="J511" i="3" s="1"/>
  <c r="V511" i="3"/>
  <c r="A512" i="3"/>
  <c r="B512" i="3" s="1"/>
  <c r="M511" i="3" l="1"/>
  <c r="N511" i="3" s="1"/>
  <c r="I511" i="3"/>
  <c r="W511" i="3" s="1"/>
  <c r="Z512" i="3"/>
  <c r="AA512" i="3"/>
  <c r="AD512" i="3"/>
  <c r="AC512" i="3"/>
  <c r="P512" i="3"/>
  <c r="Q512" i="3" s="1"/>
  <c r="R512" i="3" s="1"/>
  <c r="S512" i="3" s="1"/>
  <c r="L511" i="3"/>
  <c r="T512" i="3" l="1"/>
  <c r="AH512" i="3" s="1"/>
  <c r="U511" i="3"/>
  <c r="Y510" i="3"/>
  <c r="E512" i="3" l="1"/>
  <c r="H512" i="3" s="1"/>
  <c r="K512" i="3" s="1"/>
  <c r="AE512" i="3" s="1"/>
  <c r="AG512" i="3"/>
  <c r="D512" i="3"/>
  <c r="G512" i="3" s="1"/>
  <c r="F512" i="3" l="1"/>
  <c r="V512" i="3"/>
  <c r="A513" i="3"/>
  <c r="B513" i="3" s="1"/>
  <c r="I512" i="3"/>
  <c r="J512" i="3"/>
  <c r="M512" i="3"/>
  <c r="N512" i="3" s="1"/>
  <c r="L512" i="3" l="1"/>
  <c r="Z513" i="3"/>
  <c r="AD513" i="3"/>
  <c r="AC513" i="3"/>
  <c r="AA513" i="3"/>
  <c r="P513" i="3"/>
  <c r="Q513" i="3" s="1"/>
  <c r="R513" i="3" s="1"/>
  <c r="S513" i="3" s="1"/>
  <c r="W512" i="3"/>
  <c r="T513" i="3" l="1"/>
  <c r="AG513" i="3" s="1"/>
  <c r="U512" i="3"/>
  <c r="Y511" i="3"/>
  <c r="E513" i="3" l="1"/>
  <c r="H513" i="3" s="1"/>
  <c r="K513" i="3" s="1"/>
  <c r="AE513" i="3" s="1"/>
  <c r="AH513" i="3"/>
  <c r="D513" i="3"/>
  <c r="F513" i="3" l="1"/>
  <c r="G513" i="3"/>
  <c r="I513" i="3" s="1"/>
  <c r="V513" i="3"/>
  <c r="A514" i="3"/>
  <c r="B514" i="3" s="1"/>
  <c r="M513" i="3" l="1"/>
  <c r="N513" i="3" s="1"/>
  <c r="J513" i="3"/>
  <c r="L513" i="3" s="1"/>
  <c r="W513" i="3"/>
  <c r="AA514" i="3"/>
  <c r="AC514" i="3"/>
  <c r="Z514" i="3"/>
  <c r="P514" i="3"/>
  <c r="Q514" i="3" s="1"/>
  <c r="R514" i="3" s="1"/>
  <c r="S514" i="3" s="1"/>
  <c r="T514" i="3" l="1"/>
  <c r="AG514" i="3" s="1"/>
  <c r="U513" i="3"/>
  <c r="Y512" i="3"/>
  <c r="E514" i="3" l="1"/>
  <c r="H514" i="3" s="1"/>
  <c r="K514" i="3" s="1"/>
  <c r="AE514" i="3" s="1"/>
  <c r="AH514" i="3"/>
  <c r="D514" i="3"/>
  <c r="F514" i="3" l="1"/>
  <c r="G514" i="3"/>
  <c r="I514" i="3" s="1"/>
  <c r="V514" i="3"/>
  <c r="A515" i="3"/>
  <c r="B515" i="3" s="1"/>
  <c r="M514" i="3" l="1"/>
  <c r="N514" i="3" s="1"/>
  <c r="J514" i="3"/>
  <c r="AD514" i="3" s="1"/>
  <c r="W514" i="3"/>
  <c r="Z515" i="3"/>
  <c r="AA515" i="3"/>
  <c r="AD515" i="3"/>
  <c r="AC515" i="3"/>
  <c r="P515" i="3"/>
  <c r="Q515" i="3" s="1"/>
  <c r="R515" i="3" s="1"/>
  <c r="S515" i="3" s="1"/>
  <c r="L514" i="3" l="1"/>
  <c r="U514" i="3" s="1"/>
  <c r="T515" i="3"/>
  <c r="E515" i="3" l="1"/>
  <c r="H515" i="3" s="1"/>
  <c r="K515" i="3" s="1"/>
  <c r="AE515" i="3" s="1"/>
  <c r="AH515" i="3"/>
  <c r="AG515" i="3"/>
  <c r="Y513" i="3"/>
  <c r="D515" i="3"/>
  <c r="F515" i="3" l="1"/>
  <c r="G515" i="3"/>
  <c r="I515" i="3" s="1"/>
  <c r="V515" i="3"/>
  <c r="A516" i="3"/>
  <c r="B516" i="3" s="1"/>
  <c r="W515" i="3" l="1"/>
  <c r="M515" i="3"/>
  <c r="N515" i="3" s="1"/>
  <c r="J515" i="3"/>
  <c r="L515" i="3" s="1"/>
  <c r="AD516" i="3"/>
  <c r="AA516" i="3"/>
  <c r="P516" i="3"/>
  <c r="Q516" i="3" s="1"/>
  <c r="R516" i="3" s="1"/>
  <c r="S516" i="3" s="1"/>
  <c r="Z516" i="3"/>
  <c r="AC516" i="3"/>
  <c r="T516" i="3" l="1"/>
  <c r="AG516" i="3" s="1"/>
  <c r="U515" i="3"/>
  <c r="Y514" i="3"/>
  <c r="AH516" i="3" l="1"/>
  <c r="E516" i="3"/>
  <c r="H516" i="3" s="1"/>
  <c r="K516" i="3" s="1"/>
  <c r="AE516" i="3" s="1"/>
  <c r="D516" i="3"/>
  <c r="F516" i="3" l="1"/>
  <c r="G516" i="3"/>
  <c r="V516" i="3"/>
  <c r="A517" i="3"/>
  <c r="B517" i="3" s="1"/>
  <c r="AC517" i="3" l="1"/>
  <c r="P517" i="3"/>
  <c r="Q517" i="3" s="1"/>
  <c r="R517" i="3" s="1"/>
  <c r="S517" i="3" s="1"/>
  <c r="AA517" i="3"/>
  <c r="Z517" i="3"/>
  <c r="AD517" i="3"/>
  <c r="I516" i="3"/>
  <c r="W516" i="3" s="1"/>
  <c r="J516" i="3"/>
  <c r="M516" i="3"/>
  <c r="N516" i="3" s="1"/>
  <c r="T517" i="3" l="1"/>
  <c r="L516" i="3"/>
  <c r="AG517" i="3" l="1"/>
  <c r="U516" i="3"/>
  <c r="E517" i="3" s="1"/>
  <c r="H517" i="3" s="1"/>
  <c r="AH517" i="3"/>
  <c r="Y515" i="3"/>
  <c r="D517" i="3" l="1"/>
  <c r="F517" i="3" s="1"/>
  <c r="K517" i="3"/>
  <c r="AE517" i="3" s="1"/>
  <c r="G517" i="3" l="1"/>
  <c r="I517" i="3" s="1"/>
  <c r="V517" i="3"/>
  <c r="A518" i="3"/>
  <c r="B518" i="3" s="1"/>
  <c r="M517" i="3" l="1"/>
  <c r="N517" i="3" s="1"/>
  <c r="J517" i="3"/>
  <c r="L517" i="3" s="1"/>
  <c r="W517" i="3"/>
  <c r="AC518" i="3"/>
  <c r="P518" i="3"/>
  <c r="Q518" i="3" s="1"/>
  <c r="R518" i="3" s="1"/>
  <c r="S518" i="3" s="1"/>
  <c r="AA518" i="3"/>
  <c r="Z518" i="3"/>
  <c r="AD518" i="3"/>
  <c r="T518" i="3" l="1"/>
  <c r="AG518" i="3" s="1"/>
  <c r="U517" i="3"/>
  <c r="Y516" i="3"/>
  <c r="E518" i="3" l="1"/>
  <c r="H518" i="3" s="1"/>
  <c r="K518" i="3" s="1"/>
  <c r="AE518" i="3" s="1"/>
  <c r="AH518" i="3"/>
  <c r="D518" i="3"/>
  <c r="F518" i="3" l="1"/>
  <c r="G518" i="3"/>
  <c r="M518" i="3" s="1"/>
  <c r="N518" i="3" s="1"/>
  <c r="V518" i="3"/>
  <c r="A519" i="3"/>
  <c r="B519" i="3" s="1"/>
  <c r="J518" i="3" l="1"/>
  <c r="L518" i="3" s="1"/>
  <c r="I518" i="3"/>
  <c r="W518" i="3" s="1"/>
  <c r="AA519" i="3"/>
  <c r="Z519" i="3"/>
  <c r="AD519" i="3"/>
  <c r="AC519" i="3"/>
  <c r="P519" i="3"/>
  <c r="Q519" i="3" s="1"/>
  <c r="R519" i="3" s="1"/>
  <c r="S519" i="3" s="1"/>
  <c r="T519" i="3" l="1"/>
  <c r="AG519" i="3" s="1"/>
  <c r="U518" i="3"/>
  <c r="Y517" i="3"/>
  <c r="E519" i="3" l="1"/>
  <c r="H519" i="3" s="1"/>
  <c r="K519" i="3" s="1"/>
  <c r="AE519" i="3" s="1"/>
  <c r="D519" i="3"/>
  <c r="AH519" i="3"/>
  <c r="F519" i="3" l="1"/>
  <c r="G519" i="3"/>
  <c r="I519" i="3" s="1"/>
  <c r="V519" i="3"/>
  <c r="A520" i="3"/>
  <c r="B520" i="3" s="1"/>
  <c r="W519" i="3" l="1"/>
  <c r="M519" i="3"/>
  <c r="N519" i="3" s="1"/>
  <c r="J519" i="3"/>
  <c r="L519" i="3" s="1"/>
  <c r="P520" i="3"/>
  <c r="Q520" i="3" s="1"/>
  <c r="R520" i="3" s="1"/>
  <c r="S520" i="3" s="1"/>
  <c r="AC520" i="3"/>
  <c r="Z520" i="3"/>
  <c r="AA520" i="3"/>
  <c r="AD520" i="3"/>
  <c r="U519" i="3" l="1"/>
  <c r="Y518" i="3"/>
  <c r="T520" i="3"/>
  <c r="AG520" i="3" s="1"/>
  <c r="AH520" i="3" l="1"/>
  <c r="D520" i="3"/>
  <c r="G520" i="3" s="1"/>
  <c r="E520" i="3"/>
  <c r="H520" i="3" s="1"/>
  <c r="K520" i="3" s="1"/>
  <c r="AE520" i="3" s="1"/>
  <c r="F520" i="3" l="1"/>
  <c r="V520" i="3"/>
  <c r="A521" i="3"/>
  <c r="B521" i="3" s="1"/>
  <c r="I520" i="3"/>
  <c r="J520" i="3"/>
  <c r="M520" i="3"/>
  <c r="N520" i="3" s="1"/>
  <c r="L520" i="3" l="1"/>
  <c r="Z521" i="3"/>
  <c r="AC521" i="3"/>
  <c r="P521" i="3"/>
  <c r="Q521" i="3" s="1"/>
  <c r="R521" i="3" s="1"/>
  <c r="S521" i="3" s="1"/>
  <c r="AD521" i="3"/>
  <c r="AA521" i="3"/>
  <c r="W520" i="3"/>
  <c r="T521" i="3" l="1"/>
  <c r="AG521" i="3" s="1"/>
  <c r="U520" i="3"/>
  <c r="Y519" i="3"/>
  <c r="E521" i="3" l="1"/>
  <c r="H521" i="3" s="1"/>
  <c r="K521" i="3" s="1"/>
  <c r="AE521" i="3" s="1"/>
  <c r="AH521" i="3"/>
  <c r="D521" i="3"/>
  <c r="F521" i="3" l="1"/>
  <c r="G521" i="3"/>
  <c r="I521" i="3" s="1"/>
  <c r="V521" i="3"/>
  <c r="A522" i="3"/>
  <c r="B522" i="3" s="1"/>
  <c r="M521" i="3" l="1"/>
  <c r="N521" i="3" s="1"/>
  <c r="J521" i="3"/>
  <c r="L521" i="3" s="1"/>
  <c r="W521" i="3"/>
  <c r="AA522" i="3"/>
  <c r="Z522" i="3"/>
  <c r="AD522" i="3"/>
  <c r="AC522" i="3"/>
  <c r="P522" i="3"/>
  <c r="Q522" i="3" s="1"/>
  <c r="R522" i="3" s="1"/>
  <c r="S522" i="3" s="1"/>
  <c r="T522" i="3" l="1"/>
  <c r="AH522" i="3" s="1"/>
  <c r="U521" i="3"/>
  <c r="Y520" i="3"/>
  <c r="D522" i="3" l="1"/>
  <c r="G522" i="3" s="1"/>
  <c r="AG522" i="3"/>
  <c r="E522" i="3"/>
  <c r="H522" i="3" s="1"/>
  <c r="K522" i="3" s="1"/>
  <c r="AE522" i="3" s="1"/>
  <c r="F522" i="3" l="1"/>
  <c r="V522" i="3"/>
  <c r="A523" i="3"/>
  <c r="B523" i="3" s="1"/>
  <c r="I522" i="3"/>
  <c r="J522" i="3"/>
  <c r="M522" i="3"/>
  <c r="N522" i="3" s="1"/>
  <c r="AD523" i="3" l="1"/>
  <c r="P523" i="3"/>
  <c r="Q523" i="3" s="1"/>
  <c r="R523" i="3" s="1"/>
  <c r="S523" i="3" s="1"/>
  <c r="Z523" i="3"/>
  <c r="AC523" i="3"/>
  <c r="AA523" i="3"/>
  <c r="L522" i="3"/>
  <c r="W522" i="3"/>
  <c r="T523" i="3" l="1"/>
  <c r="AH523" i="3" s="1"/>
  <c r="U522" i="3"/>
  <c r="Y521" i="3"/>
  <c r="AG523" i="3" l="1"/>
  <c r="D523" i="3"/>
  <c r="G523" i="3" s="1"/>
  <c r="E523" i="3"/>
  <c r="H523" i="3" s="1"/>
  <c r="K523" i="3" s="1"/>
  <c r="AE523" i="3" s="1"/>
  <c r="F523" i="3" l="1"/>
  <c r="I523" i="3"/>
  <c r="J523" i="3"/>
  <c r="M523" i="3"/>
  <c r="N523" i="3" s="1"/>
  <c r="V523" i="3"/>
  <c r="A524" i="3"/>
  <c r="B524" i="3" s="1"/>
  <c r="W523" i="3" l="1"/>
  <c r="AA524" i="3"/>
  <c r="Z524" i="3"/>
  <c r="AC524" i="3"/>
  <c r="P524" i="3"/>
  <c r="Q524" i="3" s="1"/>
  <c r="R524" i="3" s="1"/>
  <c r="S524" i="3" s="1"/>
  <c r="L523" i="3"/>
  <c r="T524" i="3" l="1"/>
  <c r="AH524" i="3" s="1"/>
  <c r="U523" i="3"/>
  <c r="Y522" i="3"/>
  <c r="D524" i="3" l="1"/>
  <c r="G524" i="3" s="1"/>
  <c r="AG524" i="3"/>
  <c r="E524" i="3"/>
  <c r="H524" i="3" s="1"/>
  <c r="K524" i="3" s="1"/>
  <c r="AE524" i="3" s="1"/>
  <c r="F524" i="3" l="1"/>
  <c r="V524" i="3"/>
  <c r="A525" i="3"/>
  <c r="B525" i="3" s="1"/>
  <c r="I524" i="3"/>
  <c r="J524" i="3"/>
  <c r="AD524" i="3" s="1"/>
  <c r="M524" i="3"/>
  <c r="N524" i="3" s="1"/>
  <c r="L524" i="3" l="1"/>
  <c r="AC525" i="3"/>
  <c r="AA525" i="3"/>
  <c r="AD525" i="3"/>
  <c r="Z525" i="3"/>
  <c r="P525" i="3"/>
  <c r="Q525" i="3" s="1"/>
  <c r="R525" i="3" s="1"/>
  <c r="S525" i="3" s="1"/>
  <c r="W524" i="3"/>
  <c r="T525" i="3" l="1"/>
  <c r="AG525" i="3" s="1"/>
  <c r="U524" i="3"/>
  <c r="Y523" i="3"/>
  <c r="D525" i="3" l="1"/>
  <c r="G525" i="3" s="1"/>
  <c r="AH525" i="3"/>
  <c r="E525" i="3"/>
  <c r="H525" i="3" s="1"/>
  <c r="K525" i="3" s="1"/>
  <c r="AE525" i="3" s="1"/>
  <c r="F525" i="3" l="1"/>
  <c r="V525" i="3"/>
  <c r="A526" i="3"/>
  <c r="B526" i="3" s="1"/>
  <c r="I525" i="3"/>
  <c r="J525" i="3"/>
  <c r="M525" i="3"/>
  <c r="N525" i="3" s="1"/>
  <c r="P526" i="3" l="1"/>
  <c r="Q526" i="3" s="1"/>
  <c r="R526" i="3" s="1"/>
  <c r="S526" i="3" s="1"/>
  <c r="AA526" i="3"/>
  <c r="Z526" i="3"/>
  <c r="AD526" i="3"/>
  <c r="AC526" i="3"/>
  <c r="L525" i="3"/>
  <c r="W525" i="3"/>
  <c r="U525" i="3" l="1"/>
  <c r="Y524" i="3"/>
  <c r="T526" i="3"/>
  <c r="D526" i="3" l="1"/>
  <c r="G526" i="3" s="1"/>
  <c r="E526" i="3"/>
  <c r="H526" i="3" s="1"/>
  <c r="AG526" i="3"/>
  <c r="AH526" i="3"/>
  <c r="I526" i="3" l="1"/>
  <c r="J526" i="3"/>
  <c r="M526" i="3"/>
  <c r="N526" i="3" s="1"/>
  <c r="K526" i="3"/>
  <c r="AE526" i="3" s="1"/>
  <c r="F526" i="3"/>
  <c r="V526" i="3" l="1"/>
  <c r="W526" i="3" s="1"/>
  <c r="A527" i="3"/>
  <c r="B527" i="3" s="1"/>
  <c r="L526" i="3"/>
  <c r="U526" i="3" l="1"/>
  <c r="Y525" i="3"/>
  <c r="AA527" i="3"/>
  <c r="P527" i="3"/>
  <c r="Q527" i="3" s="1"/>
  <c r="R527" i="3" s="1"/>
  <c r="S527" i="3" s="1"/>
  <c r="AD527" i="3"/>
  <c r="Z527" i="3"/>
  <c r="AC527" i="3"/>
  <c r="T527" i="3" l="1"/>
  <c r="E527" i="3" s="1"/>
  <c r="H527" i="3" s="1"/>
  <c r="D527" i="3" l="1"/>
  <c r="F527" i="3" s="1"/>
  <c r="K527" i="3"/>
  <c r="AE527" i="3" s="1"/>
  <c r="AH527" i="3"/>
  <c r="AG527" i="3"/>
  <c r="G527" i="3" l="1"/>
  <c r="I527" i="3" s="1"/>
  <c r="V527" i="3"/>
  <c r="A528" i="3"/>
  <c r="B528" i="3" s="1"/>
  <c r="M527" i="3" l="1"/>
  <c r="N527" i="3" s="1"/>
  <c r="J527" i="3"/>
  <c r="L527" i="3" s="1"/>
  <c r="W527" i="3"/>
  <c r="AC528" i="3"/>
  <c r="AD528" i="3"/>
  <c r="AA528" i="3"/>
  <c r="Z528" i="3"/>
  <c r="P528" i="3"/>
  <c r="Q528" i="3" s="1"/>
  <c r="R528" i="3" s="1"/>
  <c r="S528" i="3" s="1"/>
  <c r="T528" i="3" l="1"/>
  <c r="AH528" i="3" s="1"/>
  <c r="U527" i="3"/>
  <c r="Y526" i="3"/>
  <c r="D528" i="3" l="1"/>
  <c r="G528" i="3" s="1"/>
  <c r="AG528" i="3"/>
  <c r="E528" i="3"/>
  <c r="H528" i="3" s="1"/>
  <c r="K528" i="3" s="1"/>
  <c r="AE528" i="3" s="1"/>
  <c r="F528" i="3" l="1"/>
  <c r="V528" i="3"/>
  <c r="A529" i="3"/>
  <c r="B529" i="3" s="1"/>
  <c r="I528" i="3"/>
  <c r="J528" i="3"/>
  <c r="M528" i="3"/>
  <c r="N528" i="3" s="1"/>
  <c r="AA529" i="3" l="1"/>
  <c r="P529" i="3"/>
  <c r="Q529" i="3" s="1"/>
  <c r="R529" i="3" s="1"/>
  <c r="S529" i="3" s="1"/>
  <c r="AD529" i="3"/>
  <c r="AC529" i="3"/>
  <c r="Z529" i="3"/>
  <c r="L528" i="3"/>
  <c r="W528" i="3"/>
  <c r="T529" i="3" l="1"/>
  <c r="AG529" i="3" s="1"/>
  <c r="U528" i="3"/>
  <c r="Y527" i="3"/>
  <c r="E529" i="3" l="1"/>
  <c r="H529" i="3" s="1"/>
  <c r="K529" i="3" s="1"/>
  <c r="AE529" i="3" s="1"/>
  <c r="D529" i="3"/>
  <c r="AH529" i="3"/>
  <c r="F529" i="3" l="1"/>
  <c r="G529" i="3"/>
  <c r="I529" i="3" s="1"/>
  <c r="V529" i="3"/>
  <c r="A530" i="3"/>
  <c r="B530" i="3" s="1"/>
  <c r="W529" i="3" l="1"/>
  <c r="M529" i="3"/>
  <c r="N529" i="3" s="1"/>
  <c r="J529" i="3"/>
  <c r="L529" i="3" s="1"/>
  <c r="AC530" i="3"/>
  <c r="AA530" i="3"/>
  <c r="AD530" i="3"/>
  <c r="P530" i="3"/>
  <c r="Q530" i="3" s="1"/>
  <c r="R530" i="3" s="1"/>
  <c r="S530" i="3" s="1"/>
  <c r="Z530" i="3"/>
  <c r="T530" i="3" l="1"/>
  <c r="AH530" i="3" s="1"/>
  <c r="U529" i="3"/>
  <c r="Y528" i="3"/>
  <c r="E530" i="3" l="1"/>
  <c r="H530" i="3" s="1"/>
  <c r="K530" i="3" s="1"/>
  <c r="AE530" i="3" s="1"/>
  <c r="AG530" i="3"/>
  <c r="D530" i="3"/>
  <c r="F530" i="3" l="1"/>
  <c r="G530" i="3"/>
  <c r="V530" i="3"/>
  <c r="A531" i="3"/>
  <c r="B531" i="3" s="1"/>
  <c r="Z531" i="3" l="1"/>
  <c r="AD531" i="3"/>
  <c r="AC531" i="3"/>
  <c r="AA531" i="3"/>
  <c r="P531" i="3"/>
  <c r="Q531" i="3" s="1"/>
  <c r="R531" i="3" s="1"/>
  <c r="S531" i="3" s="1"/>
  <c r="I530" i="3"/>
  <c r="W530" i="3" s="1"/>
  <c r="J530" i="3"/>
  <c r="M530" i="3"/>
  <c r="N530" i="3" s="1"/>
  <c r="T531" i="3" l="1"/>
  <c r="L530" i="3"/>
  <c r="U530" i="3" l="1"/>
  <c r="D531" i="3" s="1"/>
  <c r="AH531" i="3"/>
  <c r="AG531" i="3"/>
  <c r="Y529" i="3"/>
  <c r="E531" i="3" l="1"/>
  <c r="H531" i="3" s="1"/>
  <c r="K531" i="3" s="1"/>
  <c r="AE531" i="3" s="1"/>
  <c r="G531" i="3"/>
  <c r="F531" i="3" l="1"/>
  <c r="I531" i="3"/>
  <c r="J531" i="3"/>
  <c r="M531" i="3"/>
  <c r="N531" i="3" s="1"/>
  <c r="V531" i="3"/>
  <c r="A532" i="3"/>
  <c r="B532" i="3" s="1"/>
  <c r="W531" i="3" l="1"/>
  <c r="Z532" i="3"/>
  <c r="AA532" i="3"/>
  <c r="P532" i="3"/>
  <c r="Q532" i="3" s="1"/>
  <c r="R532" i="3" s="1"/>
  <c r="S532" i="3" s="1"/>
  <c r="AD532" i="3"/>
  <c r="AC532" i="3"/>
  <c r="L531" i="3"/>
  <c r="T532" i="3" l="1"/>
  <c r="AH532" i="3" s="1"/>
  <c r="U531" i="3"/>
  <c r="Y530" i="3"/>
  <c r="D532" i="3" l="1"/>
  <c r="G532" i="3" s="1"/>
  <c r="AG532" i="3"/>
  <c r="E532" i="3"/>
  <c r="H532" i="3" s="1"/>
  <c r="K532" i="3" s="1"/>
  <c r="AE532" i="3" s="1"/>
  <c r="F532" i="3" l="1"/>
  <c r="I532" i="3"/>
  <c r="J532" i="3"/>
  <c r="M532" i="3"/>
  <c r="N532" i="3" s="1"/>
  <c r="V532" i="3"/>
  <c r="A533" i="3"/>
  <c r="B533" i="3" s="1"/>
  <c r="W532" i="3" l="1"/>
  <c r="AA533" i="3"/>
  <c r="AC533" i="3"/>
  <c r="Z533" i="3"/>
  <c r="AD533" i="3"/>
  <c r="P533" i="3"/>
  <c r="Q533" i="3" s="1"/>
  <c r="R533" i="3" s="1"/>
  <c r="S533" i="3" s="1"/>
  <c r="L532" i="3"/>
  <c r="T533" i="3" l="1"/>
  <c r="AH533" i="3" s="1"/>
  <c r="U532" i="3"/>
  <c r="Y531" i="3"/>
  <c r="AG533" i="3" l="1"/>
  <c r="E533" i="3"/>
  <c r="H533" i="3" s="1"/>
  <c r="K533" i="3" s="1"/>
  <c r="AE533" i="3" s="1"/>
  <c r="D533" i="3"/>
  <c r="F533" i="3" l="1"/>
  <c r="G533" i="3"/>
  <c r="I533" i="3" s="1"/>
  <c r="V533" i="3"/>
  <c r="A534" i="3"/>
  <c r="B534" i="3" s="1"/>
  <c r="W533" i="3" l="1"/>
  <c r="J533" i="3"/>
  <c r="L533" i="3" s="1"/>
  <c r="M533" i="3"/>
  <c r="N533" i="3" s="1"/>
  <c r="Z534" i="3"/>
  <c r="AC534" i="3"/>
  <c r="P534" i="3"/>
  <c r="Q534" i="3" s="1"/>
  <c r="R534" i="3" s="1"/>
  <c r="S534" i="3" s="1"/>
  <c r="AA534" i="3"/>
  <c r="T534" i="3" l="1"/>
  <c r="AG534" i="3" s="1"/>
  <c r="U533" i="3"/>
  <c r="Y532" i="3"/>
  <c r="AH534" i="3" l="1"/>
  <c r="E534" i="3"/>
  <c r="H534" i="3" s="1"/>
  <c r="K534" i="3" s="1"/>
  <c r="AE534" i="3" s="1"/>
  <c r="D534" i="3"/>
  <c r="F534" i="3" l="1"/>
  <c r="G534" i="3"/>
  <c r="I534" i="3" s="1"/>
  <c r="V534" i="3"/>
  <c r="A535" i="3"/>
  <c r="B535" i="3" s="1"/>
  <c r="M534" i="3" l="1"/>
  <c r="N534" i="3" s="1"/>
  <c r="J534" i="3"/>
  <c r="AD534" i="3" s="1"/>
  <c r="W534" i="3"/>
  <c r="Z535" i="3"/>
  <c r="AC535" i="3"/>
  <c r="AD535" i="3"/>
  <c r="P535" i="3"/>
  <c r="Q535" i="3" s="1"/>
  <c r="R535" i="3" s="1"/>
  <c r="S535" i="3" s="1"/>
  <c r="AA535" i="3"/>
  <c r="L534" i="3" l="1"/>
  <c r="U534" i="3" s="1"/>
  <c r="T535" i="3"/>
  <c r="Y533" i="3" l="1"/>
  <c r="AH535" i="3"/>
  <c r="E535" i="3"/>
  <c r="H535" i="3" s="1"/>
  <c r="K535" i="3" s="1"/>
  <c r="AE535" i="3" s="1"/>
  <c r="AG535" i="3"/>
  <c r="D535" i="3"/>
  <c r="F535" i="3" l="1"/>
  <c r="G535" i="3"/>
  <c r="V535" i="3"/>
  <c r="A536" i="3"/>
  <c r="B536" i="3" s="1"/>
  <c r="AD536" i="3" l="1"/>
  <c r="AC536" i="3"/>
  <c r="Z536" i="3"/>
  <c r="P536" i="3"/>
  <c r="Q536" i="3" s="1"/>
  <c r="R536" i="3" s="1"/>
  <c r="S536" i="3" s="1"/>
  <c r="AA536" i="3"/>
  <c r="I535" i="3"/>
  <c r="W535" i="3" s="1"/>
  <c r="J535" i="3"/>
  <c r="M535" i="3"/>
  <c r="N535" i="3" s="1"/>
  <c r="T536" i="3" l="1"/>
  <c r="L535" i="3"/>
  <c r="U535" i="3" l="1"/>
  <c r="E536" i="3" s="1"/>
  <c r="H536" i="3" s="1"/>
  <c r="AG536" i="3"/>
  <c r="AH536" i="3"/>
  <c r="Y534" i="3"/>
  <c r="K536" i="3" l="1"/>
  <c r="AE536" i="3" s="1"/>
  <c r="D536" i="3"/>
  <c r="F536" i="3" l="1"/>
  <c r="G536" i="3"/>
  <c r="V536" i="3"/>
  <c r="A537" i="3"/>
  <c r="B537" i="3" s="1"/>
  <c r="P537" i="3" l="1"/>
  <c r="Q537" i="3" s="1"/>
  <c r="R537" i="3" s="1"/>
  <c r="S537" i="3" s="1"/>
  <c r="Z537" i="3"/>
  <c r="AD537" i="3"/>
  <c r="AA537" i="3"/>
  <c r="AC537" i="3"/>
  <c r="I536" i="3"/>
  <c r="W536" i="3" s="1"/>
  <c r="J536" i="3"/>
  <c r="M536" i="3"/>
  <c r="N536" i="3" s="1"/>
  <c r="L536" i="3" l="1"/>
  <c r="T537" i="3"/>
  <c r="U536" i="3" l="1"/>
  <c r="E537" i="3" s="1"/>
  <c r="H537" i="3" s="1"/>
  <c r="AG537" i="3"/>
  <c r="AH537" i="3"/>
  <c r="Y535" i="3"/>
  <c r="D537" i="3" l="1"/>
  <c r="F537" i="3" s="1"/>
  <c r="K537" i="3"/>
  <c r="AE537" i="3" s="1"/>
  <c r="G537" i="3" l="1"/>
  <c r="I537" i="3" s="1"/>
  <c r="V537" i="3"/>
  <c r="A538" i="3"/>
  <c r="B538" i="3" s="1"/>
  <c r="M537" i="3" l="1"/>
  <c r="N537" i="3" s="1"/>
  <c r="J537" i="3"/>
  <c r="L537" i="3" s="1"/>
  <c r="W537" i="3"/>
  <c r="Z538" i="3"/>
  <c r="P538" i="3"/>
  <c r="Q538" i="3" s="1"/>
  <c r="R538" i="3" s="1"/>
  <c r="S538" i="3" s="1"/>
  <c r="AA538" i="3"/>
  <c r="AC538" i="3"/>
  <c r="AD538" i="3"/>
  <c r="T538" i="3" l="1"/>
  <c r="AG538" i="3" s="1"/>
  <c r="U537" i="3"/>
  <c r="Y536" i="3"/>
  <c r="E538" i="3" l="1"/>
  <c r="H538" i="3" s="1"/>
  <c r="K538" i="3" s="1"/>
  <c r="AE538" i="3" s="1"/>
  <c r="AH538" i="3"/>
  <c r="D538" i="3"/>
  <c r="F538" i="3" l="1"/>
  <c r="G538" i="3"/>
  <c r="I538" i="3" s="1"/>
  <c r="V538" i="3"/>
  <c r="A539" i="3"/>
  <c r="B539" i="3" s="1"/>
  <c r="M538" i="3" l="1"/>
  <c r="N538" i="3" s="1"/>
  <c r="J538" i="3"/>
  <c r="L538" i="3" s="1"/>
  <c r="W538" i="3"/>
  <c r="AA539" i="3"/>
  <c r="AC539" i="3"/>
  <c r="Z539" i="3"/>
  <c r="AD539" i="3"/>
  <c r="P539" i="3"/>
  <c r="Q539" i="3" s="1"/>
  <c r="R539" i="3" s="1"/>
  <c r="S539" i="3" s="1"/>
  <c r="T539" i="3" l="1"/>
  <c r="AG539" i="3" s="1"/>
  <c r="U538" i="3"/>
  <c r="Y537" i="3"/>
  <c r="AH539" i="3" l="1"/>
  <c r="D539" i="3"/>
  <c r="G539" i="3" s="1"/>
  <c r="E539" i="3"/>
  <c r="H539" i="3" s="1"/>
  <c r="K539" i="3" s="1"/>
  <c r="AE539" i="3" s="1"/>
  <c r="F539" i="3" l="1"/>
  <c r="I539" i="3"/>
  <c r="J539" i="3"/>
  <c r="M539" i="3"/>
  <c r="N539" i="3" s="1"/>
  <c r="V539" i="3"/>
  <c r="W539" i="3" s="1"/>
  <c r="A540" i="3"/>
  <c r="B540" i="3" s="1"/>
  <c r="Z540" i="3" l="1"/>
  <c r="P540" i="3"/>
  <c r="Q540" i="3" s="1"/>
  <c r="R540" i="3" s="1"/>
  <c r="S540" i="3" s="1"/>
  <c r="AC540" i="3"/>
  <c r="AA540" i="3"/>
  <c r="AD540" i="3"/>
  <c r="L539" i="3"/>
  <c r="U539" i="3" l="1"/>
  <c r="Y538" i="3"/>
  <c r="T540" i="3"/>
  <c r="D540" i="3" l="1"/>
  <c r="G540" i="3" s="1"/>
  <c r="E540" i="3"/>
  <c r="H540" i="3" s="1"/>
  <c r="AG540" i="3"/>
  <c r="AH540" i="3"/>
  <c r="K540" i="3" l="1"/>
  <c r="AE540" i="3" s="1"/>
  <c r="I540" i="3"/>
  <c r="J540" i="3"/>
  <c r="M540" i="3"/>
  <c r="N540" i="3" s="1"/>
  <c r="F540" i="3"/>
  <c r="L540" i="3" l="1"/>
  <c r="V540" i="3"/>
  <c r="W540" i="3" s="1"/>
  <c r="A541" i="3"/>
  <c r="B541" i="3" s="1"/>
  <c r="AA541" i="3" l="1"/>
  <c r="AD541" i="3"/>
  <c r="Z541" i="3"/>
  <c r="AC541" i="3"/>
  <c r="P541" i="3"/>
  <c r="Q541" i="3" s="1"/>
  <c r="R541" i="3" s="1"/>
  <c r="S541" i="3" s="1"/>
  <c r="U540" i="3"/>
  <c r="Y539" i="3"/>
  <c r="T541" i="3" l="1"/>
  <c r="D541" i="3" s="1"/>
  <c r="E541" i="3" l="1"/>
  <c r="H541" i="3" s="1"/>
  <c r="K541" i="3" s="1"/>
  <c r="AE541" i="3" s="1"/>
  <c r="AH541" i="3"/>
  <c r="AG541" i="3"/>
  <c r="G541" i="3"/>
  <c r="F541" i="3" l="1"/>
  <c r="V541" i="3"/>
  <c r="A542" i="3"/>
  <c r="B542" i="3" s="1"/>
  <c r="I541" i="3"/>
  <c r="J541" i="3"/>
  <c r="M541" i="3"/>
  <c r="N541" i="3" s="1"/>
  <c r="L541" i="3" l="1"/>
  <c r="P542" i="3"/>
  <c r="Q542" i="3" s="1"/>
  <c r="R542" i="3" s="1"/>
  <c r="S542" i="3" s="1"/>
  <c r="AA542" i="3"/>
  <c r="Z542" i="3"/>
  <c r="AD542" i="3"/>
  <c r="AC542" i="3"/>
  <c r="W541" i="3"/>
  <c r="T542" i="3" l="1"/>
  <c r="AH542" i="3" s="1"/>
  <c r="U541" i="3"/>
  <c r="Y540" i="3"/>
  <c r="D542" i="3" l="1"/>
  <c r="G542" i="3" s="1"/>
  <c r="AG542" i="3"/>
  <c r="E542" i="3"/>
  <c r="H542" i="3" s="1"/>
  <c r="K542" i="3" s="1"/>
  <c r="AE542" i="3" s="1"/>
  <c r="F542" i="3" l="1"/>
  <c r="V542" i="3"/>
  <c r="A543" i="3"/>
  <c r="B543" i="3" s="1"/>
  <c r="I542" i="3"/>
  <c r="J542" i="3"/>
  <c r="M542" i="3"/>
  <c r="N542" i="3" s="1"/>
  <c r="L542" i="3" l="1"/>
  <c r="AC543" i="3"/>
  <c r="P543" i="3"/>
  <c r="Q543" i="3" s="1"/>
  <c r="R543" i="3" s="1"/>
  <c r="S543" i="3" s="1"/>
  <c r="AA543" i="3"/>
  <c r="Z543" i="3"/>
  <c r="AD543" i="3"/>
  <c r="W542" i="3"/>
  <c r="T543" i="3" l="1"/>
  <c r="AH543" i="3" s="1"/>
  <c r="U542" i="3"/>
  <c r="Y541" i="3"/>
  <c r="D543" i="3" l="1"/>
  <c r="G543" i="3" s="1"/>
  <c r="AG543" i="3"/>
  <c r="E543" i="3"/>
  <c r="H543" i="3" s="1"/>
  <c r="K543" i="3" s="1"/>
  <c r="AE543" i="3" s="1"/>
  <c r="F543" i="3" l="1"/>
  <c r="V543" i="3"/>
  <c r="A544" i="3"/>
  <c r="B544" i="3" s="1"/>
  <c r="I543" i="3"/>
  <c r="J543" i="3"/>
  <c r="M543" i="3"/>
  <c r="N543" i="3" s="1"/>
  <c r="L543" i="3" l="1"/>
  <c r="P544" i="3"/>
  <c r="Q544" i="3" s="1"/>
  <c r="R544" i="3" s="1"/>
  <c r="S544" i="3" s="1"/>
  <c r="AA544" i="3"/>
  <c r="AC544" i="3"/>
  <c r="Z544" i="3"/>
  <c r="W543" i="3"/>
  <c r="T544" i="3" l="1"/>
  <c r="AG544" i="3" s="1"/>
  <c r="U543" i="3"/>
  <c r="Y542" i="3"/>
  <c r="E544" i="3" l="1"/>
  <c r="H544" i="3" s="1"/>
  <c r="K544" i="3" s="1"/>
  <c r="AE544" i="3" s="1"/>
  <c r="AH544" i="3"/>
  <c r="D544" i="3"/>
  <c r="F544" i="3" l="1"/>
  <c r="G544" i="3"/>
  <c r="I544" i="3" s="1"/>
  <c r="V544" i="3"/>
  <c r="A545" i="3"/>
  <c r="B545" i="3" s="1"/>
  <c r="M544" i="3" l="1"/>
  <c r="N544" i="3" s="1"/>
  <c r="J544" i="3"/>
  <c r="AD544" i="3" s="1"/>
  <c r="W544" i="3"/>
  <c r="P545" i="3"/>
  <c r="Q545" i="3" s="1"/>
  <c r="R545" i="3" s="1"/>
  <c r="S545" i="3" s="1"/>
  <c r="AD545" i="3"/>
  <c r="Z545" i="3"/>
  <c r="AC545" i="3"/>
  <c r="AA545" i="3"/>
  <c r="L544" i="3" l="1"/>
  <c r="U544" i="3" s="1"/>
  <c r="T545" i="3"/>
  <c r="Y543" i="3" l="1"/>
  <c r="AH545" i="3"/>
  <c r="D545" i="3"/>
  <c r="G545" i="3" s="1"/>
  <c r="AG545" i="3"/>
  <c r="E545" i="3"/>
  <c r="H545" i="3" s="1"/>
  <c r="K545" i="3" s="1"/>
  <c r="AE545" i="3" s="1"/>
  <c r="F545" i="3" l="1"/>
  <c r="I545" i="3"/>
  <c r="J545" i="3"/>
  <c r="M545" i="3"/>
  <c r="N545" i="3" s="1"/>
  <c r="V545" i="3"/>
  <c r="A546" i="3"/>
  <c r="B546" i="3" s="1"/>
  <c r="W545" i="3" l="1"/>
  <c r="Z546" i="3"/>
  <c r="AA546" i="3"/>
  <c r="AD546" i="3"/>
  <c r="P546" i="3"/>
  <c r="Q546" i="3" s="1"/>
  <c r="R546" i="3" s="1"/>
  <c r="S546" i="3" s="1"/>
  <c r="AC546" i="3"/>
  <c r="L545" i="3"/>
  <c r="T546" i="3" l="1"/>
  <c r="AG546" i="3" s="1"/>
  <c r="U545" i="3"/>
  <c r="Y544" i="3"/>
  <c r="E546" i="3" l="1"/>
  <c r="H546" i="3" s="1"/>
  <c r="K546" i="3" s="1"/>
  <c r="AE546" i="3" s="1"/>
  <c r="AH546" i="3"/>
  <c r="D546" i="3"/>
  <c r="V546" i="3" l="1"/>
  <c r="A547" i="3"/>
  <c r="B547" i="3" s="1"/>
  <c r="F546" i="3"/>
  <c r="G546" i="3"/>
  <c r="I546" i="3" l="1"/>
  <c r="W546" i="3" s="1"/>
  <c r="J546" i="3"/>
  <c r="M546" i="3"/>
  <c r="N546" i="3" s="1"/>
  <c r="AA547" i="3"/>
  <c r="AC547" i="3"/>
  <c r="AD547" i="3"/>
  <c r="Z547" i="3"/>
  <c r="P547" i="3"/>
  <c r="Q547" i="3" s="1"/>
  <c r="R547" i="3" s="1"/>
  <c r="S547" i="3" s="1"/>
  <c r="T547" i="3" l="1"/>
  <c r="L546" i="3"/>
  <c r="U546" i="3" l="1"/>
  <c r="E547" i="3" s="1"/>
  <c r="H547" i="3" s="1"/>
  <c r="AH547" i="3"/>
  <c r="AG547" i="3"/>
  <c r="Y545" i="3"/>
  <c r="D547" i="3" l="1"/>
  <c r="F547" i="3" s="1"/>
  <c r="K547" i="3"/>
  <c r="AE547" i="3" s="1"/>
  <c r="G547" i="3" l="1"/>
  <c r="M547" i="3" s="1"/>
  <c r="N547" i="3" s="1"/>
  <c r="V547" i="3"/>
  <c r="A548" i="3"/>
  <c r="B548" i="3" s="1"/>
  <c r="J547" i="3" l="1"/>
  <c r="L547" i="3" s="1"/>
  <c r="I547" i="3"/>
  <c r="W547" i="3" s="1"/>
  <c r="AC548" i="3"/>
  <c r="P548" i="3"/>
  <c r="Q548" i="3" s="1"/>
  <c r="R548" i="3" s="1"/>
  <c r="S548" i="3" s="1"/>
  <c r="AD548" i="3"/>
  <c r="Z548" i="3"/>
  <c r="AA548" i="3"/>
  <c r="T548" i="3" l="1"/>
  <c r="AH548" i="3" s="1"/>
  <c r="U547" i="3"/>
  <c r="Y546" i="3"/>
  <c r="E548" i="3" l="1"/>
  <c r="H548" i="3" s="1"/>
  <c r="K548" i="3" s="1"/>
  <c r="AE548" i="3" s="1"/>
  <c r="AG548" i="3"/>
  <c r="D548" i="3"/>
  <c r="G548" i="3" s="1"/>
  <c r="F548" i="3" l="1"/>
  <c r="I548" i="3"/>
  <c r="J548" i="3"/>
  <c r="M548" i="3"/>
  <c r="N548" i="3" s="1"/>
  <c r="V548" i="3"/>
  <c r="A549" i="3"/>
  <c r="B549" i="3" s="1"/>
  <c r="W548" i="3" l="1"/>
  <c r="AA549" i="3"/>
  <c r="P549" i="3"/>
  <c r="Q549" i="3" s="1"/>
  <c r="R549" i="3" s="1"/>
  <c r="S549" i="3" s="1"/>
  <c r="Z549" i="3"/>
  <c r="AC549" i="3"/>
  <c r="AD549" i="3"/>
  <c r="L548" i="3"/>
  <c r="U548" i="3" l="1"/>
  <c r="Y547" i="3"/>
  <c r="T549" i="3"/>
  <c r="D549" i="3" l="1"/>
  <c r="G549" i="3" s="1"/>
  <c r="AG549" i="3"/>
  <c r="AH549" i="3"/>
  <c r="E549" i="3"/>
  <c r="H549" i="3" s="1"/>
  <c r="K549" i="3" l="1"/>
  <c r="AE549" i="3" s="1"/>
  <c r="I549" i="3"/>
  <c r="J549" i="3"/>
  <c r="M549" i="3"/>
  <c r="N549" i="3" s="1"/>
  <c r="F549" i="3"/>
  <c r="L549" i="3" l="1"/>
  <c r="V549" i="3"/>
  <c r="W549" i="3" s="1"/>
  <c r="A550" i="3"/>
  <c r="B550" i="3" s="1"/>
  <c r="U549" i="3" l="1"/>
  <c r="Y548" i="3"/>
  <c r="AC550" i="3"/>
  <c r="Z550" i="3"/>
  <c r="AD550" i="3"/>
  <c r="P550" i="3"/>
  <c r="Q550" i="3" s="1"/>
  <c r="R550" i="3" s="1"/>
  <c r="S550" i="3" s="1"/>
  <c r="AA550" i="3"/>
  <c r="T550" i="3" l="1"/>
  <c r="E550" i="3" s="1"/>
  <c r="H550" i="3" s="1"/>
  <c r="AH550" i="3" l="1"/>
  <c r="AG550" i="3"/>
  <c r="K550" i="3"/>
  <c r="AE550" i="3" s="1"/>
  <c r="D550" i="3"/>
  <c r="F550" i="3" l="1"/>
  <c r="G550" i="3"/>
  <c r="V550" i="3"/>
  <c r="A551" i="3"/>
  <c r="B551" i="3" s="1"/>
  <c r="AC551" i="3" l="1"/>
  <c r="AA551" i="3"/>
  <c r="P551" i="3"/>
  <c r="Q551" i="3" s="1"/>
  <c r="R551" i="3" s="1"/>
  <c r="S551" i="3" s="1"/>
  <c r="AD551" i="3"/>
  <c r="Z551" i="3"/>
  <c r="I550" i="3"/>
  <c r="W550" i="3" s="1"/>
  <c r="J550" i="3"/>
  <c r="M550" i="3"/>
  <c r="N550" i="3" s="1"/>
  <c r="T551" i="3" l="1"/>
  <c r="L550" i="3"/>
  <c r="AH551" i="3" l="1"/>
  <c r="AG551" i="3"/>
  <c r="U550" i="3"/>
  <c r="E551" i="3" s="1"/>
  <c r="H551" i="3" s="1"/>
  <c r="Y549" i="3"/>
  <c r="K551" i="3" l="1"/>
  <c r="AE551" i="3" s="1"/>
  <c r="D551" i="3"/>
  <c r="F551" i="3" l="1"/>
  <c r="G551" i="3"/>
  <c r="V551" i="3"/>
  <c r="A552" i="3"/>
  <c r="B552" i="3" s="1"/>
  <c r="P552" i="3" l="1"/>
  <c r="Q552" i="3" s="1"/>
  <c r="R552" i="3" s="1"/>
  <c r="S552" i="3" s="1"/>
  <c r="AD552" i="3"/>
  <c r="AA552" i="3"/>
  <c r="AC552" i="3"/>
  <c r="Z552" i="3"/>
  <c r="I551" i="3"/>
  <c r="W551" i="3" s="1"/>
  <c r="J551" i="3"/>
  <c r="M551" i="3"/>
  <c r="N551" i="3" s="1"/>
  <c r="L551" i="3" l="1"/>
  <c r="T552" i="3"/>
  <c r="AG552" i="3" l="1"/>
  <c r="U551" i="3"/>
  <c r="E552" i="3" s="1"/>
  <c r="H552" i="3" s="1"/>
  <c r="AH552" i="3"/>
  <c r="Y550" i="3"/>
  <c r="D552" i="3" l="1"/>
  <c r="F552" i="3" s="1"/>
  <c r="K552" i="3"/>
  <c r="AE552" i="3" s="1"/>
  <c r="G552" i="3" l="1"/>
  <c r="M552" i="3" s="1"/>
  <c r="N552" i="3" s="1"/>
  <c r="V552" i="3"/>
  <c r="A553" i="3"/>
  <c r="B553" i="3" s="1"/>
  <c r="J552" i="3" l="1"/>
  <c r="L552" i="3" s="1"/>
  <c r="I552" i="3"/>
  <c r="W552" i="3" s="1"/>
  <c r="AD553" i="3"/>
  <c r="P553" i="3"/>
  <c r="Q553" i="3" s="1"/>
  <c r="R553" i="3" s="1"/>
  <c r="S553" i="3" s="1"/>
  <c r="AA553" i="3"/>
  <c r="Z553" i="3"/>
  <c r="AC553" i="3"/>
  <c r="U552" i="3" l="1"/>
  <c r="Y551" i="3"/>
  <c r="T553" i="3"/>
  <c r="D553" i="3" l="1"/>
  <c r="G553" i="3" s="1"/>
  <c r="AH553" i="3"/>
  <c r="E553" i="3"/>
  <c r="H553" i="3" s="1"/>
  <c r="K553" i="3" s="1"/>
  <c r="AE553" i="3" s="1"/>
  <c r="AG553" i="3"/>
  <c r="F553" i="3" l="1"/>
  <c r="V553" i="3"/>
  <c r="A554" i="3"/>
  <c r="B554" i="3" s="1"/>
  <c r="I553" i="3"/>
  <c r="J553" i="3"/>
  <c r="M553" i="3"/>
  <c r="N553" i="3" s="1"/>
  <c r="L553" i="3" l="1"/>
  <c r="Z554" i="3"/>
  <c r="AA554" i="3"/>
  <c r="AC554" i="3"/>
  <c r="P554" i="3"/>
  <c r="Q554" i="3" s="1"/>
  <c r="R554" i="3" s="1"/>
  <c r="S554" i="3" s="1"/>
  <c r="W553" i="3"/>
  <c r="T554" i="3" l="1"/>
  <c r="AG554" i="3" s="1"/>
  <c r="U553" i="3"/>
  <c r="Y552" i="3"/>
  <c r="D554" i="3" l="1"/>
  <c r="G554" i="3" s="1"/>
  <c r="AH554" i="3"/>
  <c r="E554" i="3"/>
  <c r="H554" i="3" s="1"/>
  <c r="K554" i="3" s="1"/>
  <c r="AE554" i="3" s="1"/>
  <c r="F554" i="3" l="1"/>
  <c r="V554" i="3"/>
  <c r="A555" i="3"/>
  <c r="B555" i="3" s="1"/>
  <c r="I554" i="3"/>
  <c r="J554" i="3"/>
  <c r="AD554" i="3" s="1"/>
  <c r="M554" i="3"/>
  <c r="N554" i="3" s="1"/>
  <c r="L554" i="3" l="1"/>
  <c r="Z555" i="3"/>
  <c r="AC555" i="3"/>
  <c r="P555" i="3"/>
  <c r="Q555" i="3" s="1"/>
  <c r="R555" i="3" s="1"/>
  <c r="S555" i="3" s="1"/>
  <c r="AA555" i="3"/>
  <c r="AD555" i="3"/>
  <c r="W554" i="3"/>
  <c r="T555" i="3" l="1"/>
  <c r="AG555" i="3" s="1"/>
  <c r="U554" i="3"/>
  <c r="Y553" i="3"/>
  <c r="AH555" i="3" l="1"/>
  <c r="D555" i="3"/>
  <c r="G555" i="3" s="1"/>
  <c r="E555" i="3"/>
  <c r="H555" i="3" s="1"/>
  <c r="K555" i="3" l="1"/>
  <c r="AE555" i="3" s="1"/>
  <c r="I555" i="3"/>
  <c r="J555" i="3"/>
  <c r="M555" i="3"/>
  <c r="N555" i="3" s="1"/>
  <c r="F555" i="3"/>
  <c r="V555" i="3" l="1"/>
  <c r="W555" i="3" s="1"/>
  <c r="A556" i="3"/>
  <c r="B556" i="3" s="1"/>
  <c r="L555" i="3"/>
  <c r="U555" i="3" l="1"/>
  <c r="Y554" i="3"/>
  <c r="P556" i="3"/>
  <c r="Q556" i="3" s="1"/>
  <c r="R556" i="3" s="1"/>
  <c r="S556" i="3" s="1"/>
  <c r="AA556" i="3"/>
  <c r="AD556" i="3"/>
  <c r="Z556" i="3"/>
  <c r="AC556" i="3"/>
  <c r="T556" i="3" l="1"/>
  <c r="D556" i="3" s="1"/>
  <c r="AH556" i="3" l="1"/>
  <c r="E556" i="3"/>
  <c r="H556" i="3" s="1"/>
  <c r="K556" i="3" s="1"/>
  <c r="AE556" i="3" s="1"/>
  <c r="AG556" i="3"/>
  <c r="G556" i="3"/>
  <c r="F556" i="3" l="1"/>
  <c r="V556" i="3"/>
  <c r="A557" i="3"/>
  <c r="B557" i="3" s="1"/>
  <c r="I556" i="3"/>
  <c r="J556" i="3"/>
  <c r="M556" i="3"/>
  <c r="N556" i="3" s="1"/>
  <c r="W556" i="3" l="1"/>
  <c r="L556" i="3"/>
  <c r="AC557" i="3"/>
  <c r="Z557" i="3"/>
  <c r="AD557" i="3"/>
  <c r="AA557" i="3"/>
  <c r="P557" i="3"/>
  <c r="Q557" i="3" s="1"/>
  <c r="R557" i="3" s="1"/>
  <c r="S557" i="3" s="1"/>
  <c r="T557" i="3" l="1"/>
  <c r="AG557" i="3" s="1"/>
  <c r="U556" i="3"/>
  <c r="Y555" i="3"/>
  <c r="D557" i="3" l="1"/>
  <c r="G557" i="3" s="1"/>
  <c r="AH557" i="3"/>
  <c r="E557" i="3"/>
  <c r="H557" i="3" s="1"/>
  <c r="K557" i="3" s="1"/>
  <c r="AE557" i="3" s="1"/>
  <c r="F557" i="3" l="1"/>
  <c r="V557" i="3"/>
  <c r="A558" i="3"/>
  <c r="B558" i="3" s="1"/>
  <c r="I557" i="3"/>
  <c r="J557" i="3"/>
  <c r="M557" i="3"/>
  <c r="N557" i="3" s="1"/>
  <c r="W557" i="3" l="1"/>
  <c r="L557" i="3"/>
  <c r="P558" i="3"/>
  <c r="Q558" i="3" s="1"/>
  <c r="R558" i="3" s="1"/>
  <c r="S558" i="3" s="1"/>
  <c r="AD558" i="3"/>
  <c r="Z558" i="3"/>
  <c r="AA558" i="3"/>
  <c r="AC558" i="3"/>
  <c r="T558" i="3" l="1"/>
  <c r="AG558" i="3" s="1"/>
  <c r="U557" i="3"/>
  <c r="Y556" i="3"/>
  <c r="AH558" i="3" l="1"/>
  <c r="E558" i="3"/>
  <c r="H558" i="3" s="1"/>
  <c r="K558" i="3" s="1"/>
  <c r="AE558" i="3" s="1"/>
  <c r="D558" i="3"/>
  <c r="F558" i="3" l="1"/>
  <c r="G558" i="3"/>
  <c r="I558" i="3" s="1"/>
  <c r="V558" i="3"/>
  <c r="A559" i="3"/>
  <c r="B559" i="3" s="1"/>
  <c r="M558" i="3" l="1"/>
  <c r="N558" i="3" s="1"/>
  <c r="J558" i="3"/>
  <c r="L558" i="3" s="1"/>
  <c r="AA559" i="3"/>
  <c r="Z559" i="3"/>
  <c r="AD559" i="3"/>
  <c r="AC559" i="3"/>
  <c r="P559" i="3"/>
  <c r="Q559" i="3" s="1"/>
  <c r="R559" i="3" s="1"/>
  <c r="S559" i="3" s="1"/>
  <c r="W558" i="3"/>
  <c r="T559" i="3" l="1"/>
  <c r="AG559" i="3" s="1"/>
  <c r="U558" i="3"/>
  <c r="Y557" i="3"/>
  <c r="AH559" i="3" l="1"/>
  <c r="E559" i="3"/>
  <c r="H559" i="3" s="1"/>
  <c r="K559" i="3" s="1"/>
  <c r="AE559" i="3" s="1"/>
  <c r="D559" i="3"/>
  <c r="F559" i="3" l="1"/>
  <c r="G559" i="3"/>
  <c r="I559" i="3" s="1"/>
  <c r="V559" i="3"/>
  <c r="A560" i="3"/>
  <c r="B560" i="3" s="1"/>
  <c r="M559" i="3" l="1"/>
  <c r="N559" i="3" s="1"/>
  <c r="J559" i="3"/>
  <c r="L559" i="3" s="1"/>
  <c r="Z560" i="3"/>
  <c r="AD560" i="3"/>
  <c r="AC560" i="3"/>
  <c r="AA560" i="3"/>
  <c r="P560" i="3"/>
  <c r="Q560" i="3" s="1"/>
  <c r="R560" i="3" s="1"/>
  <c r="S560" i="3" s="1"/>
  <c r="W559" i="3"/>
  <c r="T560" i="3" l="1"/>
  <c r="AH560" i="3" s="1"/>
  <c r="U559" i="3"/>
  <c r="Y558" i="3"/>
  <c r="AG560" i="3" l="1"/>
  <c r="E560" i="3"/>
  <c r="H560" i="3" s="1"/>
  <c r="K560" i="3" s="1"/>
  <c r="AE560" i="3" s="1"/>
  <c r="D560" i="3"/>
  <c r="F560" i="3" l="1"/>
  <c r="G560" i="3"/>
  <c r="I560" i="3" s="1"/>
  <c r="V560" i="3"/>
  <c r="A561" i="3"/>
  <c r="B561" i="3" s="1"/>
  <c r="W560" i="3" l="1"/>
  <c r="J560" i="3"/>
  <c r="L560" i="3" s="1"/>
  <c r="M560" i="3"/>
  <c r="N560" i="3" s="1"/>
  <c r="AD561" i="3"/>
  <c r="AA561" i="3"/>
  <c r="P561" i="3"/>
  <c r="Q561" i="3" s="1"/>
  <c r="R561" i="3" s="1"/>
  <c r="S561" i="3" s="1"/>
  <c r="AC561" i="3"/>
  <c r="Z561" i="3"/>
  <c r="T561" i="3" l="1"/>
  <c r="AH561" i="3" s="1"/>
  <c r="U560" i="3"/>
  <c r="Y559" i="3"/>
  <c r="D561" i="3" l="1"/>
  <c r="G561" i="3" s="1"/>
  <c r="AG561" i="3"/>
  <c r="E561" i="3"/>
  <c r="H561" i="3" s="1"/>
  <c r="K561" i="3" s="1"/>
  <c r="AE561" i="3" s="1"/>
  <c r="F561" i="3" l="1"/>
  <c r="V561" i="3"/>
  <c r="A562" i="3"/>
  <c r="B562" i="3" s="1"/>
  <c r="I561" i="3"/>
  <c r="J561" i="3"/>
  <c r="M561" i="3"/>
  <c r="N561" i="3" s="1"/>
  <c r="L561" i="3" l="1"/>
  <c r="W561" i="3"/>
  <c r="AC562" i="3"/>
  <c r="Z562" i="3"/>
  <c r="AA562" i="3"/>
  <c r="AD562" i="3"/>
  <c r="P562" i="3"/>
  <c r="Q562" i="3" s="1"/>
  <c r="R562" i="3" s="1"/>
  <c r="S562" i="3" s="1"/>
  <c r="U561" i="3" l="1"/>
  <c r="Y560" i="3"/>
  <c r="T562" i="3"/>
  <c r="AG562" i="3" s="1"/>
  <c r="E562" i="3" l="1"/>
  <c r="H562" i="3" s="1"/>
  <c r="K562" i="3" s="1"/>
  <c r="AE562" i="3" s="1"/>
  <c r="D562" i="3"/>
  <c r="G562" i="3" s="1"/>
  <c r="AH562" i="3"/>
  <c r="F562" i="3" l="1"/>
  <c r="I562" i="3"/>
  <c r="J562" i="3"/>
  <c r="M562" i="3"/>
  <c r="N562" i="3" s="1"/>
  <c r="V562" i="3"/>
  <c r="W562" i="3" s="1"/>
  <c r="A563" i="3"/>
  <c r="B563" i="3" s="1"/>
  <c r="Z563" i="3" l="1"/>
  <c r="AC563" i="3"/>
  <c r="AA563" i="3"/>
  <c r="AD563" i="3"/>
  <c r="P563" i="3"/>
  <c r="Q563" i="3" s="1"/>
  <c r="R563" i="3" s="1"/>
  <c r="S563" i="3" s="1"/>
  <c r="L562" i="3"/>
  <c r="T563" i="3" l="1"/>
  <c r="AH563" i="3" s="1"/>
  <c r="U562" i="3"/>
  <c r="Y561" i="3"/>
  <c r="E563" i="3" l="1"/>
  <c r="H563" i="3" s="1"/>
  <c r="K563" i="3" s="1"/>
  <c r="AE563" i="3" s="1"/>
  <c r="D563" i="3"/>
  <c r="AG563" i="3"/>
  <c r="F563" i="3" l="1"/>
  <c r="G563" i="3"/>
  <c r="I563" i="3" s="1"/>
  <c r="V563" i="3"/>
  <c r="A564" i="3"/>
  <c r="B564" i="3" s="1"/>
  <c r="M563" i="3" l="1"/>
  <c r="N563" i="3" s="1"/>
  <c r="J563" i="3"/>
  <c r="L563" i="3" s="1"/>
  <c r="P564" i="3"/>
  <c r="Q564" i="3" s="1"/>
  <c r="R564" i="3" s="1"/>
  <c r="S564" i="3" s="1"/>
  <c r="AC564" i="3"/>
  <c r="AA564" i="3"/>
  <c r="Z564" i="3"/>
  <c r="W563" i="3"/>
  <c r="T564" i="3" l="1"/>
  <c r="AH564" i="3" s="1"/>
  <c r="U563" i="3"/>
  <c r="Y562" i="3"/>
  <c r="D564" i="3" l="1"/>
  <c r="G564" i="3" s="1"/>
  <c r="AG564" i="3"/>
  <c r="E564" i="3"/>
  <c r="H564" i="3" s="1"/>
  <c r="K564" i="3" s="1"/>
  <c r="AE564" i="3" s="1"/>
  <c r="F564" i="3" l="1"/>
  <c r="V564" i="3"/>
  <c r="A565" i="3"/>
  <c r="B565" i="3" s="1"/>
  <c r="I564" i="3"/>
  <c r="J564" i="3"/>
  <c r="AD564" i="3" s="1"/>
  <c r="M564" i="3"/>
  <c r="N564" i="3" s="1"/>
  <c r="L564" i="3" l="1"/>
  <c r="AD565" i="3"/>
  <c r="Z565" i="3"/>
  <c r="AC565" i="3"/>
  <c r="AA565" i="3"/>
  <c r="P565" i="3"/>
  <c r="Q565" i="3" s="1"/>
  <c r="R565" i="3" s="1"/>
  <c r="S565" i="3" s="1"/>
  <c r="W564" i="3"/>
  <c r="T565" i="3" l="1"/>
  <c r="AH565" i="3" s="1"/>
  <c r="U564" i="3"/>
  <c r="Y563" i="3"/>
  <c r="AG565" i="3" l="1"/>
  <c r="E565" i="3"/>
  <c r="H565" i="3" s="1"/>
  <c r="K565" i="3" s="1"/>
  <c r="AE565" i="3" s="1"/>
  <c r="D565" i="3"/>
  <c r="F565" i="3" l="1"/>
  <c r="G565" i="3"/>
  <c r="I565" i="3" s="1"/>
  <c r="V565" i="3"/>
  <c r="A566" i="3"/>
  <c r="B566" i="3" s="1"/>
  <c r="M565" i="3" l="1"/>
  <c r="N565" i="3" s="1"/>
  <c r="W565" i="3"/>
  <c r="J565" i="3"/>
  <c r="L565" i="3" s="1"/>
  <c r="AC566" i="3"/>
  <c r="AD566" i="3"/>
  <c r="Z566" i="3"/>
  <c r="AA566" i="3"/>
  <c r="P566" i="3"/>
  <c r="Q566" i="3" s="1"/>
  <c r="R566" i="3" s="1"/>
  <c r="S566" i="3" s="1"/>
  <c r="T566" i="3" l="1"/>
  <c r="AH566" i="3" s="1"/>
  <c r="U565" i="3"/>
  <c r="Y564" i="3"/>
  <c r="AG566" i="3" l="1"/>
  <c r="D566" i="3"/>
  <c r="G566" i="3" s="1"/>
  <c r="E566" i="3"/>
  <c r="H566" i="3" s="1"/>
  <c r="K566" i="3" s="1"/>
  <c r="AE566" i="3" s="1"/>
  <c r="F566" i="3" l="1"/>
  <c r="I566" i="3"/>
  <c r="J566" i="3"/>
  <c r="M566" i="3"/>
  <c r="N566" i="3" s="1"/>
  <c r="V566" i="3"/>
  <c r="A567" i="3"/>
  <c r="B567" i="3" s="1"/>
  <c r="W566" i="3" l="1"/>
  <c r="P567" i="3"/>
  <c r="Q567" i="3" s="1"/>
  <c r="R567" i="3" s="1"/>
  <c r="S567" i="3" s="1"/>
  <c r="AD567" i="3"/>
  <c r="AA567" i="3"/>
  <c r="AC567" i="3"/>
  <c r="Z567" i="3"/>
  <c r="L566" i="3"/>
  <c r="T567" i="3" l="1"/>
  <c r="AG567" i="3" s="1"/>
  <c r="U566" i="3"/>
  <c r="Y565" i="3"/>
  <c r="E567" i="3" l="1"/>
  <c r="H567" i="3" s="1"/>
  <c r="K567" i="3" s="1"/>
  <c r="AE567" i="3" s="1"/>
  <c r="D567" i="3"/>
  <c r="AH567" i="3"/>
  <c r="F567" i="3" l="1"/>
  <c r="G567" i="3"/>
  <c r="I567" i="3" s="1"/>
  <c r="V567" i="3"/>
  <c r="A568" i="3"/>
  <c r="B568" i="3" s="1"/>
  <c r="M567" i="3" l="1"/>
  <c r="N567" i="3" s="1"/>
  <c r="J567" i="3"/>
  <c r="L567" i="3" s="1"/>
  <c r="W567" i="3"/>
  <c r="AA568" i="3"/>
  <c r="Z568" i="3"/>
  <c r="AC568" i="3"/>
  <c r="AD568" i="3"/>
  <c r="P568" i="3"/>
  <c r="Q568" i="3" s="1"/>
  <c r="R568" i="3" s="1"/>
  <c r="S568" i="3" s="1"/>
  <c r="T568" i="3" l="1"/>
  <c r="AG568" i="3" s="1"/>
  <c r="U567" i="3"/>
  <c r="Y566" i="3"/>
  <c r="AH568" i="3" l="1"/>
  <c r="E568" i="3"/>
  <c r="H568" i="3" s="1"/>
  <c r="K568" i="3" s="1"/>
  <c r="AE568" i="3" s="1"/>
  <c r="D568" i="3"/>
  <c r="F568" i="3" l="1"/>
  <c r="G568" i="3"/>
  <c r="I568" i="3" s="1"/>
  <c r="V568" i="3"/>
  <c r="A569" i="3"/>
  <c r="B569" i="3" s="1"/>
  <c r="M568" i="3" l="1"/>
  <c r="N568" i="3" s="1"/>
  <c r="J568" i="3"/>
  <c r="L568" i="3" s="1"/>
  <c r="P569" i="3"/>
  <c r="Q569" i="3" s="1"/>
  <c r="R569" i="3" s="1"/>
  <c r="S569" i="3" s="1"/>
  <c r="AD569" i="3"/>
  <c r="AC569" i="3"/>
  <c r="AA569" i="3"/>
  <c r="Z569" i="3"/>
  <c r="W568" i="3"/>
  <c r="U568" i="3" l="1"/>
  <c r="Y567" i="3"/>
  <c r="T569" i="3"/>
  <c r="AG569" i="3" s="1"/>
  <c r="E569" i="3" l="1"/>
  <c r="H569" i="3" s="1"/>
  <c r="AH569" i="3"/>
  <c r="D569" i="3"/>
  <c r="F569" i="3" l="1"/>
  <c r="G569" i="3"/>
  <c r="K569" i="3"/>
  <c r="AE569" i="3" s="1"/>
  <c r="V569" i="3" l="1"/>
  <c r="A570" i="3"/>
  <c r="B570" i="3" s="1"/>
  <c r="I569" i="3"/>
  <c r="J569" i="3"/>
  <c r="M569" i="3"/>
  <c r="N569" i="3" s="1"/>
  <c r="L569" i="3" l="1"/>
  <c r="Z570" i="3"/>
  <c r="AA570" i="3"/>
  <c r="AC570" i="3"/>
  <c r="AD570" i="3"/>
  <c r="P570" i="3"/>
  <c r="Q570" i="3" s="1"/>
  <c r="R570" i="3" s="1"/>
  <c r="S570" i="3" s="1"/>
  <c r="W569" i="3"/>
  <c r="T570" i="3" l="1"/>
  <c r="AG570" i="3" s="1"/>
  <c r="U569" i="3"/>
  <c r="Y568" i="3"/>
  <c r="E570" i="3" l="1"/>
  <c r="H570" i="3" s="1"/>
  <c r="K570" i="3" s="1"/>
  <c r="AE570" i="3" s="1"/>
  <c r="AH570" i="3"/>
  <c r="D570" i="3"/>
  <c r="F570" i="3" l="1"/>
  <c r="G570" i="3"/>
  <c r="I570" i="3" s="1"/>
  <c r="V570" i="3"/>
  <c r="A571" i="3"/>
  <c r="B571" i="3" s="1"/>
  <c r="M570" i="3" l="1"/>
  <c r="N570" i="3" s="1"/>
  <c r="J570" i="3"/>
  <c r="L570" i="3" s="1"/>
  <c r="AD571" i="3"/>
  <c r="AA571" i="3"/>
  <c r="AC571" i="3"/>
  <c r="Z571" i="3"/>
  <c r="P571" i="3"/>
  <c r="Q571" i="3" s="1"/>
  <c r="R571" i="3" s="1"/>
  <c r="S571" i="3" s="1"/>
  <c r="W570" i="3"/>
  <c r="T571" i="3" l="1"/>
  <c r="AH571" i="3" s="1"/>
  <c r="U570" i="3"/>
  <c r="Y569" i="3"/>
  <c r="E571" i="3" l="1"/>
  <c r="H571" i="3" s="1"/>
  <c r="K571" i="3" s="1"/>
  <c r="AE571" i="3" s="1"/>
  <c r="AG571" i="3"/>
  <c r="D571" i="3"/>
  <c r="F571" i="3" l="1"/>
  <c r="G571" i="3"/>
  <c r="I571" i="3" s="1"/>
  <c r="V571" i="3"/>
  <c r="A572" i="3"/>
  <c r="B572" i="3" s="1"/>
  <c r="J571" i="3" l="1"/>
  <c r="L571" i="3" s="1"/>
  <c r="M571" i="3"/>
  <c r="N571" i="3" s="1"/>
  <c r="AA572" i="3"/>
  <c r="AC572" i="3"/>
  <c r="P572" i="3"/>
  <c r="Q572" i="3" s="1"/>
  <c r="R572" i="3" s="1"/>
  <c r="S572" i="3" s="1"/>
  <c r="Z572" i="3"/>
  <c r="AD572" i="3"/>
  <c r="W571" i="3"/>
  <c r="T572" i="3" l="1"/>
  <c r="AH572" i="3" s="1"/>
  <c r="U571" i="3"/>
  <c r="Y570" i="3"/>
  <c r="AG572" i="3" l="1"/>
  <c r="E572" i="3"/>
  <c r="H572" i="3" s="1"/>
  <c r="K572" i="3" s="1"/>
  <c r="AE572" i="3" s="1"/>
  <c r="D572" i="3"/>
  <c r="F572" i="3" l="1"/>
  <c r="G572" i="3"/>
  <c r="I572" i="3" s="1"/>
  <c r="V572" i="3"/>
  <c r="A573" i="3"/>
  <c r="B573" i="3" s="1"/>
  <c r="M572" i="3" l="1"/>
  <c r="N572" i="3" s="1"/>
  <c r="J572" i="3"/>
  <c r="L572" i="3" s="1"/>
  <c r="P573" i="3"/>
  <c r="Q573" i="3" s="1"/>
  <c r="R573" i="3" s="1"/>
  <c r="S573" i="3" s="1"/>
  <c r="AC573" i="3"/>
  <c r="AA573" i="3"/>
  <c r="AD573" i="3"/>
  <c r="Z573" i="3"/>
  <c r="W572" i="3"/>
  <c r="T573" i="3" l="1"/>
  <c r="AH573" i="3" s="1"/>
  <c r="U572" i="3"/>
  <c r="Y571" i="3"/>
  <c r="AG573" i="3" l="1"/>
  <c r="D573" i="3"/>
  <c r="E573" i="3"/>
  <c r="H573" i="3" s="1"/>
  <c r="K573" i="3" l="1"/>
  <c r="AE573" i="3" s="1"/>
  <c r="F573" i="3"/>
  <c r="G573" i="3"/>
  <c r="I573" i="3" l="1"/>
  <c r="J573" i="3"/>
  <c r="M573" i="3"/>
  <c r="N573" i="3" s="1"/>
  <c r="V573" i="3"/>
  <c r="A574" i="3"/>
  <c r="B574" i="3" s="1"/>
  <c r="W573" i="3" l="1"/>
  <c r="P574" i="3"/>
  <c r="Q574" i="3" s="1"/>
  <c r="R574" i="3" s="1"/>
  <c r="S574" i="3" s="1"/>
  <c r="Z574" i="3"/>
  <c r="AC574" i="3"/>
  <c r="AA574" i="3"/>
  <c r="L573" i="3"/>
  <c r="U573" i="3" l="1"/>
  <c r="Y572" i="3"/>
  <c r="T574" i="3"/>
  <c r="D574" i="3" l="1"/>
  <c r="G574" i="3" s="1"/>
  <c r="AG574" i="3"/>
  <c r="E574" i="3"/>
  <c r="H574" i="3" s="1"/>
  <c r="AH574" i="3"/>
  <c r="K574" i="3" l="1"/>
  <c r="AE574" i="3" s="1"/>
  <c r="I574" i="3"/>
  <c r="J574" i="3"/>
  <c r="AD574" i="3" s="1"/>
  <c r="M574" i="3"/>
  <c r="N574" i="3" s="1"/>
  <c r="F574" i="3"/>
  <c r="L574" i="3" l="1"/>
  <c r="V574" i="3"/>
  <c r="W574" i="3" s="1"/>
  <c r="A575" i="3"/>
  <c r="B575" i="3" s="1"/>
  <c r="AD575" i="3" l="1"/>
  <c r="P575" i="3"/>
  <c r="Q575" i="3" s="1"/>
  <c r="R575" i="3" s="1"/>
  <c r="S575" i="3" s="1"/>
  <c r="AA575" i="3"/>
  <c r="AC575" i="3"/>
  <c r="Z575" i="3"/>
  <c r="U574" i="3"/>
  <c r="Y573" i="3"/>
  <c r="T575" i="3" l="1"/>
  <c r="E575" i="3" s="1"/>
  <c r="H575" i="3" s="1"/>
  <c r="K575" i="3" l="1"/>
  <c r="AE575" i="3" s="1"/>
  <c r="D575" i="3"/>
  <c r="AH575" i="3"/>
  <c r="AG575" i="3"/>
  <c r="F575" i="3" l="1"/>
  <c r="G575" i="3"/>
  <c r="V575" i="3"/>
  <c r="A576" i="3"/>
  <c r="B576" i="3" s="1"/>
  <c r="AD576" i="3" l="1"/>
  <c r="Z576" i="3"/>
  <c r="AA576" i="3"/>
  <c r="AC576" i="3"/>
  <c r="P576" i="3"/>
  <c r="Q576" i="3" s="1"/>
  <c r="R576" i="3" s="1"/>
  <c r="S576" i="3" s="1"/>
  <c r="I575" i="3"/>
  <c r="W575" i="3" s="1"/>
  <c r="J575" i="3"/>
  <c r="M575" i="3"/>
  <c r="N575" i="3" s="1"/>
  <c r="T576" i="3" l="1"/>
  <c r="L575" i="3"/>
  <c r="AG576" i="3" l="1"/>
  <c r="AH576" i="3"/>
  <c r="U575" i="3"/>
  <c r="D576" i="3" s="1"/>
  <c r="Y574" i="3"/>
  <c r="E576" i="3" l="1"/>
  <c r="H576" i="3" s="1"/>
  <c r="K576" i="3" s="1"/>
  <c r="AE576" i="3" s="1"/>
  <c r="G576" i="3"/>
  <c r="F576" i="3" l="1"/>
  <c r="V576" i="3"/>
  <c r="A577" i="3"/>
  <c r="B577" i="3" s="1"/>
  <c r="I576" i="3"/>
  <c r="J576" i="3"/>
  <c r="M576" i="3"/>
  <c r="N576" i="3" s="1"/>
  <c r="L576" i="3" l="1"/>
  <c r="P577" i="3"/>
  <c r="Q577" i="3" s="1"/>
  <c r="R577" i="3" s="1"/>
  <c r="S577" i="3" s="1"/>
  <c r="AA577" i="3"/>
  <c r="AC577" i="3"/>
  <c r="AD577" i="3"/>
  <c r="Z577" i="3"/>
  <c r="W576" i="3"/>
  <c r="T577" i="3" l="1"/>
  <c r="AG577" i="3" s="1"/>
  <c r="U576" i="3"/>
  <c r="Y575" i="3"/>
  <c r="E577" i="3" l="1"/>
  <c r="H577" i="3" s="1"/>
  <c r="K577" i="3" s="1"/>
  <c r="AE577" i="3" s="1"/>
  <c r="AH577" i="3"/>
  <c r="D577" i="3"/>
  <c r="F577" i="3" l="1"/>
  <c r="G577" i="3"/>
  <c r="I577" i="3" s="1"/>
  <c r="V577" i="3"/>
  <c r="A578" i="3"/>
  <c r="B578" i="3" s="1"/>
  <c r="M577" i="3" l="1"/>
  <c r="N577" i="3" s="1"/>
  <c r="J577" i="3"/>
  <c r="L577" i="3" s="1"/>
  <c r="Z578" i="3"/>
  <c r="AA578" i="3"/>
  <c r="AC578" i="3"/>
  <c r="AD578" i="3"/>
  <c r="P578" i="3"/>
  <c r="Q578" i="3" s="1"/>
  <c r="R578" i="3" s="1"/>
  <c r="S578" i="3" s="1"/>
  <c r="W577" i="3"/>
  <c r="T578" i="3" l="1"/>
  <c r="AG578" i="3" s="1"/>
  <c r="U577" i="3"/>
  <c r="Y576" i="3"/>
  <c r="D578" i="3" l="1"/>
  <c r="G578" i="3" s="1"/>
  <c r="E578" i="3"/>
  <c r="H578" i="3" s="1"/>
  <c r="K578" i="3" s="1"/>
  <c r="AE578" i="3" s="1"/>
  <c r="AH578" i="3"/>
  <c r="F578" i="3" l="1"/>
  <c r="I578" i="3"/>
  <c r="J578" i="3"/>
  <c r="M578" i="3"/>
  <c r="N578" i="3" s="1"/>
  <c r="V578" i="3"/>
  <c r="A579" i="3"/>
  <c r="B579" i="3" s="1"/>
  <c r="W578" i="3" l="1"/>
  <c r="AD579" i="3"/>
  <c r="AA579" i="3"/>
  <c r="Z579" i="3"/>
  <c r="AC579" i="3"/>
  <c r="P579" i="3"/>
  <c r="Q579" i="3" s="1"/>
  <c r="R579" i="3" s="1"/>
  <c r="S579" i="3" s="1"/>
  <c r="L578" i="3"/>
  <c r="T579" i="3" l="1"/>
  <c r="AG579" i="3" s="1"/>
  <c r="U578" i="3"/>
  <c r="Y577" i="3"/>
  <c r="E579" i="3" l="1"/>
  <c r="H579" i="3" s="1"/>
  <c r="K579" i="3" s="1"/>
  <c r="AE579" i="3" s="1"/>
  <c r="D579" i="3"/>
  <c r="AH579" i="3"/>
  <c r="F579" i="3" l="1"/>
  <c r="G579" i="3"/>
  <c r="I579" i="3" s="1"/>
  <c r="V579" i="3"/>
  <c r="A580" i="3"/>
  <c r="B580" i="3" s="1"/>
  <c r="M579" i="3" l="1"/>
  <c r="N579" i="3" s="1"/>
  <c r="J579" i="3"/>
  <c r="L579" i="3" s="1"/>
  <c r="W579" i="3"/>
  <c r="P580" i="3"/>
  <c r="Q580" i="3" s="1"/>
  <c r="R580" i="3" s="1"/>
  <c r="S580" i="3" s="1"/>
  <c r="AD580" i="3"/>
  <c r="AA580" i="3"/>
  <c r="Z580" i="3"/>
  <c r="AC580" i="3"/>
  <c r="U579" i="3" l="1"/>
  <c r="Y578" i="3"/>
  <c r="T580" i="3"/>
  <c r="AG580" i="3" s="1"/>
  <c r="D580" i="3" l="1"/>
  <c r="AH580" i="3"/>
  <c r="E580" i="3"/>
  <c r="H580" i="3" s="1"/>
  <c r="K580" i="3" l="1"/>
  <c r="AE580" i="3" s="1"/>
  <c r="F580" i="3"/>
  <c r="G580" i="3"/>
  <c r="I580" i="3" l="1"/>
  <c r="J580" i="3"/>
  <c r="M580" i="3"/>
  <c r="N580" i="3" s="1"/>
  <c r="V580" i="3"/>
  <c r="A581" i="3"/>
  <c r="B581" i="3" s="1"/>
  <c r="W580" i="3" l="1"/>
  <c r="AA581" i="3"/>
  <c r="P581" i="3"/>
  <c r="Q581" i="3" s="1"/>
  <c r="R581" i="3" s="1"/>
  <c r="S581" i="3" s="1"/>
  <c r="AD581" i="3"/>
  <c r="AC581" i="3"/>
  <c r="Z581" i="3"/>
  <c r="L580" i="3"/>
  <c r="T581" i="3" l="1"/>
  <c r="AH581" i="3" s="1"/>
  <c r="U580" i="3"/>
  <c r="Y579" i="3"/>
  <c r="E581" i="3" l="1"/>
  <c r="H581" i="3" s="1"/>
  <c r="K581" i="3" s="1"/>
  <c r="AE581" i="3" s="1"/>
  <c r="AG581" i="3"/>
  <c r="D581" i="3"/>
  <c r="F581" i="3" l="1"/>
  <c r="G581" i="3"/>
  <c r="V581" i="3"/>
  <c r="A582" i="3"/>
  <c r="B582" i="3" s="1"/>
  <c r="AA582" i="3" l="1"/>
  <c r="Z582" i="3"/>
  <c r="P582" i="3"/>
  <c r="Q582" i="3" s="1"/>
  <c r="R582" i="3" s="1"/>
  <c r="S582" i="3" s="1"/>
  <c r="AC582" i="3"/>
  <c r="AD582" i="3"/>
  <c r="I581" i="3"/>
  <c r="W581" i="3" s="1"/>
  <c r="J581" i="3"/>
  <c r="M581" i="3"/>
  <c r="N581" i="3" s="1"/>
  <c r="L581" i="3" l="1"/>
  <c r="T582" i="3"/>
  <c r="U581" i="3" l="1"/>
  <c r="D582" i="3" s="1"/>
  <c r="AG582" i="3"/>
  <c r="AH582" i="3"/>
  <c r="Y580" i="3"/>
  <c r="E582" i="3" l="1"/>
  <c r="H582" i="3" s="1"/>
  <c r="K582" i="3" s="1"/>
  <c r="AE582" i="3" s="1"/>
  <c r="G582" i="3"/>
  <c r="F582" i="3" l="1"/>
  <c r="I582" i="3"/>
  <c r="J582" i="3"/>
  <c r="M582" i="3"/>
  <c r="N582" i="3" s="1"/>
  <c r="V582" i="3"/>
  <c r="A583" i="3"/>
  <c r="B583" i="3" s="1"/>
  <c r="W582" i="3" l="1"/>
  <c r="P583" i="3"/>
  <c r="Q583" i="3" s="1"/>
  <c r="R583" i="3" s="1"/>
  <c r="S583" i="3" s="1"/>
  <c r="AD583" i="3"/>
  <c r="AA583" i="3"/>
  <c r="Z583" i="3"/>
  <c r="AC583" i="3"/>
  <c r="L582" i="3"/>
  <c r="T583" i="3" l="1"/>
  <c r="AH583" i="3" s="1"/>
  <c r="U582" i="3"/>
  <c r="Y581" i="3"/>
  <c r="AG583" i="3" l="1"/>
  <c r="E583" i="3"/>
  <c r="H583" i="3" s="1"/>
  <c r="K583" i="3" s="1"/>
  <c r="AE583" i="3" s="1"/>
  <c r="D583" i="3"/>
  <c r="F583" i="3" l="1"/>
  <c r="G583" i="3"/>
  <c r="I583" i="3" s="1"/>
  <c r="V583" i="3"/>
  <c r="A584" i="3"/>
  <c r="B584" i="3" s="1"/>
  <c r="J583" i="3" l="1"/>
  <c r="L583" i="3" s="1"/>
  <c r="M583" i="3"/>
  <c r="N583" i="3" s="1"/>
  <c r="AA584" i="3"/>
  <c r="Z584" i="3"/>
  <c r="AC584" i="3"/>
  <c r="P584" i="3"/>
  <c r="Q584" i="3" s="1"/>
  <c r="R584" i="3" s="1"/>
  <c r="S584" i="3" s="1"/>
  <c r="W583" i="3"/>
  <c r="T584" i="3" l="1"/>
  <c r="AH584" i="3" s="1"/>
  <c r="U583" i="3"/>
  <c r="Y582" i="3"/>
  <c r="AG584" i="3" l="1"/>
  <c r="E584" i="3"/>
  <c r="H584" i="3" s="1"/>
  <c r="K584" i="3" s="1"/>
  <c r="AE584" i="3" s="1"/>
  <c r="D584" i="3"/>
  <c r="F584" i="3" l="1"/>
  <c r="G584" i="3"/>
  <c r="I584" i="3" s="1"/>
  <c r="V584" i="3"/>
  <c r="A585" i="3"/>
  <c r="B585" i="3" s="1"/>
  <c r="J584" i="3" l="1"/>
  <c r="AD584" i="3" s="1"/>
  <c r="W584" i="3"/>
  <c r="M584" i="3"/>
  <c r="N584" i="3" s="1"/>
  <c r="P585" i="3"/>
  <c r="Q585" i="3" s="1"/>
  <c r="R585" i="3" s="1"/>
  <c r="S585" i="3" s="1"/>
  <c r="AA585" i="3"/>
  <c r="AD585" i="3"/>
  <c r="AC585" i="3"/>
  <c r="Z585" i="3"/>
  <c r="L584" i="3" l="1"/>
  <c r="U584" i="3" s="1"/>
  <c r="T585" i="3"/>
  <c r="Y583" i="3" l="1"/>
  <c r="D585" i="3"/>
  <c r="G585" i="3" s="1"/>
  <c r="E585" i="3"/>
  <c r="H585" i="3" s="1"/>
  <c r="AG585" i="3"/>
  <c r="AH585" i="3"/>
  <c r="K585" i="3" l="1"/>
  <c r="AE585" i="3" s="1"/>
  <c r="I585" i="3"/>
  <c r="J585" i="3"/>
  <c r="M585" i="3"/>
  <c r="N585" i="3" s="1"/>
  <c r="F585" i="3"/>
  <c r="L585" i="3" l="1"/>
  <c r="V585" i="3"/>
  <c r="W585" i="3" s="1"/>
  <c r="A586" i="3"/>
  <c r="B586" i="3" s="1"/>
  <c r="P586" i="3" l="1"/>
  <c r="Q586" i="3" s="1"/>
  <c r="R586" i="3" s="1"/>
  <c r="S586" i="3" s="1"/>
  <c r="AA586" i="3"/>
  <c r="AC586" i="3"/>
  <c r="Z586" i="3"/>
  <c r="AD586" i="3"/>
  <c r="U585" i="3"/>
  <c r="Y584" i="3"/>
  <c r="T586" i="3" l="1"/>
  <c r="E586" i="3" l="1"/>
  <c r="H586" i="3" s="1"/>
  <c r="D586" i="3"/>
  <c r="AH586" i="3"/>
  <c r="AG586" i="3"/>
  <c r="F586" i="3" l="1"/>
  <c r="G586" i="3"/>
  <c r="K586" i="3"/>
  <c r="AE586" i="3" s="1"/>
  <c r="V586" i="3" l="1"/>
  <c r="A587" i="3"/>
  <c r="B587" i="3" s="1"/>
  <c r="I586" i="3"/>
  <c r="J586" i="3"/>
  <c r="M586" i="3"/>
  <c r="N586" i="3" s="1"/>
  <c r="L586" i="3" l="1"/>
  <c r="Z587" i="3"/>
  <c r="P587" i="3"/>
  <c r="Q587" i="3" s="1"/>
  <c r="R587" i="3" s="1"/>
  <c r="S587" i="3" s="1"/>
  <c r="AD587" i="3"/>
  <c r="AA587" i="3"/>
  <c r="AC587" i="3"/>
  <c r="W586" i="3"/>
  <c r="T587" i="3" l="1"/>
  <c r="AG587" i="3" s="1"/>
  <c r="U586" i="3"/>
  <c r="Y585" i="3"/>
  <c r="AH587" i="3" l="1"/>
  <c r="E587" i="3"/>
  <c r="H587" i="3" s="1"/>
  <c r="K587" i="3" s="1"/>
  <c r="AE587" i="3" s="1"/>
  <c r="D587" i="3"/>
  <c r="F587" i="3" l="1"/>
  <c r="G587" i="3"/>
  <c r="I587" i="3" s="1"/>
  <c r="V587" i="3"/>
  <c r="A588" i="3"/>
  <c r="B588" i="3" s="1"/>
  <c r="M587" i="3" l="1"/>
  <c r="N587" i="3" s="1"/>
  <c r="W587" i="3"/>
  <c r="J587" i="3"/>
  <c r="L587" i="3" s="1"/>
  <c r="AC588" i="3"/>
  <c r="AA588" i="3"/>
  <c r="P588" i="3"/>
  <c r="Q588" i="3" s="1"/>
  <c r="R588" i="3" s="1"/>
  <c r="S588" i="3" s="1"/>
  <c r="Z588" i="3"/>
  <c r="AD588" i="3"/>
  <c r="T588" i="3" l="1"/>
  <c r="AH588" i="3" s="1"/>
  <c r="U587" i="3"/>
  <c r="Y586" i="3"/>
  <c r="AG588" i="3" l="1"/>
  <c r="E588" i="3"/>
  <c r="H588" i="3" s="1"/>
  <c r="K588" i="3" s="1"/>
  <c r="AE588" i="3" s="1"/>
  <c r="D588" i="3"/>
  <c r="F588" i="3" l="1"/>
  <c r="G588" i="3"/>
  <c r="I588" i="3" s="1"/>
  <c r="V588" i="3"/>
  <c r="A589" i="3"/>
  <c r="B589" i="3" s="1"/>
  <c r="M588" i="3" l="1"/>
  <c r="N588" i="3" s="1"/>
  <c r="J588" i="3"/>
  <c r="L588" i="3" s="1"/>
  <c r="W588" i="3"/>
  <c r="P589" i="3"/>
  <c r="Q589" i="3" s="1"/>
  <c r="R589" i="3" s="1"/>
  <c r="S589" i="3" s="1"/>
  <c r="AC589" i="3"/>
  <c r="AD589" i="3"/>
  <c r="AA589" i="3"/>
  <c r="Z589" i="3"/>
  <c r="T589" i="3" l="1"/>
  <c r="AH589" i="3" s="1"/>
  <c r="U588" i="3"/>
  <c r="Y587" i="3"/>
  <c r="AG589" i="3" l="1"/>
  <c r="D589" i="3"/>
  <c r="G589" i="3" s="1"/>
  <c r="E589" i="3"/>
  <c r="H589" i="3" s="1"/>
  <c r="K589" i="3" s="1"/>
  <c r="AE589" i="3" s="1"/>
  <c r="F589" i="3" l="1"/>
  <c r="V589" i="3"/>
  <c r="A590" i="3"/>
  <c r="B590" i="3" s="1"/>
  <c r="I589" i="3"/>
  <c r="J589" i="3"/>
  <c r="M589" i="3"/>
  <c r="N589" i="3" s="1"/>
  <c r="L589" i="3" l="1"/>
  <c r="Z590" i="3"/>
  <c r="AD590" i="3"/>
  <c r="P590" i="3"/>
  <c r="Q590" i="3" s="1"/>
  <c r="R590" i="3" s="1"/>
  <c r="S590" i="3" s="1"/>
  <c r="AA590" i="3"/>
  <c r="AC590" i="3"/>
  <c r="W589" i="3"/>
  <c r="T590" i="3" l="1"/>
  <c r="AH590" i="3" s="1"/>
  <c r="U589" i="3"/>
  <c r="Y588" i="3"/>
  <c r="AG590" i="3" l="1"/>
  <c r="E590" i="3"/>
  <c r="H590" i="3" s="1"/>
  <c r="K590" i="3" s="1"/>
  <c r="AE590" i="3" s="1"/>
  <c r="D590" i="3"/>
  <c r="F590" i="3" l="1"/>
  <c r="G590" i="3"/>
  <c r="I590" i="3" s="1"/>
  <c r="V590" i="3"/>
  <c r="A591" i="3"/>
  <c r="B591" i="3" s="1"/>
  <c r="M590" i="3" l="1"/>
  <c r="N590" i="3" s="1"/>
  <c r="J590" i="3"/>
  <c r="L590" i="3" s="1"/>
  <c r="Z591" i="3"/>
  <c r="AA591" i="3"/>
  <c r="AD591" i="3"/>
  <c r="AC591" i="3"/>
  <c r="P591" i="3"/>
  <c r="Q591" i="3" s="1"/>
  <c r="R591" i="3" s="1"/>
  <c r="S591" i="3" s="1"/>
  <c r="W590" i="3"/>
  <c r="T591" i="3" l="1"/>
  <c r="AH591" i="3" s="1"/>
  <c r="U590" i="3"/>
  <c r="Y589" i="3"/>
  <c r="E591" i="3" l="1"/>
  <c r="H591" i="3" s="1"/>
  <c r="K591" i="3" s="1"/>
  <c r="AE591" i="3" s="1"/>
  <c r="AG591" i="3"/>
  <c r="D591" i="3"/>
  <c r="F591" i="3" l="1"/>
  <c r="G591" i="3"/>
  <c r="I591" i="3" s="1"/>
  <c r="V591" i="3"/>
  <c r="A592" i="3"/>
  <c r="B592" i="3" s="1"/>
  <c r="W591" i="3" l="1"/>
  <c r="M591" i="3"/>
  <c r="N591" i="3" s="1"/>
  <c r="J591" i="3"/>
  <c r="L591" i="3" s="1"/>
  <c r="AC592" i="3"/>
  <c r="AA592" i="3"/>
  <c r="Z592" i="3"/>
  <c r="AD592" i="3"/>
  <c r="P592" i="3"/>
  <c r="Q592" i="3" s="1"/>
  <c r="R592" i="3" s="1"/>
  <c r="S592" i="3" s="1"/>
  <c r="T592" i="3" l="1"/>
  <c r="AH592" i="3" s="1"/>
  <c r="U591" i="3"/>
  <c r="Y590" i="3"/>
  <c r="D592" i="3" l="1"/>
  <c r="AG592" i="3"/>
  <c r="E592" i="3"/>
  <c r="H592" i="3" s="1"/>
  <c r="K592" i="3" s="1"/>
  <c r="AE592" i="3" s="1"/>
  <c r="F592" i="3" l="1"/>
  <c r="G592" i="3"/>
  <c r="I592" i="3" s="1"/>
  <c r="V592" i="3"/>
  <c r="A593" i="3"/>
  <c r="B593" i="3" s="1"/>
  <c r="M592" i="3" l="1"/>
  <c r="N592" i="3" s="1"/>
  <c r="J592" i="3"/>
  <c r="L592" i="3" s="1"/>
  <c r="Z593" i="3"/>
  <c r="P593" i="3"/>
  <c r="Q593" i="3" s="1"/>
  <c r="R593" i="3" s="1"/>
  <c r="S593" i="3" s="1"/>
  <c r="AA593" i="3"/>
  <c r="AD593" i="3"/>
  <c r="AC593" i="3"/>
  <c r="W592" i="3"/>
  <c r="T593" i="3" l="1"/>
  <c r="AH593" i="3" s="1"/>
  <c r="U592" i="3"/>
  <c r="Y591" i="3"/>
  <c r="AG593" i="3" l="1"/>
  <c r="D593" i="3"/>
  <c r="G593" i="3" s="1"/>
  <c r="E593" i="3"/>
  <c r="H593" i="3" s="1"/>
  <c r="F593" i="3" l="1"/>
  <c r="K593" i="3"/>
  <c r="AE593" i="3" s="1"/>
  <c r="I593" i="3"/>
  <c r="J593" i="3"/>
  <c r="M593" i="3"/>
  <c r="N593" i="3" s="1"/>
  <c r="V593" i="3" l="1"/>
  <c r="W593" i="3" s="1"/>
  <c r="A594" i="3"/>
  <c r="B594" i="3" s="1"/>
  <c r="L593" i="3"/>
  <c r="U593" i="3" l="1"/>
  <c r="Y592" i="3"/>
  <c r="AC594" i="3"/>
  <c r="Z594" i="3"/>
  <c r="AA594" i="3"/>
  <c r="P594" i="3"/>
  <c r="Q594" i="3" s="1"/>
  <c r="R594" i="3" s="1"/>
  <c r="S594" i="3" s="1"/>
  <c r="T594" i="3" l="1"/>
  <c r="AG594" i="3" s="1"/>
  <c r="D594" i="3" l="1"/>
  <c r="G594" i="3" s="1"/>
  <c r="AH594" i="3"/>
  <c r="E594" i="3"/>
  <c r="H594" i="3" s="1"/>
  <c r="K594" i="3" l="1"/>
  <c r="AE594" i="3" s="1"/>
  <c r="I594" i="3"/>
  <c r="J594" i="3"/>
  <c r="AD594" i="3" s="1"/>
  <c r="M594" i="3"/>
  <c r="N594" i="3" s="1"/>
  <c r="F594" i="3"/>
  <c r="V594" i="3" l="1"/>
  <c r="W594" i="3" s="1"/>
  <c r="A595" i="3"/>
  <c r="B595" i="3" s="1"/>
  <c r="L594" i="3"/>
  <c r="U594" i="3" l="1"/>
  <c r="Y593" i="3"/>
  <c r="Z595" i="3"/>
  <c r="AD595" i="3"/>
  <c r="AA595" i="3"/>
  <c r="P595" i="3"/>
  <c r="Q595" i="3" s="1"/>
  <c r="R595" i="3" s="1"/>
  <c r="S595" i="3" s="1"/>
  <c r="AC595" i="3"/>
  <c r="T595" i="3" l="1"/>
  <c r="E595" i="3" s="1"/>
  <c r="H595" i="3" s="1"/>
  <c r="AH595" i="3" l="1"/>
  <c r="D595" i="3"/>
  <c r="F595" i="3" s="1"/>
  <c r="AG595" i="3"/>
  <c r="K595" i="3"/>
  <c r="AE595" i="3" s="1"/>
  <c r="G595" i="3" l="1"/>
  <c r="I595" i="3" s="1"/>
  <c r="V595" i="3"/>
  <c r="A596" i="3"/>
  <c r="B596" i="3" s="1"/>
  <c r="M595" i="3" l="1"/>
  <c r="N595" i="3" s="1"/>
  <c r="J595" i="3"/>
  <c r="L595" i="3" s="1"/>
  <c r="W595" i="3"/>
  <c r="AA596" i="3"/>
  <c r="P596" i="3"/>
  <c r="Q596" i="3" s="1"/>
  <c r="R596" i="3" s="1"/>
  <c r="S596" i="3" s="1"/>
  <c r="Z596" i="3"/>
  <c r="AC596" i="3"/>
  <c r="AD596" i="3"/>
  <c r="T596" i="3" l="1"/>
  <c r="AG596" i="3" s="1"/>
  <c r="U595" i="3"/>
  <c r="Y594" i="3"/>
  <c r="AH596" i="3" l="1"/>
  <c r="E596" i="3"/>
  <c r="H596" i="3" s="1"/>
  <c r="K596" i="3" s="1"/>
  <c r="AE596" i="3" s="1"/>
  <c r="D596" i="3"/>
  <c r="G596" i="3" s="1"/>
  <c r="F596" i="3" l="1"/>
  <c r="I596" i="3"/>
  <c r="J596" i="3"/>
  <c r="M596" i="3"/>
  <c r="N596" i="3" s="1"/>
  <c r="V596" i="3"/>
  <c r="A597" i="3"/>
  <c r="B597" i="3" s="1"/>
  <c r="W596" i="3" l="1"/>
  <c r="AA597" i="3"/>
  <c r="AC597" i="3"/>
  <c r="AD597" i="3"/>
  <c r="P597" i="3"/>
  <c r="Q597" i="3" s="1"/>
  <c r="R597" i="3" s="1"/>
  <c r="S597" i="3" s="1"/>
  <c r="Z597" i="3"/>
  <c r="L596" i="3"/>
  <c r="U596" i="3" l="1"/>
  <c r="Y595" i="3"/>
  <c r="T597" i="3"/>
  <c r="D597" i="3" l="1"/>
  <c r="G597" i="3" s="1"/>
  <c r="AG597" i="3"/>
  <c r="E597" i="3"/>
  <c r="H597" i="3" s="1"/>
  <c r="AH597" i="3"/>
  <c r="K597" i="3" l="1"/>
  <c r="AE597" i="3" s="1"/>
  <c r="I597" i="3"/>
  <c r="J597" i="3"/>
  <c r="M597" i="3"/>
  <c r="N597" i="3" s="1"/>
  <c r="F597" i="3"/>
  <c r="L597" i="3" l="1"/>
  <c r="V597" i="3"/>
  <c r="W597" i="3" s="1"/>
  <c r="A598" i="3"/>
  <c r="B598" i="3" s="1"/>
  <c r="P598" i="3" l="1"/>
  <c r="Q598" i="3" s="1"/>
  <c r="R598" i="3" s="1"/>
  <c r="S598" i="3" s="1"/>
  <c r="AC598" i="3"/>
  <c r="Z598" i="3"/>
  <c r="AD598" i="3"/>
  <c r="AA598" i="3"/>
  <c r="U597" i="3"/>
  <c r="Y596" i="3"/>
  <c r="T598" i="3" l="1"/>
  <c r="AG598" i="3" l="1"/>
  <c r="D598" i="3"/>
  <c r="AH598" i="3"/>
  <c r="E598" i="3"/>
  <c r="H598" i="3" s="1"/>
  <c r="F598" i="3" l="1"/>
  <c r="G598" i="3"/>
  <c r="K598" i="3"/>
  <c r="AE598" i="3" s="1"/>
  <c r="V598" i="3" l="1"/>
  <c r="A599" i="3"/>
  <c r="B599" i="3" s="1"/>
  <c r="I598" i="3"/>
  <c r="J598" i="3"/>
  <c r="M598" i="3"/>
  <c r="N598" i="3" s="1"/>
  <c r="L598" i="3" l="1"/>
  <c r="AD599" i="3"/>
  <c r="Z599" i="3"/>
  <c r="AA599" i="3"/>
  <c r="P599" i="3"/>
  <c r="Q599" i="3" s="1"/>
  <c r="R599" i="3" s="1"/>
  <c r="S599" i="3" s="1"/>
  <c r="AC599" i="3"/>
  <c r="W598" i="3"/>
  <c r="T599" i="3" l="1"/>
  <c r="AH599" i="3" s="1"/>
  <c r="U598" i="3"/>
  <c r="Y597" i="3"/>
  <c r="AG599" i="3" l="1"/>
  <c r="E599" i="3"/>
  <c r="H599" i="3" s="1"/>
  <c r="K599" i="3" s="1"/>
  <c r="AE599" i="3" s="1"/>
  <c r="D599" i="3"/>
  <c r="F599" i="3" l="1"/>
  <c r="G599" i="3"/>
  <c r="I599" i="3" s="1"/>
  <c r="V599" i="3"/>
  <c r="A600" i="3"/>
  <c r="B600" i="3" s="1"/>
  <c r="M599" i="3" l="1"/>
  <c r="N599" i="3" s="1"/>
  <c r="J599" i="3"/>
  <c r="L599" i="3" s="1"/>
  <c r="AD600" i="3"/>
  <c r="AC600" i="3"/>
  <c r="AA600" i="3"/>
  <c r="Z600" i="3"/>
  <c r="P600" i="3"/>
  <c r="Q600" i="3" s="1"/>
  <c r="R600" i="3" s="1"/>
  <c r="S600" i="3" s="1"/>
  <c r="W599" i="3"/>
  <c r="T600" i="3" l="1"/>
  <c r="AG600" i="3" s="1"/>
  <c r="U599" i="3"/>
  <c r="Y598" i="3"/>
  <c r="E600" i="3" l="1"/>
  <c r="H600" i="3" s="1"/>
  <c r="K600" i="3" s="1"/>
  <c r="AE600" i="3" s="1"/>
  <c r="D600" i="3"/>
  <c r="AH600" i="3"/>
  <c r="F600" i="3" l="1"/>
  <c r="G600" i="3"/>
  <c r="I600" i="3" s="1"/>
  <c r="V600" i="3"/>
  <c r="A601" i="3"/>
  <c r="B601" i="3" s="1"/>
  <c r="M600" i="3" l="1"/>
  <c r="N600" i="3" s="1"/>
  <c r="J600" i="3"/>
  <c r="L600" i="3" s="1"/>
  <c r="W600" i="3"/>
  <c r="Z601" i="3"/>
  <c r="AD601" i="3"/>
  <c r="AA601" i="3"/>
  <c r="AC601" i="3"/>
  <c r="P601" i="3"/>
  <c r="Q601" i="3" s="1"/>
  <c r="R601" i="3" s="1"/>
  <c r="S601" i="3" s="1"/>
  <c r="T601" i="3" l="1"/>
  <c r="U600" i="3"/>
  <c r="Y599" i="3"/>
  <c r="E601" i="3" l="1"/>
  <c r="H601" i="3" s="1"/>
  <c r="K601" i="3" s="1"/>
  <c r="AE601" i="3" s="1"/>
  <c r="AH601" i="3"/>
  <c r="AG601" i="3"/>
  <c r="D601" i="3"/>
  <c r="F601" i="3" l="1"/>
  <c r="G601" i="3"/>
  <c r="I601" i="3" s="1"/>
  <c r="V601" i="3"/>
  <c r="A602" i="3"/>
  <c r="B602" i="3" s="1"/>
  <c r="M601" i="3" l="1"/>
  <c r="N601" i="3" s="1"/>
  <c r="J601" i="3"/>
  <c r="L601" i="3" s="1"/>
  <c r="W601" i="3"/>
  <c r="P602" i="3"/>
  <c r="Q602" i="3" s="1"/>
  <c r="R602" i="3" s="1"/>
  <c r="S602" i="3" s="1"/>
  <c r="AD602" i="3"/>
  <c r="AA602" i="3"/>
  <c r="Z602" i="3"/>
  <c r="AC602" i="3"/>
  <c r="U601" i="3" l="1"/>
  <c r="Y600" i="3"/>
  <c r="T602" i="3"/>
  <c r="E602" i="3" l="1"/>
  <c r="H602" i="3" s="1"/>
  <c r="K602" i="3" s="1"/>
  <c r="AE602" i="3" s="1"/>
  <c r="D602" i="3"/>
  <c r="G602" i="3" s="1"/>
  <c r="AH602" i="3"/>
  <c r="AG602" i="3"/>
  <c r="F602" i="3" l="1"/>
  <c r="V602" i="3"/>
  <c r="A603" i="3"/>
  <c r="B603" i="3" s="1"/>
  <c r="I602" i="3"/>
  <c r="J602" i="3"/>
  <c r="M602" i="3"/>
  <c r="N602" i="3" s="1"/>
  <c r="L602" i="3" l="1"/>
  <c r="AC603" i="3"/>
  <c r="AD603" i="3"/>
  <c r="Z603" i="3"/>
  <c r="AA603" i="3"/>
  <c r="P603" i="3"/>
  <c r="Q603" i="3" s="1"/>
  <c r="R603" i="3" s="1"/>
  <c r="S603" i="3" s="1"/>
  <c r="W602" i="3"/>
  <c r="T603" i="3" l="1"/>
  <c r="AG603" i="3" s="1"/>
  <c r="U602" i="3"/>
  <c r="Y601" i="3"/>
  <c r="AH603" i="3" l="1"/>
  <c r="D603" i="3"/>
  <c r="G603" i="3" s="1"/>
  <c r="E603" i="3"/>
  <c r="H603" i="3" s="1"/>
  <c r="K603" i="3" l="1"/>
  <c r="AE603" i="3" s="1"/>
  <c r="I603" i="3"/>
  <c r="J603" i="3"/>
  <c r="M603" i="3"/>
  <c r="N603" i="3" s="1"/>
  <c r="F603" i="3"/>
  <c r="L603" i="3" l="1"/>
  <c r="V603" i="3"/>
  <c r="W603" i="3" s="1"/>
  <c r="A604" i="3"/>
  <c r="B604" i="3" s="1"/>
  <c r="P604" i="3" l="1"/>
  <c r="Q604" i="3" s="1"/>
  <c r="R604" i="3" s="1"/>
  <c r="S604" i="3" s="1"/>
  <c r="AC604" i="3"/>
  <c r="Z604" i="3"/>
  <c r="AA604" i="3"/>
  <c r="U603" i="3"/>
  <c r="Y602" i="3"/>
  <c r="T604" i="3" l="1"/>
  <c r="AG604" i="3" l="1"/>
  <c r="AH604" i="3"/>
  <c r="E604" i="3"/>
  <c r="H604" i="3" s="1"/>
  <c r="D604" i="3"/>
  <c r="F604" i="3" l="1"/>
  <c r="G604" i="3"/>
  <c r="K604" i="3"/>
  <c r="AE604" i="3" s="1"/>
  <c r="V604" i="3" l="1"/>
  <c r="A605" i="3"/>
  <c r="B605" i="3" s="1"/>
  <c r="I604" i="3"/>
  <c r="J604" i="3"/>
  <c r="AD604" i="3" s="1"/>
  <c r="M604" i="3"/>
  <c r="N604" i="3" s="1"/>
  <c r="L604" i="3" l="1"/>
  <c r="AA605" i="3"/>
  <c r="AD605" i="3"/>
  <c r="AC605" i="3"/>
  <c r="Z605" i="3"/>
  <c r="P605" i="3"/>
  <c r="Q605" i="3" s="1"/>
  <c r="R605" i="3" s="1"/>
  <c r="S605" i="3" s="1"/>
  <c r="W604" i="3"/>
  <c r="T605" i="3" l="1"/>
  <c r="AG605" i="3" s="1"/>
  <c r="U604" i="3"/>
  <c r="Y603" i="3"/>
  <c r="E605" i="3" l="1"/>
  <c r="H605" i="3" s="1"/>
  <c r="K605" i="3" s="1"/>
  <c r="AE605" i="3" s="1"/>
  <c r="AH605" i="3"/>
  <c r="D605" i="3"/>
  <c r="F605" i="3" l="1"/>
  <c r="G605" i="3"/>
  <c r="V605" i="3"/>
  <c r="A606" i="3"/>
  <c r="B606" i="3" s="1"/>
  <c r="AD606" i="3" l="1"/>
  <c r="AC606" i="3"/>
  <c r="Z606" i="3"/>
  <c r="AA606" i="3"/>
  <c r="P606" i="3"/>
  <c r="Q606" i="3" s="1"/>
  <c r="R606" i="3" s="1"/>
  <c r="S606" i="3" s="1"/>
  <c r="I605" i="3"/>
  <c r="W605" i="3" s="1"/>
  <c r="J605" i="3"/>
  <c r="M605" i="3"/>
  <c r="N605" i="3" s="1"/>
  <c r="L605" i="3" l="1"/>
  <c r="T606" i="3"/>
  <c r="AH606" i="3" l="1"/>
  <c r="AG606" i="3"/>
  <c r="U605" i="3"/>
  <c r="D606" i="3" s="1"/>
  <c r="Y604" i="3"/>
  <c r="E606" i="3" l="1"/>
  <c r="H606" i="3" s="1"/>
  <c r="K606" i="3" s="1"/>
  <c r="AE606" i="3" s="1"/>
  <c r="G606" i="3"/>
  <c r="F606" i="3" l="1"/>
  <c r="V606" i="3"/>
  <c r="A607" i="3"/>
  <c r="B607" i="3" s="1"/>
  <c r="I606" i="3"/>
  <c r="J606" i="3"/>
  <c r="M606" i="3"/>
  <c r="N606" i="3" s="1"/>
  <c r="L606" i="3" l="1"/>
  <c r="AA607" i="3"/>
  <c r="P607" i="3"/>
  <c r="Q607" i="3" s="1"/>
  <c r="R607" i="3" s="1"/>
  <c r="S607" i="3" s="1"/>
  <c r="AC607" i="3"/>
  <c r="AD607" i="3"/>
  <c r="Z607" i="3"/>
  <c r="W606" i="3"/>
  <c r="T607" i="3" l="1"/>
  <c r="AH607" i="3" s="1"/>
  <c r="U606" i="3"/>
  <c r="Y605" i="3"/>
  <c r="E607" i="3" l="1"/>
  <c r="H607" i="3" s="1"/>
  <c r="K607" i="3" s="1"/>
  <c r="AE607" i="3" s="1"/>
  <c r="D607" i="3"/>
  <c r="AG607" i="3"/>
  <c r="F607" i="3" l="1"/>
  <c r="G607" i="3"/>
  <c r="I607" i="3" s="1"/>
  <c r="V607" i="3"/>
  <c r="A608" i="3"/>
  <c r="B608" i="3" s="1"/>
  <c r="M607" i="3" l="1"/>
  <c r="N607" i="3" s="1"/>
  <c r="J607" i="3"/>
  <c r="L607" i="3" s="1"/>
  <c r="AA608" i="3"/>
  <c r="P608" i="3"/>
  <c r="Q608" i="3" s="1"/>
  <c r="R608" i="3" s="1"/>
  <c r="S608" i="3" s="1"/>
  <c r="Z608" i="3"/>
  <c r="AC608" i="3"/>
  <c r="AD608" i="3"/>
  <c r="W607" i="3"/>
  <c r="U607" i="3" l="1"/>
  <c r="Y606" i="3"/>
  <c r="T608" i="3"/>
  <c r="AH608" i="3" s="1"/>
  <c r="E608" i="3" l="1"/>
  <c r="H608" i="3" s="1"/>
  <c r="D608" i="3"/>
  <c r="AG608" i="3"/>
  <c r="F608" i="3" l="1"/>
  <c r="G608" i="3"/>
  <c r="K608" i="3"/>
  <c r="AE608" i="3" s="1"/>
  <c r="V608" i="3" l="1"/>
  <c r="A609" i="3"/>
  <c r="B609" i="3" s="1"/>
  <c r="I608" i="3"/>
  <c r="J608" i="3"/>
  <c r="M608" i="3"/>
  <c r="N608" i="3" s="1"/>
  <c r="L608" i="3" l="1"/>
  <c r="AC609" i="3"/>
  <c r="P609" i="3"/>
  <c r="Q609" i="3" s="1"/>
  <c r="R609" i="3" s="1"/>
  <c r="S609" i="3" s="1"/>
  <c r="Z609" i="3"/>
  <c r="AD609" i="3"/>
  <c r="AA609" i="3"/>
  <c r="W608" i="3"/>
  <c r="U608" i="3" l="1"/>
  <c r="Y607" i="3"/>
  <c r="T609" i="3"/>
  <c r="D609" i="3" l="1"/>
  <c r="G609" i="3" s="1"/>
  <c r="E609" i="3"/>
  <c r="H609" i="3" s="1"/>
  <c r="AH609" i="3"/>
  <c r="AG609" i="3"/>
  <c r="K609" i="3" l="1"/>
  <c r="AE609" i="3" s="1"/>
  <c r="I609" i="3"/>
  <c r="J609" i="3"/>
  <c r="M609" i="3"/>
  <c r="N609" i="3" s="1"/>
  <c r="F609" i="3"/>
  <c r="V609" i="3" l="1"/>
  <c r="W609" i="3" s="1"/>
  <c r="A610" i="3"/>
  <c r="B610" i="3" s="1"/>
  <c r="L609" i="3"/>
  <c r="U609" i="3" l="1"/>
  <c r="Y608" i="3"/>
  <c r="AC610" i="3"/>
  <c r="AD610" i="3"/>
  <c r="AA610" i="3"/>
  <c r="Z610" i="3"/>
  <c r="P610" i="3"/>
  <c r="Q610" i="3" s="1"/>
  <c r="R610" i="3" s="1"/>
  <c r="S610" i="3" s="1"/>
  <c r="T610" i="3" l="1"/>
  <c r="AH610" i="3" s="1"/>
  <c r="AG610" i="3" l="1"/>
  <c r="D610" i="3"/>
  <c r="E610" i="3"/>
  <c r="H610" i="3" s="1"/>
  <c r="K610" i="3" s="1"/>
  <c r="AE610" i="3" s="1"/>
  <c r="F610" i="3" l="1"/>
  <c r="G610" i="3"/>
  <c r="I610" i="3" s="1"/>
  <c r="V610" i="3"/>
  <c r="A611" i="3"/>
  <c r="B611" i="3" s="1"/>
  <c r="M610" i="3" l="1"/>
  <c r="N610" i="3" s="1"/>
  <c r="J610" i="3"/>
  <c r="L610" i="3" s="1"/>
  <c r="P611" i="3"/>
  <c r="Q611" i="3" s="1"/>
  <c r="R611" i="3" s="1"/>
  <c r="S611" i="3" s="1"/>
  <c r="Z611" i="3"/>
  <c r="AA611" i="3"/>
  <c r="AC611" i="3"/>
  <c r="AD611" i="3"/>
  <c r="W610" i="3"/>
  <c r="T611" i="3" l="1"/>
  <c r="AH611" i="3" s="1"/>
  <c r="U610" i="3"/>
  <c r="Y609" i="3"/>
  <c r="AG611" i="3" l="1"/>
  <c r="D611" i="3"/>
  <c r="G611" i="3" s="1"/>
  <c r="E611" i="3"/>
  <c r="H611" i="3" s="1"/>
  <c r="K611" i="3" s="1"/>
  <c r="AE611" i="3" s="1"/>
  <c r="F611" i="3" l="1"/>
  <c r="V611" i="3"/>
  <c r="A612" i="3"/>
  <c r="B612" i="3" s="1"/>
  <c r="I611" i="3"/>
  <c r="J611" i="3"/>
  <c r="M611" i="3"/>
  <c r="N611" i="3" s="1"/>
  <c r="AD612" i="3" l="1"/>
  <c r="AC612" i="3"/>
  <c r="P612" i="3"/>
  <c r="Q612" i="3" s="1"/>
  <c r="R612" i="3" s="1"/>
  <c r="S612" i="3" s="1"/>
  <c r="AA612" i="3"/>
  <c r="Z612" i="3"/>
  <c r="L611" i="3"/>
  <c r="W611" i="3"/>
  <c r="T612" i="3" l="1"/>
  <c r="AG612" i="3" s="1"/>
  <c r="U611" i="3"/>
  <c r="Y610" i="3"/>
  <c r="D612" i="3" l="1"/>
  <c r="G612" i="3" s="1"/>
  <c r="AH612" i="3"/>
  <c r="E612" i="3"/>
  <c r="H612" i="3" s="1"/>
  <c r="K612" i="3" s="1"/>
  <c r="AE612" i="3" s="1"/>
  <c r="F612" i="3" l="1"/>
  <c r="V612" i="3"/>
  <c r="A613" i="3"/>
  <c r="B613" i="3" s="1"/>
  <c r="I612" i="3"/>
  <c r="J612" i="3"/>
  <c r="M612" i="3"/>
  <c r="N612" i="3" s="1"/>
  <c r="AA613" i="3" l="1"/>
  <c r="Z613" i="3"/>
  <c r="AC613" i="3"/>
  <c r="AD613" i="3"/>
  <c r="P613" i="3"/>
  <c r="Q613" i="3" s="1"/>
  <c r="R613" i="3" s="1"/>
  <c r="S613" i="3" s="1"/>
  <c r="L612" i="3"/>
  <c r="W612" i="3"/>
  <c r="T613" i="3" l="1"/>
  <c r="AH613" i="3" s="1"/>
  <c r="U612" i="3"/>
  <c r="Y611" i="3"/>
  <c r="E613" i="3" l="1"/>
  <c r="H613" i="3" s="1"/>
  <c r="K613" i="3" s="1"/>
  <c r="AE613" i="3" s="1"/>
  <c r="AG613" i="3"/>
  <c r="D613" i="3"/>
  <c r="F613" i="3" l="1"/>
  <c r="G613" i="3"/>
  <c r="I613" i="3" s="1"/>
  <c r="V613" i="3"/>
  <c r="A614" i="3"/>
  <c r="B614" i="3" s="1"/>
  <c r="M613" i="3" l="1"/>
  <c r="N613" i="3" s="1"/>
  <c r="J613" i="3"/>
  <c r="L613" i="3" s="1"/>
  <c r="W613" i="3"/>
  <c r="Z614" i="3"/>
  <c r="P614" i="3"/>
  <c r="Q614" i="3" s="1"/>
  <c r="R614" i="3" s="1"/>
  <c r="S614" i="3" s="1"/>
  <c r="AC614" i="3"/>
  <c r="AA614" i="3"/>
  <c r="T614" i="3" l="1"/>
  <c r="AG614" i="3" s="1"/>
  <c r="U613" i="3"/>
  <c r="Y612" i="3"/>
  <c r="AH614" i="3" l="1"/>
  <c r="D614" i="3"/>
  <c r="G614" i="3" s="1"/>
  <c r="E614" i="3"/>
  <c r="H614" i="3" s="1"/>
  <c r="K614" i="3" l="1"/>
  <c r="AE614" i="3" s="1"/>
  <c r="I614" i="3"/>
  <c r="J614" i="3"/>
  <c r="AD614" i="3" s="1"/>
  <c r="M614" i="3"/>
  <c r="N614" i="3" s="1"/>
  <c r="F614" i="3"/>
  <c r="L614" i="3" l="1"/>
  <c r="V614" i="3"/>
  <c r="W614" i="3" s="1"/>
  <c r="A615" i="3"/>
  <c r="B615" i="3" s="1"/>
  <c r="AD615" i="3" l="1"/>
  <c r="AA615" i="3"/>
  <c r="P615" i="3"/>
  <c r="Q615" i="3" s="1"/>
  <c r="R615" i="3" s="1"/>
  <c r="S615" i="3" s="1"/>
  <c r="AC615" i="3"/>
  <c r="Z615" i="3"/>
  <c r="U614" i="3"/>
  <c r="Y613" i="3"/>
  <c r="T615" i="3" l="1"/>
  <c r="E615" i="3" s="1"/>
  <c r="H615" i="3" s="1"/>
  <c r="AG615" i="3" l="1"/>
  <c r="D615" i="3"/>
  <c r="F615" i="3" s="1"/>
  <c r="AH615" i="3"/>
  <c r="K615" i="3"/>
  <c r="AE615" i="3" s="1"/>
  <c r="G615" i="3" l="1"/>
  <c r="I615" i="3" s="1"/>
  <c r="V615" i="3"/>
  <c r="A616" i="3"/>
  <c r="B616" i="3" s="1"/>
  <c r="M615" i="3" l="1"/>
  <c r="N615" i="3" s="1"/>
  <c r="J615" i="3"/>
  <c r="L615" i="3" s="1"/>
  <c r="W615" i="3"/>
  <c r="AC616" i="3"/>
  <c r="AA616" i="3"/>
  <c r="AD616" i="3"/>
  <c r="Z616" i="3"/>
  <c r="P616" i="3"/>
  <c r="Q616" i="3" s="1"/>
  <c r="R616" i="3" s="1"/>
  <c r="S616" i="3" s="1"/>
  <c r="T616" i="3" l="1"/>
  <c r="AH616" i="3" s="1"/>
  <c r="U615" i="3"/>
  <c r="Y614" i="3"/>
  <c r="AG616" i="3" l="1"/>
  <c r="E616" i="3"/>
  <c r="H616" i="3" s="1"/>
  <c r="K616" i="3" s="1"/>
  <c r="AE616" i="3" s="1"/>
  <c r="D616" i="3"/>
  <c r="F616" i="3" l="1"/>
  <c r="G616" i="3"/>
  <c r="I616" i="3" s="1"/>
  <c r="V616" i="3"/>
  <c r="A617" i="3"/>
  <c r="B617" i="3" s="1"/>
  <c r="M616" i="3" l="1"/>
  <c r="N616" i="3" s="1"/>
  <c r="J616" i="3"/>
  <c r="L616" i="3" s="1"/>
  <c r="W616" i="3"/>
  <c r="AA617" i="3"/>
  <c r="AD617" i="3"/>
  <c r="P617" i="3"/>
  <c r="Q617" i="3" s="1"/>
  <c r="R617" i="3" s="1"/>
  <c r="S617" i="3" s="1"/>
  <c r="Z617" i="3"/>
  <c r="AC617" i="3"/>
  <c r="U616" i="3" l="1"/>
  <c r="Y615" i="3"/>
  <c r="T617" i="3"/>
  <c r="E617" i="3" l="1"/>
  <c r="H617" i="3" s="1"/>
  <c r="K617" i="3" s="1"/>
  <c r="AE617" i="3" s="1"/>
  <c r="AH617" i="3"/>
  <c r="D617" i="3"/>
  <c r="AG617" i="3"/>
  <c r="F617" i="3" l="1"/>
  <c r="G617" i="3"/>
  <c r="I617" i="3" s="1"/>
  <c r="V617" i="3"/>
  <c r="A618" i="3"/>
  <c r="B618" i="3" s="1"/>
  <c r="M617" i="3" l="1"/>
  <c r="N617" i="3" s="1"/>
  <c r="J617" i="3"/>
  <c r="L617" i="3" s="1"/>
  <c r="W617" i="3"/>
  <c r="AD618" i="3"/>
  <c r="P618" i="3"/>
  <c r="Q618" i="3" s="1"/>
  <c r="R618" i="3" s="1"/>
  <c r="S618" i="3" s="1"/>
  <c r="AA618" i="3"/>
  <c r="AC618" i="3"/>
  <c r="Z618" i="3"/>
  <c r="T618" i="3" l="1"/>
  <c r="AH618" i="3" s="1"/>
  <c r="U617" i="3"/>
  <c r="Y616" i="3"/>
  <c r="AG618" i="3" l="1"/>
  <c r="E618" i="3"/>
  <c r="H618" i="3" s="1"/>
  <c r="K618" i="3" s="1"/>
  <c r="AE618" i="3" s="1"/>
  <c r="D618" i="3"/>
  <c r="F618" i="3" l="1"/>
  <c r="G618" i="3"/>
  <c r="I618" i="3" s="1"/>
  <c r="V618" i="3"/>
  <c r="A619" i="3"/>
  <c r="B619" i="3" s="1"/>
  <c r="M618" i="3" l="1"/>
  <c r="N618" i="3" s="1"/>
  <c r="J618" i="3"/>
  <c r="L618" i="3" s="1"/>
  <c r="W618" i="3"/>
  <c r="Z619" i="3"/>
  <c r="P619" i="3"/>
  <c r="Q619" i="3" s="1"/>
  <c r="R619" i="3" s="1"/>
  <c r="S619" i="3" s="1"/>
  <c r="AA619" i="3"/>
  <c r="AD619" i="3"/>
  <c r="AC619" i="3"/>
  <c r="T619" i="3" l="1"/>
  <c r="AG619" i="3" s="1"/>
  <c r="U618" i="3"/>
  <c r="Y617" i="3"/>
  <c r="D619" i="3" l="1"/>
  <c r="G619" i="3" s="1"/>
  <c r="E619" i="3"/>
  <c r="H619" i="3" s="1"/>
  <c r="K619" i="3" s="1"/>
  <c r="AE619" i="3" s="1"/>
  <c r="AH619" i="3"/>
  <c r="F619" i="3" l="1"/>
  <c r="V619" i="3"/>
  <c r="A620" i="3"/>
  <c r="B620" i="3" s="1"/>
  <c r="I619" i="3"/>
  <c r="J619" i="3"/>
  <c r="M619" i="3"/>
  <c r="N619" i="3" s="1"/>
  <c r="AA620" i="3" l="1"/>
  <c r="Z620" i="3"/>
  <c r="AC620" i="3"/>
  <c r="P620" i="3"/>
  <c r="Q620" i="3" s="1"/>
  <c r="R620" i="3" s="1"/>
  <c r="S620" i="3" s="1"/>
  <c r="AD620" i="3"/>
  <c r="L619" i="3"/>
  <c r="W619" i="3"/>
  <c r="T620" i="3" l="1"/>
  <c r="AG620" i="3" s="1"/>
  <c r="U619" i="3"/>
  <c r="Y618" i="3"/>
  <c r="E620" i="3" l="1"/>
  <c r="H620" i="3" s="1"/>
  <c r="K620" i="3" s="1"/>
  <c r="AE620" i="3" s="1"/>
  <c r="AH620" i="3"/>
  <c r="D620" i="3"/>
  <c r="F620" i="3" l="1"/>
  <c r="G620" i="3"/>
  <c r="I620" i="3" s="1"/>
  <c r="V620" i="3"/>
  <c r="A621" i="3"/>
  <c r="B621" i="3" s="1"/>
  <c r="M620" i="3" l="1"/>
  <c r="N620" i="3" s="1"/>
  <c r="J620" i="3"/>
  <c r="L620" i="3" s="1"/>
  <c r="W620" i="3"/>
  <c r="AC621" i="3"/>
  <c r="AA621" i="3"/>
  <c r="P621" i="3"/>
  <c r="Q621" i="3" s="1"/>
  <c r="R621" i="3" s="1"/>
  <c r="S621" i="3" s="1"/>
  <c r="Z621" i="3"/>
  <c r="AD621" i="3"/>
  <c r="T621" i="3" l="1"/>
  <c r="U620" i="3"/>
  <c r="Y619" i="3"/>
  <c r="E621" i="3" l="1"/>
  <c r="H621" i="3" s="1"/>
  <c r="K621" i="3" s="1"/>
  <c r="AE621" i="3" s="1"/>
  <c r="D621" i="3"/>
  <c r="G621" i="3" s="1"/>
  <c r="AH621" i="3"/>
  <c r="AG621" i="3"/>
  <c r="F621" i="3" l="1"/>
  <c r="I621" i="3"/>
  <c r="J621" i="3"/>
  <c r="M621" i="3"/>
  <c r="N621" i="3" s="1"/>
  <c r="V621" i="3"/>
  <c r="A622" i="3"/>
  <c r="B622" i="3" s="1"/>
  <c r="W621" i="3" l="1"/>
  <c r="P622" i="3"/>
  <c r="Q622" i="3" s="1"/>
  <c r="R622" i="3" s="1"/>
  <c r="S622" i="3" s="1"/>
  <c r="AC622" i="3"/>
  <c r="Z622" i="3"/>
  <c r="AD622" i="3"/>
  <c r="AA622" i="3"/>
  <c r="L621" i="3"/>
  <c r="U621" i="3" l="1"/>
  <c r="Y620" i="3"/>
  <c r="T622" i="3"/>
  <c r="E622" i="3" l="1"/>
  <c r="H622" i="3" s="1"/>
  <c r="K622" i="3" s="1"/>
  <c r="AE622" i="3" s="1"/>
  <c r="AH622" i="3"/>
  <c r="AG622" i="3"/>
  <c r="D622" i="3"/>
  <c r="F622" i="3" l="1"/>
  <c r="G622" i="3"/>
  <c r="M622" i="3" s="1"/>
  <c r="N622" i="3" s="1"/>
  <c r="V622" i="3"/>
  <c r="A623" i="3"/>
  <c r="B623" i="3" s="1"/>
  <c r="J622" i="3" l="1"/>
  <c r="L622" i="3" s="1"/>
  <c r="I622" i="3"/>
  <c r="W622" i="3" s="1"/>
  <c r="Z623" i="3"/>
  <c r="AD623" i="3"/>
  <c r="P623" i="3"/>
  <c r="Q623" i="3" s="1"/>
  <c r="R623" i="3" s="1"/>
  <c r="S623" i="3" s="1"/>
  <c r="AC623" i="3"/>
  <c r="AA623" i="3"/>
  <c r="T623" i="3" l="1"/>
  <c r="AH623" i="3" s="1"/>
  <c r="U622" i="3"/>
  <c r="Y621" i="3"/>
  <c r="D623" i="3" l="1"/>
  <c r="G623" i="3" s="1"/>
  <c r="AG623" i="3"/>
  <c r="E623" i="3"/>
  <c r="H623" i="3" s="1"/>
  <c r="K623" i="3" l="1"/>
  <c r="AE623" i="3" s="1"/>
  <c r="I623" i="3"/>
  <c r="J623" i="3"/>
  <c r="M623" i="3"/>
  <c r="N623" i="3" s="1"/>
  <c r="F623" i="3"/>
  <c r="L623" i="3" l="1"/>
  <c r="V623" i="3"/>
  <c r="W623" i="3" s="1"/>
  <c r="A624" i="3"/>
  <c r="B624" i="3" s="1"/>
  <c r="Z624" i="3" l="1"/>
  <c r="P624" i="3"/>
  <c r="Q624" i="3" s="1"/>
  <c r="R624" i="3" s="1"/>
  <c r="S624" i="3" s="1"/>
  <c r="AC624" i="3"/>
  <c r="AA624" i="3"/>
  <c r="U623" i="3"/>
  <c r="Y622" i="3"/>
  <c r="T624" i="3" l="1"/>
  <c r="E624" i="3" s="1"/>
  <c r="H624" i="3" s="1"/>
  <c r="AH624" i="3" l="1"/>
  <c r="AG624" i="3"/>
  <c r="D624" i="3"/>
  <c r="F624" i="3" s="1"/>
  <c r="K624" i="3"/>
  <c r="AE624" i="3" s="1"/>
  <c r="G624" i="3" l="1"/>
  <c r="I624" i="3" s="1"/>
  <c r="V624" i="3"/>
  <c r="A625" i="3"/>
  <c r="B625" i="3" s="1"/>
  <c r="M624" i="3" l="1"/>
  <c r="N624" i="3" s="1"/>
  <c r="J624" i="3"/>
  <c r="AD624" i="3" s="1"/>
  <c r="AC625" i="3"/>
  <c r="Z625" i="3"/>
  <c r="P625" i="3"/>
  <c r="Q625" i="3" s="1"/>
  <c r="R625" i="3" s="1"/>
  <c r="S625" i="3" s="1"/>
  <c r="AA625" i="3"/>
  <c r="AD625" i="3"/>
  <c r="W624" i="3"/>
  <c r="L624" i="3" l="1"/>
  <c r="Y623" i="3" s="1"/>
  <c r="T625" i="3"/>
  <c r="U624" i="3" l="1"/>
  <c r="D625" i="3" s="1"/>
  <c r="AH625" i="3"/>
  <c r="AG625" i="3"/>
  <c r="E625" i="3" l="1"/>
  <c r="H625" i="3" s="1"/>
  <c r="K625" i="3" s="1"/>
  <c r="AE625" i="3" s="1"/>
  <c r="G625" i="3"/>
  <c r="A626" i="3" l="1"/>
  <c r="B626" i="3" s="1"/>
  <c r="AC626" i="3" s="1"/>
  <c r="V625" i="3"/>
  <c r="I625" i="3"/>
  <c r="F625" i="3"/>
  <c r="M625" i="3"/>
  <c r="N625" i="3" s="1"/>
  <c r="J625" i="3"/>
  <c r="L625" i="3" s="1"/>
  <c r="Z626" i="3" l="1"/>
  <c r="AD626" i="3"/>
  <c r="W625" i="3"/>
  <c r="AA626" i="3"/>
  <c r="P626" i="3"/>
  <c r="Q626" i="3" s="1"/>
  <c r="R626" i="3" s="1"/>
  <c r="S626" i="3" s="1"/>
  <c r="T626" i="3" s="1"/>
  <c r="U625" i="3"/>
  <c r="Y624" i="3"/>
  <c r="AH626" i="3" l="1"/>
  <c r="AG626" i="3"/>
  <c r="D626" i="3"/>
  <c r="G626" i="3" s="1"/>
  <c r="E626" i="3"/>
  <c r="H626" i="3" s="1"/>
  <c r="I626" i="3" l="1"/>
  <c r="J626" i="3"/>
  <c r="M626" i="3"/>
  <c r="N626" i="3" s="1"/>
  <c r="K626" i="3"/>
  <c r="AE626" i="3" s="1"/>
  <c r="F626" i="3"/>
  <c r="V626" i="3" l="1"/>
  <c r="W626" i="3" s="1"/>
  <c r="A627" i="3"/>
  <c r="B627" i="3" s="1"/>
  <c r="L626" i="3"/>
  <c r="AD627" i="3" l="1"/>
  <c r="P627" i="3"/>
  <c r="Q627" i="3" s="1"/>
  <c r="R627" i="3" s="1"/>
  <c r="S627" i="3" s="1"/>
  <c r="AC627" i="3"/>
  <c r="AA627" i="3"/>
  <c r="Z627" i="3"/>
  <c r="U626" i="3"/>
  <c r="Y625" i="3"/>
  <c r="T627" i="3" l="1"/>
  <c r="D627" i="3" s="1"/>
  <c r="AG627" i="3" l="1"/>
  <c r="AH627" i="3"/>
  <c r="E627" i="3"/>
  <c r="H627" i="3" s="1"/>
  <c r="K627" i="3" s="1"/>
  <c r="AE627" i="3" s="1"/>
  <c r="G627" i="3"/>
  <c r="F627" i="3" l="1"/>
  <c r="I627" i="3"/>
  <c r="J627" i="3"/>
  <c r="M627" i="3"/>
  <c r="N627" i="3" s="1"/>
  <c r="V627" i="3"/>
  <c r="A628" i="3"/>
  <c r="B628" i="3" s="1"/>
  <c r="W627" i="3" l="1"/>
  <c r="AC628" i="3"/>
  <c r="AD628" i="3"/>
  <c r="Z628" i="3"/>
  <c r="AA628" i="3"/>
  <c r="P628" i="3"/>
  <c r="Q628" i="3" s="1"/>
  <c r="R628" i="3" s="1"/>
  <c r="S628" i="3" s="1"/>
  <c r="L627" i="3"/>
  <c r="T628" i="3" l="1"/>
  <c r="AH628" i="3" s="1"/>
  <c r="U627" i="3"/>
  <c r="Y626" i="3"/>
  <c r="AG628" i="3" l="1"/>
  <c r="D628" i="3"/>
  <c r="G628" i="3" s="1"/>
  <c r="E628" i="3"/>
  <c r="H628" i="3" s="1"/>
  <c r="K628" i="3" l="1"/>
  <c r="AE628" i="3" s="1"/>
  <c r="I628" i="3"/>
  <c r="J628" i="3"/>
  <c r="M628" i="3"/>
  <c r="N628" i="3" s="1"/>
  <c r="F628" i="3"/>
  <c r="L628" i="3" l="1"/>
  <c r="V628" i="3"/>
  <c r="W628" i="3" s="1"/>
  <c r="A629" i="3"/>
  <c r="B629" i="3" s="1"/>
  <c r="Z629" i="3" l="1"/>
  <c r="AC629" i="3"/>
  <c r="AA629" i="3"/>
  <c r="P629" i="3"/>
  <c r="Q629" i="3" s="1"/>
  <c r="R629" i="3" s="1"/>
  <c r="S629" i="3" s="1"/>
  <c r="AD629" i="3"/>
  <c r="U628" i="3"/>
  <c r="Y627" i="3"/>
  <c r="T629" i="3" l="1"/>
  <c r="D629" i="3" s="1"/>
  <c r="AG629" i="3" l="1"/>
  <c r="AH629" i="3"/>
  <c r="E629" i="3"/>
  <c r="H629" i="3" s="1"/>
  <c r="K629" i="3" s="1"/>
  <c r="AE629" i="3" s="1"/>
  <c r="G629" i="3"/>
  <c r="F629" i="3" l="1"/>
  <c r="V629" i="3"/>
  <c r="A630" i="3"/>
  <c r="B630" i="3" s="1"/>
  <c r="I629" i="3"/>
  <c r="J629" i="3"/>
  <c r="M629" i="3"/>
  <c r="N629" i="3" s="1"/>
  <c r="L629" i="3" l="1"/>
  <c r="AA630" i="3"/>
  <c r="Z630" i="3"/>
  <c r="AD630" i="3"/>
  <c r="P630" i="3"/>
  <c r="Q630" i="3" s="1"/>
  <c r="R630" i="3" s="1"/>
  <c r="S630" i="3" s="1"/>
  <c r="AC630" i="3"/>
  <c r="W629" i="3"/>
  <c r="T630" i="3" l="1"/>
  <c r="AH630" i="3" s="1"/>
  <c r="U629" i="3"/>
  <c r="Y628" i="3"/>
  <c r="D630" i="3" l="1"/>
  <c r="G630" i="3" s="1"/>
  <c r="E630" i="3"/>
  <c r="H630" i="3" s="1"/>
  <c r="K630" i="3" s="1"/>
  <c r="AE630" i="3" s="1"/>
  <c r="AG630" i="3"/>
  <c r="F630" i="3" l="1"/>
  <c r="V630" i="3"/>
  <c r="A631" i="3"/>
  <c r="B631" i="3" s="1"/>
  <c r="I630" i="3"/>
  <c r="J630" i="3"/>
  <c r="M630" i="3"/>
  <c r="N630" i="3" s="1"/>
  <c r="L630" i="3" l="1"/>
  <c r="AC631" i="3"/>
  <c r="AA631" i="3"/>
  <c r="Z631" i="3"/>
  <c r="AD631" i="3"/>
  <c r="P631" i="3"/>
  <c r="Q631" i="3" s="1"/>
  <c r="R631" i="3" s="1"/>
  <c r="S631" i="3" s="1"/>
  <c r="W630" i="3"/>
  <c r="T631" i="3" l="1"/>
  <c r="AG631" i="3" s="1"/>
  <c r="U630" i="3"/>
  <c r="Y629" i="3"/>
  <c r="E631" i="3" l="1"/>
  <c r="H631" i="3" s="1"/>
  <c r="K631" i="3" s="1"/>
  <c r="AE631" i="3" s="1"/>
  <c r="AH631" i="3"/>
  <c r="D631" i="3"/>
  <c r="G631" i="3" s="1"/>
  <c r="F631" i="3" l="1"/>
  <c r="I631" i="3"/>
  <c r="J631" i="3"/>
  <c r="M631" i="3"/>
  <c r="N631" i="3" s="1"/>
  <c r="V631" i="3"/>
  <c r="A632" i="3"/>
  <c r="B632" i="3" s="1"/>
  <c r="W631" i="3" l="1"/>
  <c r="AC632" i="3"/>
  <c r="AA632" i="3"/>
  <c r="Z632" i="3"/>
  <c r="P632" i="3"/>
  <c r="Q632" i="3" s="1"/>
  <c r="R632" i="3" s="1"/>
  <c r="S632" i="3" s="1"/>
  <c r="AD632" i="3"/>
  <c r="L631" i="3"/>
  <c r="U631" i="3" l="1"/>
  <c r="Y630" i="3"/>
  <c r="T632" i="3"/>
  <c r="D632" i="3" l="1"/>
  <c r="G632" i="3" s="1"/>
  <c r="E632" i="3"/>
  <c r="H632" i="3" s="1"/>
  <c r="K632" i="3" s="1"/>
  <c r="AE632" i="3" s="1"/>
  <c r="AG632" i="3"/>
  <c r="AH632" i="3"/>
  <c r="F632" i="3" l="1"/>
  <c r="I632" i="3"/>
  <c r="J632" i="3"/>
  <c r="M632" i="3"/>
  <c r="N632" i="3" s="1"/>
  <c r="V632" i="3"/>
  <c r="A633" i="3"/>
  <c r="B633" i="3" s="1"/>
  <c r="W632" i="3" l="1"/>
  <c r="AA633" i="3"/>
  <c r="AD633" i="3"/>
  <c r="P633" i="3"/>
  <c r="Q633" i="3" s="1"/>
  <c r="R633" i="3" s="1"/>
  <c r="S633" i="3" s="1"/>
  <c r="AC633" i="3"/>
  <c r="Z633" i="3"/>
  <c r="L632" i="3"/>
  <c r="T633" i="3" l="1"/>
  <c r="AG633" i="3" s="1"/>
  <c r="U632" i="3"/>
  <c r="Y631" i="3"/>
  <c r="E633" i="3" l="1"/>
  <c r="H633" i="3" s="1"/>
  <c r="K633" i="3" s="1"/>
  <c r="AE633" i="3" s="1"/>
  <c r="AH633" i="3"/>
  <c r="D633" i="3"/>
  <c r="F633" i="3" l="1"/>
  <c r="G633" i="3"/>
  <c r="I633" i="3" s="1"/>
  <c r="V633" i="3"/>
  <c r="A634" i="3"/>
  <c r="B634" i="3" s="1"/>
  <c r="J633" i="3" l="1"/>
  <c r="L633" i="3" s="1"/>
  <c r="M633" i="3"/>
  <c r="N633" i="3" s="1"/>
  <c r="W633" i="3"/>
  <c r="AA634" i="3"/>
  <c r="AC634" i="3"/>
  <c r="Z634" i="3"/>
  <c r="P634" i="3"/>
  <c r="Q634" i="3" s="1"/>
  <c r="R634" i="3" s="1"/>
  <c r="S634" i="3" s="1"/>
  <c r="T634" i="3" l="1"/>
  <c r="AG634" i="3" s="1"/>
  <c r="U633" i="3"/>
  <c r="Y632" i="3"/>
  <c r="D634" i="3" l="1"/>
  <c r="G634" i="3" s="1"/>
  <c r="E634" i="3"/>
  <c r="H634" i="3" s="1"/>
  <c r="K634" i="3" s="1"/>
  <c r="AE634" i="3" s="1"/>
  <c r="AH634" i="3"/>
  <c r="F634" i="3" l="1"/>
  <c r="I634" i="3"/>
  <c r="J634" i="3"/>
  <c r="AD634" i="3" s="1"/>
  <c r="M634" i="3"/>
  <c r="N634" i="3" s="1"/>
  <c r="V634" i="3"/>
  <c r="A635" i="3"/>
  <c r="B635" i="3" s="1"/>
  <c r="W634" i="3" l="1"/>
  <c r="AD635" i="3"/>
  <c r="P635" i="3"/>
  <c r="Q635" i="3" s="1"/>
  <c r="R635" i="3" s="1"/>
  <c r="S635" i="3" s="1"/>
  <c r="AA635" i="3"/>
  <c r="Z635" i="3"/>
  <c r="AC635" i="3"/>
  <c r="L634" i="3"/>
  <c r="T635" i="3" l="1"/>
  <c r="AH635" i="3" s="1"/>
  <c r="U634" i="3"/>
  <c r="Y633" i="3"/>
  <c r="E635" i="3" l="1"/>
  <c r="H635" i="3" s="1"/>
  <c r="K635" i="3" s="1"/>
  <c r="AE635" i="3" s="1"/>
  <c r="D635" i="3"/>
  <c r="AG635" i="3"/>
  <c r="F635" i="3" l="1"/>
  <c r="G635" i="3"/>
  <c r="J635" i="3" s="1"/>
  <c r="V635" i="3"/>
  <c r="A636" i="3"/>
  <c r="B636" i="3" s="1"/>
  <c r="M635" i="3" l="1"/>
  <c r="N635" i="3" s="1"/>
  <c r="I635" i="3"/>
  <c r="W635" i="3" s="1"/>
  <c r="Z636" i="3"/>
  <c r="P636" i="3"/>
  <c r="Q636" i="3" s="1"/>
  <c r="R636" i="3" s="1"/>
  <c r="S636" i="3" s="1"/>
  <c r="AC636" i="3"/>
  <c r="AD636" i="3"/>
  <c r="AA636" i="3"/>
  <c r="L635" i="3"/>
  <c r="T636" i="3" l="1"/>
  <c r="AH636" i="3" s="1"/>
  <c r="U635" i="3"/>
  <c r="Y634" i="3"/>
  <c r="AG636" i="3" l="1"/>
  <c r="D636" i="3"/>
  <c r="G636" i="3" s="1"/>
  <c r="E636" i="3"/>
  <c r="H636" i="3" s="1"/>
  <c r="K636" i="3" s="1"/>
  <c r="AE636" i="3" s="1"/>
  <c r="F636" i="3" l="1"/>
  <c r="V636" i="3"/>
  <c r="A637" i="3"/>
  <c r="B637" i="3" s="1"/>
  <c r="I636" i="3"/>
  <c r="J636" i="3"/>
  <c r="M636" i="3"/>
  <c r="N636" i="3" s="1"/>
  <c r="L636" i="3" l="1"/>
  <c r="AC637" i="3"/>
  <c r="AD637" i="3"/>
  <c r="AA637" i="3"/>
  <c r="Z637" i="3"/>
  <c r="P637" i="3"/>
  <c r="Q637" i="3" s="1"/>
  <c r="R637" i="3" s="1"/>
  <c r="S637" i="3" s="1"/>
  <c r="W636" i="3"/>
  <c r="T637" i="3" l="1"/>
  <c r="AG637" i="3" s="1"/>
  <c r="U636" i="3"/>
  <c r="Y635" i="3"/>
  <c r="AH637" i="3" l="1"/>
  <c r="E637" i="3"/>
  <c r="H637" i="3" s="1"/>
  <c r="K637" i="3" s="1"/>
  <c r="AE637" i="3" s="1"/>
  <c r="D637" i="3"/>
  <c r="G637" i="3" s="1"/>
  <c r="F637" i="3" l="1"/>
  <c r="V637" i="3"/>
  <c r="A638" i="3"/>
  <c r="B638" i="3" s="1"/>
  <c r="I637" i="3"/>
  <c r="J637" i="3"/>
  <c r="M637" i="3"/>
  <c r="N637" i="3" s="1"/>
  <c r="L637" i="3" l="1"/>
  <c r="Z638" i="3"/>
  <c r="P638" i="3"/>
  <c r="Q638" i="3" s="1"/>
  <c r="R638" i="3" s="1"/>
  <c r="S638" i="3" s="1"/>
  <c r="AC638" i="3"/>
  <c r="AA638" i="3"/>
  <c r="AD638" i="3"/>
  <c r="W637" i="3"/>
  <c r="T638" i="3" l="1"/>
  <c r="AG638" i="3" s="1"/>
  <c r="U637" i="3"/>
  <c r="Y636" i="3"/>
  <c r="E638" i="3" l="1"/>
  <c r="H638" i="3" s="1"/>
  <c r="K638" i="3" s="1"/>
  <c r="AE638" i="3" s="1"/>
  <c r="AH638" i="3"/>
  <c r="D638" i="3"/>
  <c r="F638" i="3" l="1"/>
  <c r="G638" i="3"/>
  <c r="I638" i="3" s="1"/>
  <c r="V638" i="3"/>
  <c r="A639" i="3"/>
  <c r="B639" i="3" s="1"/>
  <c r="M638" i="3" l="1"/>
  <c r="N638" i="3" s="1"/>
  <c r="J638" i="3"/>
  <c r="L638" i="3" s="1"/>
  <c r="AA639" i="3"/>
  <c r="AC639" i="3"/>
  <c r="P639" i="3"/>
  <c r="Q639" i="3" s="1"/>
  <c r="R639" i="3" s="1"/>
  <c r="S639" i="3" s="1"/>
  <c r="Z639" i="3"/>
  <c r="AD639" i="3"/>
  <c r="W638" i="3"/>
  <c r="T639" i="3" l="1"/>
  <c r="AH639" i="3" s="1"/>
  <c r="U638" i="3"/>
  <c r="Y637" i="3"/>
  <c r="E639" i="3" l="1"/>
  <c r="H639" i="3" s="1"/>
  <c r="K639" i="3" s="1"/>
  <c r="AE639" i="3" s="1"/>
  <c r="AG639" i="3"/>
  <c r="D639" i="3"/>
  <c r="V639" i="3" l="1"/>
  <c r="A640" i="3"/>
  <c r="B640" i="3" s="1"/>
  <c r="F639" i="3"/>
  <c r="G639" i="3"/>
  <c r="AC640" i="3" l="1"/>
  <c r="P640" i="3"/>
  <c r="Q640" i="3" s="1"/>
  <c r="R640" i="3" s="1"/>
  <c r="S640" i="3" s="1"/>
  <c r="AA640" i="3"/>
  <c r="AD640" i="3"/>
  <c r="Z640" i="3"/>
  <c r="I639" i="3"/>
  <c r="W639" i="3" s="1"/>
  <c r="J639" i="3"/>
  <c r="M639" i="3"/>
  <c r="N639" i="3" s="1"/>
  <c r="L639" i="3" l="1"/>
  <c r="T640" i="3"/>
  <c r="U639" i="3" l="1"/>
  <c r="D640" i="3" s="1"/>
  <c r="AH640" i="3"/>
  <c r="AG640" i="3"/>
  <c r="Y638" i="3"/>
  <c r="E640" i="3" l="1"/>
  <c r="H640" i="3" s="1"/>
  <c r="K640" i="3" s="1"/>
  <c r="AE640" i="3" s="1"/>
  <c r="G640" i="3"/>
  <c r="F640" i="3" l="1"/>
  <c r="I640" i="3"/>
  <c r="J640" i="3"/>
  <c r="M640" i="3"/>
  <c r="N640" i="3" s="1"/>
  <c r="V640" i="3"/>
  <c r="A641" i="3"/>
  <c r="B641" i="3" s="1"/>
  <c r="W640" i="3" l="1"/>
  <c r="P641" i="3"/>
  <c r="Q641" i="3" s="1"/>
  <c r="R641" i="3" s="1"/>
  <c r="S641" i="3" s="1"/>
  <c r="AA641" i="3"/>
  <c r="AD641" i="3"/>
  <c r="Z641" i="3"/>
  <c r="AC641" i="3"/>
  <c r="L640" i="3"/>
  <c r="U640" i="3" l="1"/>
  <c r="Y639" i="3"/>
  <c r="T641" i="3"/>
  <c r="E641" i="3" l="1"/>
  <c r="H641" i="3" s="1"/>
  <c r="K641" i="3" s="1"/>
  <c r="AE641" i="3" s="1"/>
  <c r="AG641" i="3"/>
  <c r="D641" i="3"/>
  <c r="AH641" i="3"/>
  <c r="F641" i="3" l="1"/>
  <c r="G641" i="3"/>
  <c r="V641" i="3"/>
  <c r="A642" i="3"/>
  <c r="B642" i="3" s="1"/>
  <c r="Z642" i="3" l="1"/>
  <c r="AD642" i="3"/>
  <c r="P642" i="3"/>
  <c r="Q642" i="3" s="1"/>
  <c r="R642" i="3" s="1"/>
  <c r="S642" i="3" s="1"/>
  <c r="AC642" i="3"/>
  <c r="AA642" i="3"/>
  <c r="I641" i="3"/>
  <c r="W641" i="3" s="1"/>
  <c r="J641" i="3"/>
  <c r="M641" i="3"/>
  <c r="N641" i="3" s="1"/>
  <c r="T642" i="3" l="1"/>
  <c r="L641" i="3"/>
  <c r="AG642" i="3" l="1"/>
  <c r="U641" i="3"/>
  <c r="E642" i="3" s="1"/>
  <c r="H642" i="3" s="1"/>
  <c r="AH642" i="3"/>
  <c r="Y640" i="3"/>
  <c r="D642" i="3" l="1"/>
  <c r="F642" i="3" s="1"/>
  <c r="K642" i="3"/>
  <c r="AE642" i="3" s="1"/>
  <c r="G642" i="3" l="1"/>
  <c r="I642" i="3" s="1"/>
  <c r="V642" i="3"/>
  <c r="A643" i="3"/>
  <c r="B643" i="3" s="1"/>
  <c r="M642" i="3" l="1"/>
  <c r="N642" i="3" s="1"/>
  <c r="J642" i="3"/>
  <c r="L642" i="3" s="1"/>
  <c r="W642" i="3"/>
  <c r="AA643" i="3"/>
  <c r="AD643" i="3"/>
  <c r="AC643" i="3"/>
  <c r="P643" i="3"/>
  <c r="Q643" i="3" s="1"/>
  <c r="R643" i="3" s="1"/>
  <c r="S643" i="3" s="1"/>
  <c r="Z643" i="3"/>
  <c r="T643" i="3" l="1"/>
  <c r="AG643" i="3" s="1"/>
  <c r="U642" i="3"/>
  <c r="Y641" i="3"/>
  <c r="AH643" i="3" l="1"/>
  <c r="E643" i="3"/>
  <c r="H643" i="3" s="1"/>
  <c r="K643" i="3" s="1"/>
  <c r="AE643" i="3" s="1"/>
  <c r="D643" i="3"/>
  <c r="F643" i="3" l="1"/>
  <c r="G643" i="3"/>
  <c r="I643" i="3" s="1"/>
  <c r="V643" i="3"/>
  <c r="A644" i="3"/>
  <c r="B644" i="3" s="1"/>
  <c r="M643" i="3" l="1"/>
  <c r="N643" i="3" s="1"/>
  <c r="J643" i="3"/>
  <c r="L643" i="3" s="1"/>
  <c r="AA644" i="3"/>
  <c r="P644" i="3"/>
  <c r="Q644" i="3" s="1"/>
  <c r="R644" i="3" s="1"/>
  <c r="S644" i="3" s="1"/>
  <c r="Z644" i="3"/>
  <c r="AC644" i="3"/>
  <c r="W643" i="3"/>
  <c r="U643" i="3" l="1"/>
  <c r="Y642" i="3"/>
  <c r="T644" i="3"/>
  <c r="E644" i="3" l="1"/>
  <c r="H644" i="3" s="1"/>
  <c r="K644" i="3" s="1"/>
  <c r="AE644" i="3" s="1"/>
  <c r="AH644" i="3"/>
  <c r="AG644" i="3"/>
  <c r="D644" i="3"/>
  <c r="F644" i="3" l="1"/>
  <c r="G644" i="3"/>
  <c r="V644" i="3"/>
  <c r="A645" i="3"/>
  <c r="B645" i="3" s="1"/>
  <c r="AA645" i="3" l="1"/>
  <c r="AC645" i="3"/>
  <c r="Z645" i="3"/>
  <c r="P645" i="3"/>
  <c r="Q645" i="3" s="1"/>
  <c r="R645" i="3" s="1"/>
  <c r="S645" i="3" s="1"/>
  <c r="AD645" i="3"/>
  <c r="I644" i="3"/>
  <c r="W644" i="3" s="1"/>
  <c r="J644" i="3"/>
  <c r="AD644" i="3" s="1"/>
  <c r="M644" i="3"/>
  <c r="N644" i="3" s="1"/>
  <c r="T645" i="3" l="1"/>
  <c r="L644" i="3"/>
  <c r="AH645" i="3" l="1"/>
  <c r="AG645" i="3"/>
  <c r="U644" i="3"/>
  <c r="D645" i="3" s="1"/>
  <c r="Y643" i="3"/>
  <c r="G645" i="3" l="1"/>
  <c r="E645" i="3"/>
  <c r="H645" i="3" s="1"/>
  <c r="K645" i="3" l="1"/>
  <c r="AE645" i="3" s="1"/>
  <c r="I645" i="3"/>
  <c r="J645" i="3"/>
  <c r="M645" i="3"/>
  <c r="N645" i="3" s="1"/>
  <c r="F645" i="3"/>
  <c r="L645" i="3" l="1"/>
  <c r="V645" i="3"/>
  <c r="W645" i="3" s="1"/>
  <c r="A646" i="3"/>
  <c r="B646" i="3" s="1"/>
  <c r="Z646" i="3" l="1"/>
  <c r="P646" i="3"/>
  <c r="Q646" i="3" s="1"/>
  <c r="R646" i="3" s="1"/>
  <c r="S646" i="3" s="1"/>
  <c r="AD646" i="3"/>
  <c r="AC646" i="3"/>
  <c r="AA646" i="3"/>
  <c r="U645" i="3"/>
  <c r="Y644" i="3"/>
  <c r="T646" i="3" l="1"/>
  <c r="AG646" i="3" l="1"/>
  <c r="AH646" i="3"/>
  <c r="E646" i="3"/>
  <c r="H646" i="3" s="1"/>
  <c r="D646" i="3"/>
  <c r="K646" i="3" l="1"/>
  <c r="AE646" i="3" s="1"/>
  <c r="F646" i="3"/>
  <c r="G646" i="3"/>
  <c r="I646" i="3" l="1"/>
  <c r="J646" i="3"/>
  <c r="M646" i="3"/>
  <c r="N646" i="3" s="1"/>
  <c r="V646" i="3"/>
  <c r="A647" i="3"/>
  <c r="B647" i="3" s="1"/>
  <c r="W646" i="3" l="1"/>
  <c r="AC647" i="3"/>
  <c r="AD647" i="3"/>
  <c r="P647" i="3"/>
  <c r="Q647" i="3" s="1"/>
  <c r="R647" i="3" s="1"/>
  <c r="S647" i="3" s="1"/>
  <c r="Z647" i="3"/>
  <c r="AA647" i="3"/>
  <c r="L646" i="3"/>
  <c r="T647" i="3" l="1"/>
  <c r="AH647" i="3" s="1"/>
  <c r="U646" i="3"/>
  <c r="Y645" i="3"/>
  <c r="AG647" i="3" l="1"/>
  <c r="E647" i="3"/>
  <c r="H647" i="3" s="1"/>
  <c r="K647" i="3" s="1"/>
  <c r="AE647" i="3" s="1"/>
  <c r="D647" i="3"/>
  <c r="G647" i="3" s="1"/>
  <c r="F647" i="3" l="1"/>
  <c r="I647" i="3"/>
  <c r="J647" i="3"/>
  <c r="M647" i="3"/>
  <c r="N647" i="3" s="1"/>
  <c r="V647" i="3"/>
  <c r="A648" i="3"/>
  <c r="B648" i="3" s="1"/>
  <c r="W647" i="3" l="1"/>
  <c r="AD648" i="3"/>
  <c r="AA648" i="3"/>
  <c r="P648" i="3"/>
  <c r="Q648" i="3" s="1"/>
  <c r="R648" i="3" s="1"/>
  <c r="S648" i="3" s="1"/>
  <c r="Z648" i="3"/>
  <c r="AC648" i="3"/>
  <c r="L647" i="3"/>
  <c r="T648" i="3" l="1"/>
  <c r="AH648" i="3" s="1"/>
  <c r="U647" i="3"/>
  <c r="Y646" i="3"/>
  <c r="D648" i="3" l="1"/>
  <c r="G648" i="3" s="1"/>
  <c r="AG648" i="3"/>
  <c r="E648" i="3"/>
  <c r="H648" i="3" s="1"/>
  <c r="K648" i="3" s="1"/>
  <c r="AE648" i="3" s="1"/>
  <c r="F648" i="3" l="1"/>
  <c r="I648" i="3"/>
  <c r="J648" i="3"/>
  <c r="M648" i="3"/>
  <c r="N648" i="3" s="1"/>
  <c r="V648" i="3"/>
  <c r="A649" i="3"/>
  <c r="B649" i="3" s="1"/>
  <c r="W648" i="3" l="1"/>
  <c r="AC649" i="3"/>
  <c r="Z649" i="3"/>
  <c r="P649" i="3"/>
  <c r="Q649" i="3" s="1"/>
  <c r="R649" i="3" s="1"/>
  <c r="S649" i="3" s="1"/>
  <c r="AA649" i="3"/>
  <c r="AD649" i="3"/>
  <c r="L648" i="3"/>
  <c r="T649" i="3" l="1"/>
  <c r="AH649" i="3" s="1"/>
  <c r="U648" i="3"/>
  <c r="Y647" i="3"/>
  <c r="E649" i="3" l="1"/>
  <c r="H649" i="3" s="1"/>
  <c r="K649" i="3" s="1"/>
  <c r="AE649" i="3" s="1"/>
  <c r="AG649" i="3"/>
  <c r="D649" i="3"/>
  <c r="V649" i="3" l="1"/>
  <c r="A650" i="3"/>
  <c r="B650" i="3" s="1"/>
  <c r="F649" i="3"/>
  <c r="G649" i="3"/>
  <c r="AA650" i="3" l="1"/>
  <c r="Z650" i="3"/>
  <c r="P650" i="3"/>
  <c r="Q650" i="3" s="1"/>
  <c r="R650" i="3" s="1"/>
  <c r="S650" i="3" s="1"/>
  <c r="AD650" i="3"/>
  <c r="AC650" i="3"/>
  <c r="I649" i="3"/>
  <c r="W649" i="3" s="1"/>
  <c r="J649" i="3"/>
  <c r="M649" i="3"/>
  <c r="N649" i="3" s="1"/>
  <c r="T650" i="3" l="1"/>
  <c r="L649" i="3"/>
  <c r="AG650" i="3" l="1"/>
  <c r="U649" i="3"/>
  <c r="D650" i="3" s="1"/>
  <c r="AH650" i="3"/>
  <c r="Y648" i="3"/>
  <c r="G650" i="3" l="1"/>
  <c r="E650" i="3"/>
  <c r="H650" i="3" s="1"/>
  <c r="K650" i="3" l="1"/>
  <c r="AE650" i="3" s="1"/>
  <c r="I650" i="3"/>
  <c r="J650" i="3"/>
  <c r="M650" i="3"/>
  <c r="N650" i="3" s="1"/>
  <c r="F650" i="3"/>
  <c r="L650" i="3" l="1"/>
  <c r="V650" i="3"/>
  <c r="W650" i="3" s="1"/>
  <c r="A651" i="3"/>
  <c r="B651" i="3" s="1"/>
  <c r="Z651" i="3" l="1"/>
  <c r="AC651" i="3"/>
  <c r="P651" i="3"/>
  <c r="Q651" i="3" s="1"/>
  <c r="R651" i="3" s="1"/>
  <c r="S651" i="3" s="1"/>
  <c r="AA651" i="3"/>
  <c r="AD651" i="3"/>
  <c r="U650" i="3"/>
  <c r="Y649" i="3"/>
  <c r="T651" i="3" l="1"/>
  <c r="AH651" i="3" s="1"/>
  <c r="E651" i="3" l="1"/>
  <c r="H651" i="3" s="1"/>
  <c r="K651" i="3" s="1"/>
  <c r="AE651" i="3" s="1"/>
  <c r="D651" i="3"/>
  <c r="AG651" i="3"/>
  <c r="F651" i="3" l="1"/>
  <c r="G651" i="3"/>
  <c r="V651" i="3"/>
  <c r="A652" i="3"/>
  <c r="B652" i="3" s="1"/>
  <c r="AC652" i="3" l="1"/>
  <c r="AA652" i="3"/>
  <c r="Z652" i="3"/>
  <c r="AD652" i="3"/>
  <c r="P652" i="3"/>
  <c r="Q652" i="3" s="1"/>
  <c r="R652" i="3" s="1"/>
  <c r="S652" i="3" s="1"/>
  <c r="I651" i="3"/>
  <c r="W651" i="3" s="1"/>
  <c r="J651" i="3"/>
  <c r="M651" i="3"/>
  <c r="N651" i="3" s="1"/>
  <c r="L651" i="3" l="1"/>
  <c r="T652" i="3"/>
  <c r="AH652" i="3" l="1"/>
  <c r="U651" i="3"/>
  <c r="E652" i="3" s="1"/>
  <c r="H652" i="3" s="1"/>
  <c r="AG652" i="3"/>
  <c r="Y650" i="3"/>
  <c r="D652" i="3" l="1"/>
  <c r="F652" i="3" s="1"/>
  <c r="K652" i="3"/>
  <c r="AE652" i="3" s="1"/>
  <c r="G652" i="3" l="1"/>
  <c r="I652" i="3" s="1"/>
  <c r="V652" i="3"/>
  <c r="A653" i="3"/>
  <c r="B653" i="3" s="1"/>
  <c r="M652" i="3" l="1"/>
  <c r="N652" i="3" s="1"/>
  <c r="J652" i="3"/>
  <c r="L652" i="3" s="1"/>
  <c r="W652" i="3"/>
  <c r="AC653" i="3"/>
  <c r="Z653" i="3"/>
  <c r="AA653" i="3"/>
  <c r="P653" i="3"/>
  <c r="Q653" i="3" s="1"/>
  <c r="R653" i="3" s="1"/>
  <c r="S653" i="3" s="1"/>
  <c r="AD653" i="3"/>
  <c r="T653" i="3" l="1"/>
  <c r="AG653" i="3" s="1"/>
  <c r="U652" i="3"/>
  <c r="Y651" i="3"/>
  <c r="D653" i="3" l="1"/>
  <c r="G653" i="3" s="1"/>
  <c r="AH653" i="3"/>
  <c r="E653" i="3"/>
  <c r="H653" i="3" s="1"/>
  <c r="K653" i="3" s="1"/>
  <c r="AE653" i="3" s="1"/>
  <c r="F653" i="3" l="1"/>
  <c r="V653" i="3"/>
  <c r="A654" i="3"/>
  <c r="B654" i="3" s="1"/>
  <c r="I653" i="3"/>
  <c r="J653" i="3"/>
  <c r="M653" i="3"/>
  <c r="N653" i="3" s="1"/>
  <c r="L653" i="3" l="1"/>
  <c r="P654" i="3"/>
  <c r="Q654" i="3" s="1"/>
  <c r="R654" i="3" s="1"/>
  <c r="S654" i="3" s="1"/>
  <c r="AA654" i="3"/>
  <c r="Z654" i="3"/>
  <c r="AC654" i="3"/>
  <c r="W653" i="3"/>
  <c r="T654" i="3" l="1"/>
  <c r="AG654" i="3" s="1"/>
  <c r="U653" i="3"/>
  <c r="Y652" i="3"/>
  <c r="E654" i="3" l="1"/>
  <c r="H654" i="3" s="1"/>
  <c r="K654" i="3" s="1"/>
  <c r="AE654" i="3" s="1"/>
  <c r="D654" i="3"/>
  <c r="AH654" i="3"/>
  <c r="F654" i="3" l="1"/>
  <c r="G654" i="3"/>
  <c r="I654" i="3" s="1"/>
  <c r="V654" i="3"/>
  <c r="A655" i="3"/>
  <c r="B655" i="3" s="1"/>
  <c r="M654" i="3" l="1"/>
  <c r="N654" i="3" s="1"/>
  <c r="J654" i="3"/>
  <c r="AD654" i="3" s="1"/>
  <c r="W654" i="3"/>
  <c r="AA655" i="3"/>
  <c r="P655" i="3"/>
  <c r="Q655" i="3" s="1"/>
  <c r="R655" i="3" s="1"/>
  <c r="S655" i="3" s="1"/>
  <c r="AC655" i="3"/>
  <c r="AD655" i="3"/>
  <c r="Z655" i="3"/>
  <c r="L654" i="3" l="1"/>
  <c r="U654" i="3" s="1"/>
  <c r="T655" i="3"/>
  <c r="Y653" i="3" l="1"/>
  <c r="AH655" i="3"/>
  <c r="D655" i="3"/>
  <c r="G655" i="3" s="1"/>
  <c r="AG655" i="3"/>
  <c r="E655" i="3"/>
  <c r="H655" i="3" s="1"/>
  <c r="K655" i="3" l="1"/>
  <c r="AE655" i="3" s="1"/>
  <c r="I655" i="3"/>
  <c r="J655" i="3"/>
  <c r="M655" i="3"/>
  <c r="N655" i="3" s="1"/>
  <c r="F655" i="3"/>
  <c r="L655" i="3" l="1"/>
  <c r="V655" i="3"/>
  <c r="W655" i="3" s="1"/>
  <c r="A656" i="3"/>
  <c r="B656" i="3" s="1"/>
  <c r="P656" i="3" l="1"/>
  <c r="Q656" i="3" s="1"/>
  <c r="R656" i="3" s="1"/>
  <c r="S656" i="3" s="1"/>
  <c r="AA656" i="3"/>
  <c r="Z656" i="3"/>
  <c r="AD656" i="3"/>
  <c r="AC656" i="3"/>
  <c r="U655" i="3"/>
  <c r="Y654" i="3"/>
  <c r="T656" i="3" l="1"/>
  <c r="AH656" i="3" l="1"/>
  <c r="AG656" i="3"/>
  <c r="E656" i="3"/>
  <c r="H656" i="3" s="1"/>
  <c r="D656" i="3"/>
  <c r="K656" i="3" l="1"/>
  <c r="AE656" i="3" s="1"/>
  <c r="F656" i="3"/>
  <c r="G656" i="3"/>
  <c r="I656" i="3" l="1"/>
  <c r="J656" i="3"/>
  <c r="M656" i="3"/>
  <c r="N656" i="3" s="1"/>
  <c r="V656" i="3"/>
  <c r="A657" i="3"/>
  <c r="B657" i="3" s="1"/>
  <c r="W656" i="3" l="1"/>
  <c r="L656" i="3"/>
  <c r="P657" i="3"/>
  <c r="Q657" i="3" s="1"/>
  <c r="R657" i="3" s="1"/>
  <c r="S657" i="3" s="1"/>
  <c r="AC657" i="3"/>
  <c r="AA657" i="3"/>
  <c r="Z657" i="3"/>
  <c r="AD657" i="3"/>
  <c r="T657" i="3" l="1"/>
  <c r="AG657" i="3" s="1"/>
  <c r="U656" i="3"/>
  <c r="Y655" i="3"/>
  <c r="D657" i="3" l="1"/>
  <c r="G657" i="3" s="1"/>
  <c r="AH657" i="3"/>
  <c r="E657" i="3"/>
  <c r="H657" i="3" s="1"/>
  <c r="K657" i="3" s="1"/>
  <c r="AE657" i="3" s="1"/>
  <c r="F657" i="3" l="1"/>
  <c r="V657" i="3"/>
  <c r="A658" i="3"/>
  <c r="B658" i="3" s="1"/>
  <c r="I657" i="3"/>
  <c r="J657" i="3"/>
  <c r="M657" i="3"/>
  <c r="N657" i="3" s="1"/>
  <c r="L657" i="3" l="1"/>
  <c r="AD658" i="3"/>
  <c r="AA658" i="3"/>
  <c r="P658" i="3"/>
  <c r="Q658" i="3" s="1"/>
  <c r="R658" i="3" s="1"/>
  <c r="S658" i="3" s="1"/>
  <c r="AC658" i="3"/>
  <c r="Z658" i="3"/>
  <c r="W657" i="3"/>
  <c r="T658" i="3" l="1"/>
  <c r="AG658" i="3" s="1"/>
  <c r="U657" i="3"/>
  <c r="Y656" i="3"/>
  <c r="D658" i="3" l="1"/>
  <c r="G658" i="3" s="1"/>
  <c r="AH658" i="3"/>
  <c r="E658" i="3"/>
  <c r="H658" i="3" s="1"/>
  <c r="K658" i="3" l="1"/>
  <c r="AE658" i="3" s="1"/>
  <c r="I658" i="3"/>
  <c r="J658" i="3"/>
  <c r="M658" i="3"/>
  <c r="N658" i="3" s="1"/>
  <c r="F658" i="3"/>
  <c r="V658" i="3" l="1"/>
  <c r="W658" i="3" s="1"/>
  <c r="A659" i="3"/>
  <c r="B659" i="3" s="1"/>
  <c r="L658" i="3"/>
  <c r="P659" i="3" l="1"/>
  <c r="Q659" i="3" s="1"/>
  <c r="R659" i="3" s="1"/>
  <c r="S659" i="3" s="1"/>
  <c r="AC659" i="3"/>
  <c r="AA659" i="3"/>
  <c r="Z659" i="3"/>
  <c r="AD659" i="3"/>
  <c r="U658" i="3"/>
  <c r="Y657" i="3"/>
  <c r="T659" i="3" l="1"/>
  <c r="D659" i="3" l="1"/>
  <c r="E659" i="3"/>
  <c r="H659" i="3" s="1"/>
  <c r="AH659" i="3"/>
  <c r="AG659" i="3"/>
  <c r="K659" i="3" l="1"/>
  <c r="AE659" i="3" s="1"/>
  <c r="F659" i="3"/>
  <c r="G659" i="3"/>
  <c r="I659" i="3" l="1"/>
  <c r="J659" i="3"/>
  <c r="M659" i="3"/>
  <c r="N659" i="3" s="1"/>
  <c r="V659" i="3"/>
  <c r="A660" i="3"/>
  <c r="B660" i="3" s="1"/>
  <c r="W659" i="3" l="1"/>
  <c r="AA660" i="3"/>
  <c r="Z660" i="3"/>
  <c r="AD660" i="3"/>
  <c r="AC660" i="3"/>
  <c r="P660" i="3"/>
  <c r="Q660" i="3" s="1"/>
  <c r="R660" i="3" s="1"/>
  <c r="S660" i="3" s="1"/>
  <c r="L659" i="3"/>
  <c r="T660" i="3" l="1"/>
  <c r="AG660" i="3" s="1"/>
  <c r="U659" i="3"/>
  <c r="Y658" i="3"/>
  <c r="E660" i="3" l="1"/>
  <c r="H660" i="3" s="1"/>
  <c r="K660" i="3" s="1"/>
  <c r="AE660" i="3" s="1"/>
  <c r="D660" i="3"/>
  <c r="G660" i="3" s="1"/>
  <c r="AH660" i="3"/>
  <c r="F660" i="3" l="1"/>
  <c r="V660" i="3"/>
  <c r="A661" i="3"/>
  <c r="B661" i="3" s="1"/>
  <c r="I660" i="3"/>
  <c r="J660" i="3"/>
  <c r="M660" i="3"/>
  <c r="N660" i="3" s="1"/>
  <c r="L660" i="3" l="1"/>
  <c r="AC661" i="3"/>
  <c r="Z661" i="3"/>
  <c r="P661" i="3"/>
  <c r="Q661" i="3" s="1"/>
  <c r="R661" i="3" s="1"/>
  <c r="S661" i="3" s="1"/>
  <c r="AA661" i="3"/>
  <c r="AD661" i="3"/>
  <c r="W660" i="3"/>
  <c r="T661" i="3" l="1"/>
  <c r="AH661" i="3" s="1"/>
  <c r="U660" i="3"/>
  <c r="Y659" i="3"/>
  <c r="D661" i="3" l="1"/>
  <c r="G661" i="3" s="1"/>
  <c r="E661" i="3"/>
  <c r="H661" i="3" s="1"/>
  <c r="K661" i="3" s="1"/>
  <c r="AE661" i="3" s="1"/>
  <c r="AG661" i="3"/>
  <c r="F661" i="3" l="1"/>
  <c r="V661" i="3"/>
  <c r="A662" i="3"/>
  <c r="B662" i="3" s="1"/>
  <c r="I661" i="3"/>
  <c r="J661" i="3"/>
  <c r="M661" i="3"/>
  <c r="N661" i="3" s="1"/>
  <c r="Z662" i="3" l="1"/>
  <c r="P662" i="3"/>
  <c r="Q662" i="3" s="1"/>
  <c r="R662" i="3" s="1"/>
  <c r="S662" i="3" s="1"/>
  <c r="AA662" i="3"/>
  <c r="AD662" i="3"/>
  <c r="AC662" i="3"/>
  <c r="L661" i="3"/>
  <c r="W661" i="3"/>
  <c r="T662" i="3" l="1"/>
  <c r="AG662" i="3" s="1"/>
  <c r="U661" i="3"/>
  <c r="Y660" i="3"/>
  <c r="AH662" i="3" l="1"/>
  <c r="E662" i="3"/>
  <c r="H662" i="3" s="1"/>
  <c r="K662" i="3" s="1"/>
  <c r="AE662" i="3" s="1"/>
  <c r="D662" i="3"/>
  <c r="F662" i="3" l="1"/>
  <c r="G662" i="3"/>
  <c r="I662" i="3" s="1"/>
  <c r="V662" i="3"/>
  <c r="A663" i="3"/>
  <c r="B663" i="3" s="1"/>
  <c r="M662" i="3" l="1"/>
  <c r="N662" i="3" s="1"/>
  <c r="J662" i="3"/>
  <c r="L662" i="3" s="1"/>
  <c r="W662" i="3"/>
  <c r="AC663" i="3"/>
  <c r="P663" i="3"/>
  <c r="Q663" i="3" s="1"/>
  <c r="R663" i="3" s="1"/>
  <c r="S663" i="3" s="1"/>
  <c r="AD663" i="3"/>
  <c r="AA663" i="3"/>
  <c r="Z663" i="3"/>
  <c r="T663" i="3" l="1"/>
  <c r="AH663" i="3" s="1"/>
  <c r="U662" i="3"/>
  <c r="Y661" i="3"/>
  <c r="AG663" i="3" l="1"/>
  <c r="E663" i="3"/>
  <c r="H663" i="3" s="1"/>
  <c r="K663" i="3" s="1"/>
  <c r="AE663" i="3" s="1"/>
  <c r="D663" i="3"/>
  <c r="F663" i="3" l="1"/>
  <c r="G663" i="3"/>
  <c r="M663" i="3" s="1"/>
  <c r="N663" i="3" s="1"/>
  <c r="V663" i="3"/>
  <c r="A664" i="3"/>
  <c r="B664" i="3" s="1"/>
  <c r="J663" i="3" l="1"/>
  <c r="L663" i="3" s="1"/>
  <c r="I663" i="3"/>
  <c r="W663" i="3" s="1"/>
  <c r="AC664" i="3"/>
  <c r="Z664" i="3"/>
  <c r="AA664" i="3"/>
  <c r="P664" i="3"/>
  <c r="Q664" i="3" s="1"/>
  <c r="R664" i="3" s="1"/>
  <c r="S664" i="3" s="1"/>
  <c r="T664" i="3" l="1"/>
  <c r="AG664" i="3" s="1"/>
  <c r="U663" i="3"/>
  <c r="Y662" i="3"/>
  <c r="D664" i="3" l="1"/>
  <c r="G664" i="3" s="1"/>
  <c r="E664" i="3"/>
  <c r="H664" i="3" s="1"/>
  <c r="K664" i="3" s="1"/>
  <c r="AE664" i="3" s="1"/>
  <c r="AH664" i="3"/>
  <c r="F664" i="3" l="1"/>
  <c r="V664" i="3"/>
  <c r="A665" i="3"/>
  <c r="B665" i="3" s="1"/>
  <c r="I664" i="3"/>
  <c r="J664" i="3"/>
  <c r="AD664" i="3" s="1"/>
  <c r="M664" i="3"/>
  <c r="N664" i="3" s="1"/>
  <c r="W664" i="3" l="1"/>
  <c r="L664" i="3"/>
  <c r="AA665" i="3"/>
  <c r="P665" i="3"/>
  <c r="Q665" i="3" s="1"/>
  <c r="R665" i="3" s="1"/>
  <c r="S665" i="3" s="1"/>
  <c r="AC665" i="3"/>
  <c r="Z665" i="3"/>
  <c r="AD665" i="3"/>
  <c r="T665" i="3" l="1"/>
  <c r="AG665" i="3" s="1"/>
  <c r="U664" i="3"/>
  <c r="Y663" i="3"/>
  <c r="D665" i="3" l="1"/>
  <c r="G665" i="3" s="1"/>
  <c r="E665" i="3"/>
  <c r="H665" i="3" s="1"/>
  <c r="K665" i="3" s="1"/>
  <c r="AE665" i="3" s="1"/>
  <c r="AH665" i="3"/>
  <c r="F665" i="3" l="1"/>
  <c r="V665" i="3"/>
  <c r="A666" i="3"/>
  <c r="B666" i="3" s="1"/>
  <c r="I665" i="3"/>
  <c r="J665" i="3"/>
  <c r="M665" i="3"/>
  <c r="N665" i="3" s="1"/>
  <c r="W665" i="3" l="1"/>
  <c r="L665" i="3"/>
  <c r="AD666" i="3"/>
  <c r="AA666" i="3"/>
  <c r="P666" i="3"/>
  <c r="Q666" i="3" s="1"/>
  <c r="R666" i="3" s="1"/>
  <c r="S666" i="3" s="1"/>
  <c r="Z666" i="3"/>
  <c r="AC666" i="3"/>
  <c r="T666" i="3" l="1"/>
  <c r="AG666" i="3" s="1"/>
  <c r="U665" i="3"/>
  <c r="Y664" i="3"/>
  <c r="D666" i="3" l="1"/>
  <c r="G666" i="3" s="1"/>
  <c r="AH666" i="3"/>
  <c r="E666" i="3"/>
  <c r="H666" i="3" s="1"/>
  <c r="K666" i="3" s="1"/>
  <c r="AE666" i="3" s="1"/>
  <c r="F666" i="3" l="1"/>
  <c r="V666" i="3"/>
  <c r="A667" i="3"/>
  <c r="B667" i="3" s="1"/>
  <c r="I666" i="3"/>
  <c r="J666" i="3"/>
  <c r="M666" i="3"/>
  <c r="N666" i="3" s="1"/>
  <c r="Z667" i="3" l="1"/>
  <c r="P667" i="3"/>
  <c r="Q667" i="3" s="1"/>
  <c r="R667" i="3" s="1"/>
  <c r="S667" i="3" s="1"/>
  <c r="AA667" i="3"/>
  <c r="AD667" i="3"/>
  <c r="AC667" i="3"/>
  <c r="L666" i="3"/>
  <c r="W666" i="3"/>
  <c r="T667" i="3" l="1"/>
  <c r="AH667" i="3" s="1"/>
  <c r="U666" i="3"/>
  <c r="Y665" i="3"/>
  <c r="AG667" i="3" l="1"/>
  <c r="D667" i="3"/>
  <c r="G667" i="3" s="1"/>
  <c r="E667" i="3"/>
  <c r="H667" i="3" s="1"/>
  <c r="K667" i="3" s="1"/>
  <c r="AE667" i="3" s="1"/>
  <c r="F667" i="3" l="1"/>
  <c r="V667" i="3"/>
  <c r="A668" i="3"/>
  <c r="B668" i="3" s="1"/>
  <c r="I667" i="3"/>
  <c r="J667" i="3"/>
  <c r="M667" i="3"/>
  <c r="N667" i="3" s="1"/>
  <c r="AD668" i="3" l="1"/>
  <c r="AC668" i="3"/>
  <c r="AA668" i="3"/>
  <c r="Z668" i="3"/>
  <c r="P668" i="3"/>
  <c r="Q668" i="3" s="1"/>
  <c r="R668" i="3" s="1"/>
  <c r="S668" i="3" s="1"/>
  <c r="L667" i="3"/>
  <c r="W667" i="3"/>
  <c r="T668" i="3" l="1"/>
  <c r="AG668" i="3" s="1"/>
  <c r="U667" i="3"/>
  <c r="Y666" i="3"/>
  <c r="AH668" i="3" l="1"/>
  <c r="D668" i="3"/>
  <c r="G668" i="3" s="1"/>
  <c r="E668" i="3"/>
  <c r="H668" i="3" s="1"/>
  <c r="K668" i="3" s="1"/>
  <c r="AE668" i="3" s="1"/>
  <c r="F668" i="3" l="1"/>
  <c r="I668" i="3"/>
  <c r="J668" i="3"/>
  <c r="M668" i="3"/>
  <c r="N668" i="3" s="1"/>
  <c r="V668" i="3"/>
  <c r="W668" i="3" s="1"/>
  <c r="A669" i="3"/>
  <c r="B669" i="3" s="1"/>
  <c r="AC669" i="3" l="1"/>
  <c r="Z669" i="3"/>
  <c r="AA669" i="3"/>
  <c r="P669" i="3"/>
  <c r="Q669" i="3" s="1"/>
  <c r="R669" i="3" s="1"/>
  <c r="S669" i="3" s="1"/>
  <c r="AD669" i="3"/>
  <c r="L668" i="3"/>
  <c r="T669" i="3" l="1"/>
  <c r="AG669" i="3" s="1"/>
  <c r="U668" i="3"/>
  <c r="Y667" i="3"/>
  <c r="E669" i="3" l="1"/>
  <c r="H669" i="3" s="1"/>
  <c r="K669" i="3" s="1"/>
  <c r="AE669" i="3" s="1"/>
  <c r="D669" i="3"/>
  <c r="AH669" i="3"/>
  <c r="F669" i="3" l="1"/>
  <c r="G669" i="3"/>
  <c r="J669" i="3" s="1"/>
  <c r="V669" i="3"/>
  <c r="A670" i="3"/>
  <c r="B670" i="3" s="1"/>
  <c r="I669" i="3" l="1"/>
  <c r="M669" i="3"/>
  <c r="N669" i="3" s="1"/>
  <c r="L669" i="3"/>
  <c r="AD670" i="3"/>
  <c r="P670" i="3"/>
  <c r="Q670" i="3" s="1"/>
  <c r="R670" i="3" s="1"/>
  <c r="S670" i="3" s="1"/>
  <c r="Z670" i="3"/>
  <c r="AC670" i="3"/>
  <c r="AA670" i="3"/>
  <c r="W669" i="3"/>
  <c r="T670" i="3" l="1"/>
  <c r="AH670" i="3" s="1"/>
  <c r="U669" i="3"/>
  <c r="Y668" i="3"/>
  <c r="AG670" i="3" l="1"/>
  <c r="D670" i="3"/>
  <c r="G670" i="3" s="1"/>
  <c r="E670" i="3"/>
  <c r="H670" i="3" s="1"/>
  <c r="K670" i="3" s="1"/>
  <c r="AE670" i="3" s="1"/>
  <c r="F670" i="3" l="1"/>
  <c r="V670" i="3"/>
  <c r="A671" i="3"/>
  <c r="B671" i="3" s="1"/>
  <c r="I670" i="3"/>
  <c r="J670" i="3"/>
  <c r="M670" i="3"/>
  <c r="N670" i="3" s="1"/>
  <c r="W670" i="3" l="1"/>
  <c r="L670" i="3"/>
  <c r="AD671" i="3"/>
  <c r="AA671" i="3"/>
  <c r="P671" i="3"/>
  <c r="Q671" i="3" s="1"/>
  <c r="R671" i="3" s="1"/>
  <c r="S671" i="3" s="1"/>
  <c r="AC671" i="3"/>
  <c r="Z671" i="3"/>
  <c r="T671" i="3" l="1"/>
  <c r="AG671" i="3" s="1"/>
  <c r="U670" i="3"/>
  <c r="Y669" i="3"/>
  <c r="E671" i="3" l="1"/>
  <c r="H671" i="3" s="1"/>
  <c r="K671" i="3" s="1"/>
  <c r="AE671" i="3" s="1"/>
  <c r="AH671" i="3"/>
  <c r="D671" i="3"/>
  <c r="G671" i="3" s="1"/>
  <c r="F671" i="3" l="1"/>
  <c r="V671" i="3"/>
  <c r="A672" i="3"/>
  <c r="B672" i="3" s="1"/>
  <c r="I671" i="3"/>
  <c r="J671" i="3"/>
  <c r="M671" i="3"/>
  <c r="N671" i="3" s="1"/>
  <c r="W671" i="3" l="1"/>
  <c r="AD672" i="3"/>
  <c r="P672" i="3"/>
  <c r="Q672" i="3" s="1"/>
  <c r="R672" i="3" s="1"/>
  <c r="S672" i="3" s="1"/>
  <c r="Z672" i="3"/>
  <c r="AC672" i="3"/>
  <c r="AA672" i="3"/>
  <c r="L671" i="3"/>
  <c r="U671" i="3" l="1"/>
  <c r="Y670" i="3"/>
  <c r="T672" i="3"/>
  <c r="AH672" i="3" s="1"/>
  <c r="D672" i="3" l="1"/>
  <c r="E672" i="3"/>
  <c r="H672" i="3" s="1"/>
  <c r="AG672" i="3"/>
  <c r="K672" i="3" l="1"/>
  <c r="AE672" i="3" s="1"/>
  <c r="F672" i="3"/>
  <c r="G672" i="3"/>
  <c r="I672" i="3" l="1"/>
  <c r="J672" i="3"/>
  <c r="M672" i="3"/>
  <c r="N672" i="3" s="1"/>
  <c r="V672" i="3"/>
  <c r="A673" i="3"/>
  <c r="B673" i="3" s="1"/>
  <c r="W672" i="3" l="1"/>
  <c r="AC673" i="3"/>
  <c r="AA673" i="3"/>
  <c r="P673" i="3"/>
  <c r="Q673" i="3" s="1"/>
  <c r="R673" i="3" s="1"/>
  <c r="S673" i="3" s="1"/>
  <c r="AD673" i="3"/>
  <c r="Z673" i="3"/>
  <c r="L672" i="3"/>
  <c r="T673" i="3" l="1"/>
  <c r="AG673" i="3" s="1"/>
  <c r="U672" i="3"/>
  <c r="Y671" i="3"/>
  <c r="E673" i="3" l="1"/>
  <c r="H673" i="3" s="1"/>
  <c r="K673" i="3" s="1"/>
  <c r="AE673" i="3" s="1"/>
  <c r="AH673" i="3"/>
  <c r="D673" i="3"/>
  <c r="F673" i="3" l="1"/>
  <c r="G673" i="3"/>
  <c r="V673" i="3"/>
  <c r="A674" i="3"/>
  <c r="B674" i="3" s="1"/>
  <c r="Z674" i="3" l="1"/>
  <c r="AC674" i="3"/>
  <c r="P674" i="3"/>
  <c r="Q674" i="3" s="1"/>
  <c r="R674" i="3" s="1"/>
  <c r="S674" i="3" s="1"/>
  <c r="AA674" i="3"/>
  <c r="I673" i="3"/>
  <c r="W673" i="3" s="1"/>
  <c r="J673" i="3"/>
  <c r="M673" i="3"/>
  <c r="N673" i="3" s="1"/>
  <c r="T674" i="3" l="1"/>
  <c r="L673" i="3"/>
  <c r="AH674" i="3" l="1"/>
  <c r="U673" i="3"/>
  <c r="D674" i="3" s="1"/>
  <c r="AG674" i="3"/>
  <c r="Y672" i="3"/>
  <c r="E674" i="3" l="1"/>
  <c r="H674" i="3" s="1"/>
  <c r="K674" i="3" s="1"/>
  <c r="AE674" i="3" s="1"/>
  <c r="G674" i="3"/>
  <c r="F674" i="3" l="1"/>
  <c r="V674" i="3"/>
  <c r="A675" i="3"/>
  <c r="B675" i="3" s="1"/>
  <c r="I674" i="3"/>
  <c r="J674" i="3"/>
  <c r="AD674" i="3" s="1"/>
  <c r="M674" i="3"/>
  <c r="N674" i="3" s="1"/>
  <c r="W674" i="3" l="1"/>
  <c r="L674" i="3"/>
  <c r="AD675" i="3"/>
  <c r="P675" i="3"/>
  <c r="Q675" i="3" s="1"/>
  <c r="R675" i="3" s="1"/>
  <c r="S675" i="3" s="1"/>
  <c r="Z675" i="3"/>
  <c r="AA675" i="3"/>
  <c r="AC675" i="3"/>
  <c r="T675" i="3" l="1"/>
  <c r="AH675" i="3" s="1"/>
  <c r="U674" i="3"/>
  <c r="Y673" i="3"/>
  <c r="D675" i="3" l="1"/>
  <c r="G675" i="3" s="1"/>
  <c r="AG675" i="3"/>
  <c r="E675" i="3"/>
  <c r="H675" i="3" s="1"/>
  <c r="K675" i="3" s="1"/>
  <c r="AE675" i="3" s="1"/>
  <c r="F675" i="3" l="1"/>
  <c r="V675" i="3"/>
  <c r="A676" i="3"/>
  <c r="B676" i="3" s="1"/>
  <c r="I675" i="3"/>
  <c r="J675" i="3"/>
  <c r="M675" i="3"/>
  <c r="N675" i="3" s="1"/>
  <c r="AC676" i="3" l="1"/>
  <c r="AD676" i="3"/>
  <c r="P676" i="3"/>
  <c r="Q676" i="3" s="1"/>
  <c r="R676" i="3" s="1"/>
  <c r="S676" i="3" s="1"/>
  <c r="Z676" i="3"/>
  <c r="AA676" i="3"/>
  <c r="L675" i="3"/>
  <c r="W675" i="3"/>
  <c r="T676" i="3" l="1"/>
  <c r="AH676" i="3" s="1"/>
  <c r="U675" i="3"/>
  <c r="Y674" i="3"/>
  <c r="AG676" i="3" l="1"/>
  <c r="D676" i="3"/>
  <c r="G676" i="3" s="1"/>
  <c r="E676" i="3"/>
  <c r="H676" i="3" s="1"/>
  <c r="K676" i="3" l="1"/>
  <c r="AE676" i="3" s="1"/>
  <c r="I676" i="3"/>
  <c r="J676" i="3"/>
  <c r="M676" i="3"/>
  <c r="N676" i="3" s="1"/>
  <c r="F676" i="3"/>
  <c r="L676" i="3" l="1"/>
  <c r="V676" i="3"/>
  <c r="W676" i="3" s="1"/>
  <c r="A677" i="3"/>
  <c r="B677" i="3" s="1"/>
  <c r="P677" i="3" l="1"/>
  <c r="Q677" i="3" s="1"/>
  <c r="R677" i="3" s="1"/>
  <c r="S677" i="3" s="1"/>
  <c r="AC677" i="3"/>
  <c r="AA677" i="3"/>
  <c r="Z677" i="3"/>
  <c r="AD677" i="3"/>
  <c r="U676" i="3"/>
  <c r="Y675" i="3"/>
  <c r="T677" i="3" l="1"/>
  <c r="AG677" i="3" l="1"/>
  <c r="E677" i="3"/>
  <c r="H677" i="3" s="1"/>
  <c r="AH677" i="3"/>
  <c r="D677" i="3"/>
  <c r="F677" i="3" l="1"/>
  <c r="G677" i="3"/>
  <c r="K677" i="3"/>
  <c r="AE677" i="3" s="1"/>
  <c r="V677" i="3" l="1"/>
  <c r="A678" i="3"/>
  <c r="B678" i="3" s="1"/>
  <c r="I677" i="3"/>
  <c r="J677" i="3"/>
  <c r="M677" i="3"/>
  <c r="N677" i="3" s="1"/>
  <c r="L677" i="3" l="1"/>
  <c r="P678" i="3"/>
  <c r="Q678" i="3" s="1"/>
  <c r="R678" i="3" s="1"/>
  <c r="S678" i="3" s="1"/>
  <c r="AA678" i="3"/>
  <c r="AC678" i="3"/>
  <c r="Z678" i="3"/>
  <c r="AD678" i="3"/>
  <c r="W677" i="3"/>
  <c r="T678" i="3" l="1"/>
  <c r="AH678" i="3" s="1"/>
  <c r="U677" i="3"/>
  <c r="Y676" i="3"/>
  <c r="AG678" i="3" l="1"/>
  <c r="E678" i="3"/>
  <c r="H678" i="3" s="1"/>
  <c r="K678" i="3" s="1"/>
  <c r="AE678" i="3" s="1"/>
  <c r="D678" i="3"/>
  <c r="F678" i="3" l="1"/>
  <c r="G678" i="3"/>
  <c r="I678" i="3" s="1"/>
  <c r="V678" i="3"/>
  <c r="A679" i="3"/>
  <c r="B679" i="3" s="1"/>
  <c r="M678" i="3" l="1"/>
  <c r="N678" i="3" s="1"/>
  <c r="J678" i="3"/>
  <c r="L678" i="3" s="1"/>
  <c r="Z679" i="3"/>
  <c r="AD679" i="3"/>
  <c r="AC679" i="3"/>
  <c r="P679" i="3"/>
  <c r="Q679" i="3" s="1"/>
  <c r="R679" i="3" s="1"/>
  <c r="S679" i="3" s="1"/>
  <c r="AA679" i="3"/>
  <c r="W678" i="3"/>
  <c r="T679" i="3" l="1"/>
  <c r="AH679" i="3" s="1"/>
  <c r="U678" i="3"/>
  <c r="Y677" i="3"/>
  <c r="E679" i="3" l="1"/>
  <c r="H679" i="3" s="1"/>
  <c r="K679" i="3" s="1"/>
  <c r="AE679" i="3" s="1"/>
  <c r="D679" i="3"/>
  <c r="G679" i="3" s="1"/>
  <c r="AG679" i="3"/>
  <c r="F679" i="3" l="1"/>
  <c r="I679" i="3"/>
  <c r="J679" i="3"/>
  <c r="M679" i="3"/>
  <c r="N679" i="3" s="1"/>
  <c r="V679" i="3"/>
  <c r="A680" i="3"/>
  <c r="B680" i="3" s="1"/>
  <c r="W679" i="3" l="1"/>
  <c r="AA680" i="3"/>
  <c r="Z680" i="3"/>
  <c r="AD680" i="3"/>
  <c r="P680" i="3"/>
  <c r="Q680" i="3" s="1"/>
  <c r="R680" i="3" s="1"/>
  <c r="S680" i="3" s="1"/>
  <c r="AC680" i="3"/>
  <c r="L679" i="3"/>
  <c r="T680" i="3" l="1"/>
  <c r="AH680" i="3" s="1"/>
  <c r="U679" i="3"/>
  <c r="Y678" i="3"/>
  <c r="D680" i="3" l="1"/>
  <c r="G680" i="3" s="1"/>
  <c r="AG680" i="3"/>
  <c r="E680" i="3"/>
  <c r="H680" i="3" s="1"/>
  <c r="K680" i="3" s="1"/>
  <c r="AE680" i="3" s="1"/>
  <c r="F680" i="3" l="1"/>
  <c r="V680" i="3"/>
  <c r="A681" i="3"/>
  <c r="B681" i="3" s="1"/>
  <c r="I680" i="3"/>
  <c r="J680" i="3"/>
  <c r="M680" i="3"/>
  <c r="N680" i="3" s="1"/>
  <c r="L680" i="3" l="1"/>
  <c r="AA681" i="3"/>
  <c r="P681" i="3"/>
  <c r="Q681" i="3" s="1"/>
  <c r="R681" i="3" s="1"/>
  <c r="S681" i="3" s="1"/>
  <c r="AC681" i="3"/>
  <c r="Z681" i="3"/>
  <c r="AD681" i="3"/>
  <c r="W680" i="3"/>
  <c r="T681" i="3" l="1"/>
  <c r="AH681" i="3" s="1"/>
  <c r="U680" i="3"/>
  <c r="Y679" i="3"/>
  <c r="D681" i="3" l="1"/>
  <c r="G681" i="3" s="1"/>
  <c r="E681" i="3"/>
  <c r="H681" i="3" s="1"/>
  <c r="K681" i="3" s="1"/>
  <c r="AE681" i="3" s="1"/>
  <c r="AG681" i="3"/>
  <c r="F681" i="3" l="1"/>
  <c r="V681" i="3"/>
  <c r="A682" i="3"/>
  <c r="B682" i="3" s="1"/>
  <c r="I681" i="3"/>
  <c r="J681" i="3"/>
  <c r="M681" i="3"/>
  <c r="N681" i="3" s="1"/>
  <c r="L681" i="3" l="1"/>
  <c r="AC682" i="3"/>
  <c r="AA682" i="3"/>
  <c r="P682" i="3"/>
  <c r="Q682" i="3" s="1"/>
  <c r="R682" i="3" s="1"/>
  <c r="S682" i="3" s="1"/>
  <c r="Z682" i="3"/>
  <c r="AD682" i="3"/>
  <c r="W681" i="3"/>
  <c r="T682" i="3" l="1"/>
  <c r="AG682" i="3" s="1"/>
  <c r="U681" i="3"/>
  <c r="Y680" i="3"/>
  <c r="E682" i="3" l="1"/>
  <c r="H682" i="3" s="1"/>
  <c r="K682" i="3" s="1"/>
  <c r="AE682" i="3" s="1"/>
  <c r="AH682" i="3"/>
  <c r="D682" i="3"/>
  <c r="F682" i="3" l="1"/>
  <c r="G682" i="3"/>
  <c r="I682" i="3" s="1"/>
  <c r="V682" i="3"/>
  <c r="A683" i="3"/>
  <c r="B683" i="3" s="1"/>
  <c r="M682" i="3" l="1"/>
  <c r="N682" i="3" s="1"/>
  <c r="J682" i="3"/>
  <c r="L682" i="3" s="1"/>
  <c r="W682" i="3"/>
  <c r="AD683" i="3"/>
  <c r="AA683" i="3"/>
  <c r="Z683" i="3"/>
  <c r="P683" i="3"/>
  <c r="Q683" i="3" s="1"/>
  <c r="R683" i="3" s="1"/>
  <c r="S683" i="3" s="1"/>
  <c r="AC683" i="3"/>
  <c r="T683" i="3" l="1"/>
  <c r="AG683" i="3" s="1"/>
  <c r="U682" i="3"/>
  <c r="Y681" i="3"/>
  <c r="D683" i="3" l="1"/>
  <c r="G683" i="3" s="1"/>
  <c r="AH683" i="3"/>
  <c r="E683" i="3"/>
  <c r="H683" i="3" s="1"/>
  <c r="K683" i="3" s="1"/>
  <c r="AE683" i="3" s="1"/>
  <c r="F683" i="3" l="1"/>
  <c r="V683" i="3"/>
  <c r="A684" i="3"/>
  <c r="B684" i="3" s="1"/>
  <c r="I683" i="3"/>
  <c r="J683" i="3"/>
  <c r="M683" i="3"/>
  <c r="N683" i="3" s="1"/>
  <c r="W683" i="3" l="1"/>
  <c r="L683" i="3"/>
  <c r="Z684" i="3"/>
  <c r="AA684" i="3"/>
  <c r="AC684" i="3"/>
  <c r="P684" i="3"/>
  <c r="Q684" i="3" s="1"/>
  <c r="R684" i="3" s="1"/>
  <c r="S684" i="3" s="1"/>
  <c r="T684" i="3" l="1"/>
  <c r="AG684" i="3" s="1"/>
  <c r="U683" i="3"/>
  <c r="Y682" i="3"/>
  <c r="AH684" i="3" l="1"/>
  <c r="D684" i="3"/>
  <c r="G684" i="3" s="1"/>
  <c r="E684" i="3"/>
  <c r="H684" i="3" s="1"/>
  <c r="K684" i="3" s="1"/>
  <c r="AE684" i="3" s="1"/>
  <c r="F684" i="3" l="1"/>
  <c r="I684" i="3"/>
  <c r="J684" i="3"/>
  <c r="AD684" i="3" s="1"/>
  <c r="M684" i="3"/>
  <c r="N684" i="3" s="1"/>
  <c r="V684" i="3"/>
  <c r="A685" i="3"/>
  <c r="B685" i="3" s="1"/>
  <c r="W684" i="3" l="1"/>
  <c r="Z685" i="3"/>
  <c r="AC685" i="3"/>
  <c r="AD685" i="3"/>
  <c r="P685" i="3"/>
  <c r="Q685" i="3" s="1"/>
  <c r="R685" i="3" s="1"/>
  <c r="S685" i="3" s="1"/>
  <c r="AA685" i="3"/>
  <c r="L684" i="3"/>
  <c r="T685" i="3" l="1"/>
  <c r="AG685" i="3" s="1"/>
  <c r="U684" i="3"/>
  <c r="Y683" i="3"/>
  <c r="E685" i="3" l="1"/>
  <c r="H685" i="3" s="1"/>
  <c r="K685" i="3" s="1"/>
  <c r="AE685" i="3" s="1"/>
  <c r="D685" i="3"/>
  <c r="G685" i="3" s="1"/>
  <c r="AH685" i="3"/>
  <c r="F685" i="3" l="1"/>
  <c r="V685" i="3"/>
  <c r="A686" i="3"/>
  <c r="B686" i="3" s="1"/>
  <c r="I685" i="3"/>
  <c r="J685" i="3"/>
  <c r="M685" i="3"/>
  <c r="N685" i="3" s="1"/>
  <c r="L685" i="3" l="1"/>
  <c r="Z686" i="3"/>
  <c r="AA686" i="3"/>
  <c r="P686" i="3"/>
  <c r="Q686" i="3" s="1"/>
  <c r="R686" i="3" s="1"/>
  <c r="S686" i="3" s="1"/>
  <c r="AC686" i="3"/>
  <c r="AD686" i="3"/>
  <c r="W685" i="3"/>
  <c r="T686" i="3" l="1"/>
  <c r="AH686" i="3" s="1"/>
  <c r="U685" i="3"/>
  <c r="Y684" i="3"/>
  <c r="E686" i="3" l="1"/>
  <c r="H686" i="3" s="1"/>
  <c r="K686" i="3" s="1"/>
  <c r="AE686" i="3" s="1"/>
  <c r="AG686" i="3"/>
  <c r="D686" i="3"/>
  <c r="F686" i="3" l="1"/>
  <c r="G686" i="3"/>
  <c r="V686" i="3"/>
  <c r="A687" i="3"/>
  <c r="B687" i="3" s="1"/>
  <c r="AD687" i="3" l="1"/>
  <c r="AA687" i="3"/>
  <c r="AC687" i="3"/>
  <c r="P687" i="3"/>
  <c r="Q687" i="3" s="1"/>
  <c r="R687" i="3" s="1"/>
  <c r="S687" i="3" s="1"/>
  <c r="Z687" i="3"/>
  <c r="I686" i="3"/>
  <c r="W686" i="3" s="1"/>
  <c r="J686" i="3"/>
  <c r="M686" i="3"/>
  <c r="N686" i="3" s="1"/>
  <c r="T687" i="3" l="1"/>
  <c r="L686" i="3"/>
  <c r="AH687" i="3" l="1"/>
  <c r="U686" i="3"/>
  <c r="D687" i="3" s="1"/>
  <c r="AG687" i="3"/>
  <c r="Y685" i="3"/>
  <c r="E687" i="3" l="1"/>
  <c r="H687" i="3" s="1"/>
  <c r="K687" i="3" s="1"/>
  <c r="AE687" i="3" s="1"/>
  <c r="G687" i="3"/>
  <c r="F687" i="3" l="1"/>
  <c r="V687" i="3"/>
  <c r="A688" i="3"/>
  <c r="B688" i="3" s="1"/>
  <c r="I687" i="3"/>
  <c r="J687" i="3"/>
  <c r="M687" i="3"/>
  <c r="N687" i="3" s="1"/>
  <c r="L687" i="3" l="1"/>
  <c r="W687" i="3"/>
  <c r="Z688" i="3"/>
  <c r="P688" i="3"/>
  <c r="Q688" i="3" s="1"/>
  <c r="R688" i="3" s="1"/>
  <c r="S688" i="3" s="1"/>
  <c r="AC688" i="3"/>
  <c r="AA688" i="3"/>
  <c r="AD688" i="3"/>
  <c r="T688" i="3" l="1"/>
  <c r="AH688" i="3" s="1"/>
  <c r="U687" i="3"/>
  <c r="Y686" i="3"/>
  <c r="D688" i="3" l="1"/>
  <c r="G688" i="3" s="1"/>
  <c r="AG688" i="3"/>
  <c r="E688" i="3"/>
  <c r="H688" i="3" s="1"/>
  <c r="K688" i="3" l="1"/>
  <c r="AE688" i="3" s="1"/>
  <c r="I688" i="3"/>
  <c r="J688" i="3"/>
  <c r="M688" i="3"/>
  <c r="N688" i="3" s="1"/>
  <c r="F688" i="3"/>
  <c r="L688" i="3" l="1"/>
  <c r="V688" i="3"/>
  <c r="W688" i="3" s="1"/>
  <c r="A689" i="3"/>
  <c r="B689" i="3" s="1"/>
  <c r="Z689" i="3" l="1"/>
  <c r="P689" i="3"/>
  <c r="Q689" i="3" s="1"/>
  <c r="R689" i="3" s="1"/>
  <c r="S689" i="3" s="1"/>
  <c r="AC689" i="3"/>
  <c r="AA689" i="3"/>
  <c r="AD689" i="3"/>
  <c r="U688" i="3"/>
  <c r="Y687" i="3"/>
  <c r="T689" i="3" l="1"/>
  <c r="D689" i="3" s="1"/>
  <c r="AH689" i="3" l="1"/>
  <c r="E689" i="3"/>
  <c r="H689" i="3" s="1"/>
  <c r="K689" i="3" s="1"/>
  <c r="AE689" i="3" s="1"/>
  <c r="G689" i="3"/>
  <c r="AG689" i="3"/>
  <c r="F689" i="3" l="1"/>
  <c r="V689" i="3"/>
  <c r="A690" i="3"/>
  <c r="B690" i="3" s="1"/>
  <c r="I689" i="3"/>
  <c r="J689" i="3"/>
  <c r="M689" i="3"/>
  <c r="N689" i="3" s="1"/>
  <c r="L689" i="3" l="1"/>
  <c r="AA690" i="3"/>
  <c r="AC690" i="3"/>
  <c r="P690" i="3"/>
  <c r="Q690" i="3" s="1"/>
  <c r="R690" i="3" s="1"/>
  <c r="S690" i="3" s="1"/>
  <c r="AD690" i="3"/>
  <c r="Z690" i="3"/>
  <c r="W689" i="3"/>
  <c r="T690" i="3" l="1"/>
  <c r="AG690" i="3" s="1"/>
  <c r="U689" i="3"/>
  <c r="Y688" i="3"/>
  <c r="AH690" i="3" l="1"/>
  <c r="E690" i="3"/>
  <c r="H690" i="3" s="1"/>
  <c r="K690" i="3" s="1"/>
  <c r="AE690" i="3" s="1"/>
  <c r="D690" i="3"/>
  <c r="F690" i="3" l="1"/>
  <c r="G690" i="3"/>
  <c r="I690" i="3" s="1"/>
  <c r="V690" i="3"/>
  <c r="A691" i="3"/>
  <c r="B691" i="3" s="1"/>
  <c r="M690" i="3" l="1"/>
  <c r="N690" i="3" s="1"/>
  <c r="J690" i="3"/>
  <c r="L690" i="3" s="1"/>
  <c r="W690" i="3"/>
  <c r="Z691" i="3"/>
  <c r="P691" i="3"/>
  <c r="Q691" i="3" s="1"/>
  <c r="R691" i="3" s="1"/>
  <c r="S691" i="3" s="1"/>
  <c r="AC691" i="3"/>
  <c r="AA691" i="3"/>
  <c r="AD691" i="3"/>
  <c r="U690" i="3" l="1"/>
  <c r="Y689" i="3"/>
  <c r="T691" i="3"/>
  <c r="AH691" i="3" s="1"/>
  <c r="E691" i="3" l="1"/>
  <c r="H691" i="3" s="1"/>
  <c r="K691" i="3" s="1"/>
  <c r="AE691" i="3" s="1"/>
  <c r="D691" i="3"/>
  <c r="AG691" i="3"/>
  <c r="F691" i="3" l="1"/>
  <c r="G691" i="3"/>
  <c r="I691" i="3" s="1"/>
  <c r="V691" i="3"/>
  <c r="A692" i="3"/>
  <c r="B692" i="3" s="1"/>
  <c r="M691" i="3" l="1"/>
  <c r="N691" i="3" s="1"/>
  <c r="W691" i="3"/>
  <c r="J691" i="3"/>
  <c r="L691" i="3" s="1"/>
  <c r="Z692" i="3"/>
  <c r="AC692" i="3"/>
  <c r="AD692" i="3"/>
  <c r="AA692" i="3"/>
  <c r="P692" i="3"/>
  <c r="Q692" i="3" s="1"/>
  <c r="R692" i="3" s="1"/>
  <c r="S692" i="3" s="1"/>
  <c r="T692" i="3" l="1"/>
  <c r="AH692" i="3" s="1"/>
  <c r="U691" i="3"/>
  <c r="Y690" i="3"/>
  <c r="D692" i="3" l="1"/>
  <c r="G692" i="3" s="1"/>
  <c r="AG692" i="3"/>
  <c r="E692" i="3"/>
  <c r="H692" i="3" s="1"/>
  <c r="K692" i="3" s="1"/>
  <c r="AE692" i="3" s="1"/>
  <c r="F692" i="3" l="1"/>
  <c r="I692" i="3"/>
  <c r="J692" i="3"/>
  <c r="M692" i="3"/>
  <c r="N692" i="3" s="1"/>
  <c r="V692" i="3"/>
  <c r="A693" i="3"/>
  <c r="B693" i="3" s="1"/>
  <c r="W692" i="3" l="1"/>
  <c r="AC693" i="3"/>
  <c r="AA693" i="3"/>
  <c r="AD693" i="3"/>
  <c r="Z693" i="3"/>
  <c r="P693" i="3"/>
  <c r="Q693" i="3" s="1"/>
  <c r="R693" i="3" s="1"/>
  <c r="S693" i="3" s="1"/>
  <c r="L692" i="3"/>
  <c r="T693" i="3" l="1"/>
  <c r="AG693" i="3" s="1"/>
  <c r="U692" i="3"/>
  <c r="Y691" i="3"/>
  <c r="E693" i="3" l="1"/>
  <c r="H693" i="3" s="1"/>
  <c r="K693" i="3" s="1"/>
  <c r="AE693" i="3" s="1"/>
  <c r="AH693" i="3"/>
  <c r="D693" i="3"/>
  <c r="F693" i="3" l="1"/>
  <c r="G693" i="3"/>
  <c r="I693" i="3" s="1"/>
  <c r="V693" i="3"/>
  <c r="A694" i="3"/>
  <c r="B694" i="3" s="1"/>
  <c r="M693" i="3" l="1"/>
  <c r="N693" i="3" s="1"/>
  <c r="J693" i="3"/>
  <c r="L693" i="3" s="1"/>
  <c r="Z694" i="3"/>
  <c r="AA694" i="3"/>
  <c r="AC694" i="3"/>
  <c r="P694" i="3"/>
  <c r="Q694" i="3" s="1"/>
  <c r="R694" i="3" s="1"/>
  <c r="S694" i="3" s="1"/>
  <c r="W693" i="3"/>
  <c r="U693" i="3" l="1"/>
  <c r="Y692" i="3"/>
  <c r="T694" i="3"/>
  <c r="AG694" i="3" s="1"/>
  <c r="D694" i="3" l="1"/>
  <c r="E694" i="3"/>
  <c r="H694" i="3" s="1"/>
  <c r="AH694" i="3"/>
  <c r="K694" i="3" l="1"/>
  <c r="AE694" i="3" s="1"/>
  <c r="F694" i="3"/>
  <c r="G694" i="3"/>
  <c r="I694" i="3" l="1"/>
  <c r="J694" i="3"/>
  <c r="AD694" i="3" s="1"/>
  <c r="M694" i="3"/>
  <c r="N694" i="3" s="1"/>
  <c r="V694" i="3"/>
  <c r="A695" i="3"/>
  <c r="B695" i="3" s="1"/>
  <c r="W694" i="3" l="1"/>
  <c r="L694" i="3"/>
  <c r="AC695" i="3"/>
  <c r="AA695" i="3"/>
  <c r="AD695" i="3"/>
  <c r="Z695" i="3"/>
  <c r="P695" i="3"/>
  <c r="Q695" i="3" s="1"/>
  <c r="R695" i="3" s="1"/>
  <c r="S695" i="3" s="1"/>
  <c r="T695" i="3" l="1"/>
  <c r="AH695" i="3" s="1"/>
  <c r="U694" i="3"/>
  <c r="Y693" i="3"/>
  <c r="D695" i="3" l="1"/>
  <c r="G695" i="3" s="1"/>
  <c r="AG695" i="3"/>
  <c r="E695" i="3"/>
  <c r="H695" i="3" s="1"/>
  <c r="K695" i="3" s="1"/>
  <c r="AE695" i="3" s="1"/>
  <c r="F695" i="3" l="1"/>
  <c r="V695" i="3"/>
  <c r="A696" i="3"/>
  <c r="B696" i="3" s="1"/>
  <c r="I695" i="3"/>
  <c r="J695" i="3"/>
  <c r="M695" i="3"/>
  <c r="N695" i="3" s="1"/>
  <c r="L695" i="3" l="1"/>
  <c r="P696" i="3"/>
  <c r="Q696" i="3" s="1"/>
  <c r="R696" i="3" s="1"/>
  <c r="S696" i="3" s="1"/>
  <c r="AA696" i="3"/>
  <c r="AC696" i="3"/>
  <c r="AD696" i="3"/>
  <c r="Z696" i="3"/>
  <c r="W695" i="3"/>
  <c r="T696" i="3" l="1"/>
  <c r="AH696" i="3" s="1"/>
  <c r="U695" i="3"/>
  <c r="Y694" i="3"/>
  <c r="AG696" i="3" l="1"/>
  <c r="D696" i="3"/>
  <c r="G696" i="3" s="1"/>
  <c r="E696" i="3"/>
  <c r="H696" i="3" s="1"/>
  <c r="K696" i="3" s="1"/>
  <c r="AE696" i="3" s="1"/>
  <c r="F696" i="3" l="1"/>
  <c r="V696" i="3"/>
  <c r="A697" i="3"/>
  <c r="B697" i="3" s="1"/>
  <c r="I696" i="3"/>
  <c r="J696" i="3"/>
  <c r="M696" i="3"/>
  <c r="N696" i="3" s="1"/>
  <c r="AD697" i="3" l="1"/>
  <c r="AC697" i="3"/>
  <c r="P697" i="3"/>
  <c r="Q697" i="3" s="1"/>
  <c r="R697" i="3" s="1"/>
  <c r="S697" i="3" s="1"/>
  <c r="Z697" i="3"/>
  <c r="AA697" i="3"/>
  <c r="L696" i="3"/>
  <c r="W696" i="3"/>
  <c r="T697" i="3" l="1"/>
  <c r="AG697" i="3" s="1"/>
  <c r="U696" i="3"/>
  <c r="Y695" i="3"/>
  <c r="E697" i="3" l="1"/>
  <c r="H697" i="3" s="1"/>
  <c r="K697" i="3" s="1"/>
  <c r="AE697" i="3" s="1"/>
  <c r="AH697" i="3"/>
  <c r="D697" i="3"/>
  <c r="F697" i="3" l="1"/>
  <c r="G697" i="3"/>
  <c r="I697" i="3" s="1"/>
  <c r="V697" i="3"/>
  <c r="A698" i="3"/>
  <c r="B698" i="3" s="1"/>
  <c r="M697" i="3" l="1"/>
  <c r="N697" i="3" s="1"/>
  <c r="J697" i="3"/>
  <c r="L697" i="3" s="1"/>
  <c r="W697" i="3"/>
  <c r="Z698" i="3"/>
  <c r="P698" i="3"/>
  <c r="Q698" i="3" s="1"/>
  <c r="R698" i="3" s="1"/>
  <c r="S698" i="3" s="1"/>
  <c r="AD698" i="3"/>
  <c r="AC698" i="3"/>
  <c r="AA698" i="3"/>
  <c r="T698" i="3" l="1"/>
  <c r="AG698" i="3" s="1"/>
  <c r="U697" i="3"/>
  <c r="Y696" i="3"/>
  <c r="AH698" i="3" l="1"/>
  <c r="D698" i="3"/>
  <c r="G698" i="3" s="1"/>
  <c r="E698" i="3"/>
  <c r="H698" i="3" s="1"/>
  <c r="K698" i="3" s="1"/>
  <c r="AE698" i="3" s="1"/>
  <c r="F698" i="3" l="1"/>
  <c r="V698" i="3"/>
  <c r="A699" i="3"/>
  <c r="B699" i="3" s="1"/>
  <c r="I698" i="3"/>
  <c r="J698" i="3"/>
  <c r="M698" i="3"/>
  <c r="N698" i="3" s="1"/>
  <c r="Z699" i="3" l="1"/>
  <c r="P699" i="3"/>
  <c r="Q699" i="3" s="1"/>
  <c r="R699" i="3" s="1"/>
  <c r="S699" i="3" s="1"/>
  <c r="AD699" i="3"/>
  <c r="AA699" i="3"/>
  <c r="AC699" i="3"/>
  <c r="L698" i="3"/>
  <c r="W698" i="3"/>
  <c r="T699" i="3" l="1"/>
  <c r="AG699" i="3" s="1"/>
  <c r="U698" i="3"/>
  <c r="Y697" i="3"/>
  <c r="E699" i="3" l="1"/>
  <c r="H699" i="3" s="1"/>
  <c r="K699" i="3" s="1"/>
  <c r="AE699" i="3" s="1"/>
  <c r="AH699" i="3"/>
  <c r="D699" i="3"/>
  <c r="G699" i="3" s="1"/>
  <c r="F699" i="3" l="1"/>
  <c r="I699" i="3"/>
  <c r="J699" i="3"/>
  <c r="M699" i="3"/>
  <c r="N699" i="3" s="1"/>
  <c r="V699" i="3"/>
  <c r="A700" i="3"/>
  <c r="B700" i="3" s="1"/>
  <c r="W699" i="3" l="1"/>
  <c r="P700" i="3"/>
  <c r="Q700" i="3" s="1"/>
  <c r="R700" i="3" s="1"/>
  <c r="S700" i="3" s="1"/>
  <c r="AA700" i="3"/>
  <c r="AC700" i="3"/>
  <c r="AD700" i="3"/>
  <c r="Z700" i="3"/>
  <c r="L699" i="3"/>
  <c r="U699" i="3" l="1"/>
  <c r="Y698" i="3"/>
  <c r="T700" i="3"/>
  <c r="E700" i="3" l="1"/>
  <c r="H700" i="3" s="1"/>
  <c r="K700" i="3" s="1"/>
  <c r="AE700" i="3" s="1"/>
  <c r="AG700" i="3"/>
  <c r="AH700" i="3"/>
  <c r="D700" i="3"/>
  <c r="F700" i="3" l="1"/>
  <c r="G700" i="3"/>
  <c r="V700" i="3"/>
  <c r="A701" i="3"/>
  <c r="B701" i="3" s="1"/>
  <c r="I700" i="3" l="1"/>
  <c r="W700" i="3" s="1"/>
  <c r="J700" i="3"/>
  <c r="M700" i="3"/>
  <c r="N700" i="3" s="1"/>
  <c r="P701" i="3"/>
  <c r="Q701" i="3" s="1"/>
  <c r="R701" i="3" s="1"/>
  <c r="S701" i="3" s="1"/>
  <c r="AA701" i="3"/>
  <c r="AD701" i="3"/>
  <c r="AC701" i="3"/>
  <c r="Z701" i="3"/>
  <c r="L700" i="3" l="1"/>
  <c r="T701" i="3"/>
  <c r="U700" i="3" l="1"/>
  <c r="D701" i="3" s="1"/>
  <c r="AG701" i="3"/>
  <c r="AH701" i="3"/>
  <c r="Y699" i="3"/>
  <c r="E701" i="3" l="1"/>
  <c r="H701" i="3" s="1"/>
  <c r="K701" i="3" s="1"/>
  <c r="AE701" i="3" s="1"/>
  <c r="G701" i="3"/>
  <c r="F701" i="3" l="1"/>
  <c r="V701" i="3"/>
  <c r="A702" i="3"/>
  <c r="B702" i="3" s="1"/>
  <c r="I701" i="3"/>
  <c r="J701" i="3"/>
  <c r="M701" i="3"/>
  <c r="N701" i="3" s="1"/>
  <c r="L701" i="3" l="1"/>
  <c r="AC702" i="3"/>
  <c r="AD702" i="3"/>
  <c r="P702" i="3"/>
  <c r="Q702" i="3" s="1"/>
  <c r="R702" i="3" s="1"/>
  <c r="S702" i="3" s="1"/>
  <c r="Z702" i="3"/>
  <c r="AA702" i="3"/>
  <c r="W701" i="3"/>
  <c r="T702" i="3" l="1"/>
  <c r="U701" i="3"/>
  <c r="Y700" i="3"/>
  <c r="E702" i="3" l="1"/>
  <c r="H702" i="3" s="1"/>
  <c r="K702" i="3" s="1"/>
  <c r="AE702" i="3" s="1"/>
  <c r="D702" i="3"/>
  <c r="AH702" i="3"/>
  <c r="AG702" i="3"/>
  <c r="F702" i="3" l="1"/>
  <c r="G702" i="3"/>
  <c r="V702" i="3"/>
  <c r="A703" i="3"/>
  <c r="B703" i="3" s="1"/>
  <c r="AA703" i="3" l="1"/>
  <c r="Z703" i="3"/>
  <c r="P703" i="3"/>
  <c r="Q703" i="3" s="1"/>
  <c r="R703" i="3" s="1"/>
  <c r="S703" i="3" s="1"/>
  <c r="AD703" i="3"/>
  <c r="AC703" i="3"/>
  <c r="I702" i="3"/>
  <c r="W702" i="3" s="1"/>
  <c r="J702" i="3"/>
  <c r="M702" i="3"/>
  <c r="N702" i="3" s="1"/>
  <c r="T703" i="3" l="1"/>
  <c r="L702" i="3"/>
  <c r="AH703" i="3" l="1"/>
  <c r="U702" i="3"/>
  <c r="E703" i="3" s="1"/>
  <c r="H703" i="3" s="1"/>
  <c r="AG703" i="3"/>
  <c r="Y701" i="3"/>
  <c r="D703" i="3" l="1"/>
  <c r="F703" i="3" s="1"/>
  <c r="K703" i="3"/>
  <c r="AE703" i="3" s="1"/>
  <c r="G703" i="3" l="1"/>
  <c r="I703" i="3" s="1"/>
  <c r="V703" i="3"/>
  <c r="A704" i="3"/>
  <c r="B704" i="3" s="1"/>
  <c r="M703" i="3" l="1"/>
  <c r="N703" i="3" s="1"/>
  <c r="W703" i="3"/>
  <c r="J703" i="3"/>
  <c r="L703" i="3" s="1"/>
  <c r="Z704" i="3"/>
  <c r="AA704" i="3"/>
  <c r="P704" i="3"/>
  <c r="Q704" i="3" s="1"/>
  <c r="R704" i="3" s="1"/>
  <c r="S704" i="3" s="1"/>
  <c r="AC704" i="3"/>
  <c r="T704" i="3" l="1"/>
  <c r="AG704" i="3" s="1"/>
  <c r="U703" i="3"/>
  <c r="Y702" i="3"/>
  <c r="AH704" i="3" l="1"/>
  <c r="E704" i="3"/>
  <c r="H704" i="3" s="1"/>
  <c r="K704" i="3" s="1"/>
  <c r="AE704" i="3" s="1"/>
  <c r="D704" i="3"/>
  <c r="G704" i="3" s="1"/>
  <c r="F704" i="3" l="1"/>
  <c r="V704" i="3"/>
  <c r="A705" i="3"/>
  <c r="B705" i="3" s="1"/>
  <c r="I704" i="3"/>
  <c r="J704" i="3"/>
  <c r="AD704" i="3" s="1"/>
  <c r="M704" i="3"/>
  <c r="N704" i="3" s="1"/>
  <c r="AC705" i="3" l="1"/>
  <c r="P705" i="3"/>
  <c r="Q705" i="3" s="1"/>
  <c r="R705" i="3" s="1"/>
  <c r="S705" i="3" s="1"/>
  <c r="AA705" i="3"/>
  <c r="AD705" i="3"/>
  <c r="Z705" i="3"/>
  <c r="L704" i="3"/>
  <c r="W704" i="3"/>
  <c r="U704" i="3" l="1"/>
  <c r="Y703" i="3"/>
  <c r="T705" i="3"/>
  <c r="AH705" i="3" s="1"/>
  <c r="E705" i="3" l="1"/>
  <c r="H705" i="3" s="1"/>
  <c r="AG705" i="3"/>
  <c r="D705" i="3"/>
  <c r="F705" i="3" l="1"/>
  <c r="G705" i="3"/>
  <c r="K705" i="3"/>
  <c r="AE705" i="3" s="1"/>
  <c r="V705" i="3" l="1"/>
  <c r="A706" i="3"/>
  <c r="B706" i="3" s="1"/>
  <c r="I705" i="3"/>
  <c r="J705" i="3"/>
  <c r="M705" i="3"/>
  <c r="N705" i="3" s="1"/>
  <c r="Z706" i="3" l="1"/>
  <c r="AD706" i="3"/>
  <c r="P706" i="3"/>
  <c r="Q706" i="3" s="1"/>
  <c r="R706" i="3" s="1"/>
  <c r="S706" i="3" s="1"/>
  <c r="AA706" i="3"/>
  <c r="AC706" i="3"/>
  <c r="L705" i="3"/>
  <c r="W705" i="3"/>
  <c r="T706" i="3" l="1"/>
  <c r="U705" i="3"/>
  <c r="Y704" i="3"/>
  <c r="E706" i="3" l="1"/>
  <c r="H706" i="3" s="1"/>
  <c r="K706" i="3" s="1"/>
  <c r="AE706" i="3" s="1"/>
  <c r="AH706" i="3"/>
  <c r="D706" i="3"/>
  <c r="AG706" i="3"/>
  <c r="F706" i="3" l="1"/>
  <c r="G706" i="3"/>
  <c r="I706" i="3" s="1"/>
  <c r="V706" i="3"/>
  <c r="A707" i="3"/>
  <c r="B707" i="3" s="1"/>
  <c r="M706" i="3" l="1"/>
  <c r="N706" i="3" s="1"/>
  <c r="J706" i="3"/>
  <c r="L706" i="3" s="1"/>
  <c r="W706" i="3"/>
  <c r="AC707" i="3"/>
  <c r="P707" i="3"/>
  <c r="Q707" i="3" s="1"/>
  <c r="R707" i="3" s="1"/>
  <c r="S707" i="3" s="1"/>
  <c r="Z707" i="3"/>
  <c r="AA707" i="3"/>
  <c r="AD707" i="3"/>
  <c r="T707" i="3" l="1"/>
  <c r="AG707" i="3" s="1"/>
  <c r="U706" i="3"/>
  <c r="Y705" i="3"/>
  <c r="E707" i="3" l="1"/>
  <c r="H707" i="3" s="1"/>
  <c r="K707" i="3" s="1"/>
  <c r="AE707" i="3" s="1"/>
  <c r="D707" i="3"/>
  <c r="AH707" i="3"/>
  <c r="F707" i="3" l="1"/>
  <c r="G707" i="3"/>
  <c r="I707" i="3" s="1"/>
  <c r="V707" i="3"/>
  <c r="A708" i="3"/>
  <c r="B708" i="3" s="1"/>
  <c r="W707" i="3" l="1"/>
  <c r="M707" i="3"/>
  <c r="N707" i="3" s="1"/>
  <c r="J707" i="3"/>
  <c r="L707" i="3" s="1"/>
  <c r="AC708" i="3"/>
  <c r="P708" i="3"/>
  <c r="Q708" i="3" s="1"/>
  <c r="R708" i="3" s="1"/>
  <c r="S708" i="3" s="1"/>
  <c r="AD708" i="3"/>
  <c r="Z708" i="3"/>
  <c r="AA708" i="3"/>
  <c r="T708" i="3" l="1"/>
  <c r="AG708" i="3" s="1"/>
  <c r="U707" i="3"/>
  <c r="Y706" i="3"/>
  <c r="D708" i="3" l="1"/>
  <c r="G708" i="3" s="1"/>
  <c r="E708" i="3"/>
  <c r="H708" i="3" s="1"/>
  <c r="K708" i="3" s="1"/>
  <c r="AE708" i="3" s="1"/>
  <c r="AH708" i="3"/>
  <c r="F708" i="3" l="1"/>
  <c r="I708" i="3"/>
  <c r="J708" i="3"/>
  <c r="M708" i="3"/>
  <c r="N708" i="3" s="1"/>
  <c r="V708" i="3"/>
  <c r="A709" i="3"/>
  <c r="B709" i="3" s="1"/>
  <c r="W708" i="3" l="1"/>
  <c r="AC709" i="3"/>
  <c r="P709" i="3"/>
  <c r="Q709" i="3" s="1"/>
  <c r="R709" i="3" s="1"/>
  <c r="S709" i="3" s="1"/>
  <c r="AD709" i="3"/>
  <c r="AA709" i="3"/>
  <c r="Z709" i="3"/>
  <c r="L708" i="3"/>
  <c r="T709" i="3" l="1"/>
  <c r="AG709" i="3" s="1"/>
  <c r="U708" i="3"/>
  <c r="Y707" i="3"/>
  <c r="AH709" i="3" l="1"/>
  <c r="E709" i="3"/>
  <c r="H709" i="3" s="1"/>
  <c r="K709" i="3" s="1"/>
  <c r="AE709" i="3" s="1"/>
  <c r="D709" i="3"/>
  <c r="F709" i="3" l="1"/>
  <c r="G709" i="3"/>
  <c r="I709" i="3" s="1"/>
  <c r="V709" i="3"/>
  <c r="A710" i="3"/>
  <c r="B710" i="3" s="1"/>
  <c r="M709" i="3" l="1"/>
  <c r="N709" i="3" s="1"/>
  <c r="J709" i="3"/>
  <c r="L709" i="3" s="1"/>
  <c r="Z710" i="3"/>
  <c r="AC710" i="3"/>
  <c r="AD710" i="3"/>
  <c r="P710" i="3"/>
  <c r="Q710" i="3" s="1"/>
  <c r="R710" i="3" s="1"/>
  <c r="S710" i="3" s="1"/>
  <c r="AA710" i="3"/>
  <c r="W709" i="3"/>
  <c r="U709" i="3" l="1"/>
  <c r="Y708" i="3"/>
  <c r="T710" i="3"/>
  <c r="AH710" i="3" s="1"/>
  <c r="AG710" i="3" l="1"/>
  <c r="E710" i="3"/>
  <c r="H710" i="3" s="1"/>
  <c r="D710" i="3"/>
  <c r="F710" i="3" l="1"/>
  <c r="G710" i="3"/>
  <c r="K710" i="3"/>
  <c r="AE710" i="3" s="1"/>
  <c r="V710" i="3" l="1"/>
  <c r="A711" i="3"/>
  <c r="B711" i="3" s="1"/>
  <c r="I710" i="3"/>
  <c r="J710" i="3"/>
  <c r="M710" i="3"/>
  <c r="N710" i="3" s="1"/>
  <c r="L710" i="3" l="1"/>
  <c r="AA711" i="3"/>
  <c r="AC711" i="3"/>
  <c r="Z711" i="3"/>
  <c r="P711" i="3"/>
  <c r="Q711" i="3" s="1"/>
  <c r="R711" i="3" s="1"/>
  <c r="S711" i="3" s="1"/>
  <c r="AD711" i="3"/>
  <c r="W710" i="3"/>
  <c r="T711" i="3" l="1"/>
  <c r="AH711" i="3" s="1"/>
  <c r="U710" i="3"/>
  <c r="Y709" i="3"/>
  <c r="E711" i="3" l="1"/>
  <c r="H711" i="3" s="1"/>
  <c r="K711" i="3" s="1"/>
  <c r="AE711" i="3" s="1"/>
  <c r="AG711" i="3"/>
  <c r="D711" i="3"/>
  <c r="V711" i="3" l="1"/>
  <c r="A712" i="3"/>
  <c r="B712" i="3" s="1"/>
  <c r="F711" i="3"/>
  <c r="G711" i="3"/>
  <c r="I711" i="3" l="1"/>
  <c r="W711" i="3" s="1"/>
  <c r="J711" i="3"/>
  <c r="M711" i="3"/>
  <c r="N711" i="3" s="1"/>
  <c r="AA712" i="3"/>
  <c r="Z712" i="3"/>
  <c r="P712" i="3"/>
  <c r="Q712" i="3" s="1"/>
  <c r="R712" i="3" s="1"/>
  <c r="S712" i="3" s="1"/>
  <c r="AD712" i="3"/>
  <c r="AC712" i="3"/>
  <c r="T712" i="3" l="1"/>
  <c r="L711" i="3"/>
  <c r="AH712" i="3" l="1"/>
  <c r="U711" i="3"/>
  <c r="D712" i="3" s="1"/>
  <c r="AG712" i="3"/>
  <c r="Y710" i="3"/>
  <c r="E712" i="3" l="1"/>
  <c r="H712" i="3" s="1"/>
  <c r="K712" i="3" s="1"/>
  <c r="AE712" i="3" s="1"/>
  <c r="G712" i="3"/>
  <c r="F712" i="3" l="1"/>
  <c r="V712" i="3"/>
  <c r="A713" i="3"/>
  <c r="B713" i="3" s="1"/>
  <c r="I712" i="3"/>
  <c r="J712" i="3"/>
  <c r="M712" i="3"/>
  <c r="N712" i="3" s="1"/>
  <c r="L712" i="3" l="1"/>
  <c r="Z713" i="3"/>
  <c r="P713" i="3"/>
  <c r="Q713" i="3" s="1"/>
  <c r="R713" i="3" s="1"/>
  <c r="S713" i="3" s="1"/>
  <c r="AD713" i="3"/>
  <c r="AC713" i="3"/>
  <c r="AA713" i="3"/>
  <c r="W712" i="3"/>
  <c r="U712" i="3" l="1"/>
  <c r="Y711" i="3"/>
  <c r="T713" i="3"/>
  <c r="E713" i="3" l="1"/>
  <c r="H713" i="3" s="1"/>
  <c r="K713" i="3" s="1"/>
  <c r="AE713" i="3" s="1"/>
  <c r="AH713" i="3"/>
  <c r="D713" i="3"/>
  <c r="AG713" i="3"/>
  <c r="F713" i="3" l="1"/>
  <c r="G713" i="3"/>
  <c r="I713" i="3" s="1"/>
  <c r="V713" i="3"/>
  <c r="A714" i="3"/>
  <c r="B714" i="3" s="1"/>
  <c r="M713" i="3" l="1"/>
  <c r="N713" i="3" s="1"/>
  <c r="J713" i="3"/>
  <c r="L713" i="3" s="1"/>
  <c r="Z714" i="3"/>
  <c r="AC714" i="3"/>
  <c r="P714" i="3"/>
  <c r="Q714" i="3" s="1"/>
  <c r="R714" i="3" s="1"/>
  <c r="S714" i="3" s="1"/>
  <c r="AA714" i="3"/>
  <c r="W713" i="3"/>
  <c r="T714" i="3" l="1"/>
  <c r="AG714" i="3" s="1"/>
  <c r="U713" i="3"/>
  <c r="Y712" i="3"/>
  <c r="AH714" i="3" l="1"/>
  <c r="D714" i="3"/>
  <c r="G714" i="3" s="1"/>
  <c r="E714" i="3"/>
  <c r="H714" i="3" s="1"/>
  <c r="K714" i="3" s="1"/>
  <c r="AE714" i="3" s="1"/>
  <c r="F714" i="3" l="1"/>
  <c r="V714" i="3"/>
  <c r="A715" i="3"/>
  <c r="B715" i="3" s="1"/>
  <c r="I714" i="3"/>
  <c r="J714" i="3"/>
  <c r="AD714" i="3" s="1"/>
  <c r="M714" i="3"/>
  <c r="N714" i="3" s="1"/>
  <c r="L714" i="3" l="1"/>
  <c r="AC715" i="3"/>
  <c r="P715" i="3"/>
  <c r="Q715" i="3" s="1"/>
  <c r="R715" i="3" s="1"/>
  <c r="S715" i="3" s="1"/>
  <c r="AA715" i="3"/>
  <c r="Z715" i="3"/>
  <c r="AD715" i="3"/>
  <c r="W714" i="3"/>
  <c r="U714" i="3" l="1"/>
  <c r="Y713" i="3"/>
  <c r="T715" i="3"/>
  <c r="AH715" i="3" s="1"/>
  <c r="E715" i="3" l="1"/>
  <c r="H715" i="3" s="1"/>
  <c r="AG715" i="3"/>
  <c r="D715" i="3"/>
  <c r="F715" i="3" l="1"/>
  <c r="G715" i="3"/>
  <c r="K715" i="3"/>
  <c r="AE715" i="3" s="1"/>
  <c r="V715" i="3" l="1"/>
  <c r="A716" i="3"/>
  <c r="B716" i="3" s="1"/>
  <c r="I715" i="3"/>
  <c r="J715" i="3"/>
  <c r="M715" i="3"/>
  <c r="N715" i="3" s="1"/>
  <c r="L715" i="3" l="1"/>
  <c r="Z716" i="3"/>
  <c r="P716" i="3"/>
  <c r="Q716" i="3" s="1"/>
  <c r="R716" i="3" s="1"/>
  <c r="S716" i="3" s="1"/>
  <c r="AD716" i="3"/>
  <c r="AC716" i="3"/>
  <c r="AA716" i="3"/>
  <c r="W715" i="3"/>
  <c r="T716" i="3" l="1"/>
  <c r="AG716" i="3" s="1"/>
  <c r="U715" i="3"/>
  <c r="Y714" i="3"/>
  <c r="AH716" i="3" l="1"/>
  <c r="E716" i="3"/>
  <c r="H716" i="3" s="1"/>
  <c r="K716" i="3" s="1"/>
  <c r="AE716" i="3" s="1"/>
  <c r="D716" i="3"/>
  <c r="F716" i="3" l="1"/>
  <c r="G716" i="3"/>
  <c r="I716" i="3" s="1"/>
  <c r="V716" i="3"/>
  <c r="A717" i="3"/>
  <c r="B717" i="3" s="1"/>
  <c r="M716" i="3" l="1"/>
  <c r="N716" i="3" s="1"/>
  <c r="J716" i="3"/>
  <c r="L716" i="3" s="1"/>
  <c r="W716" i="3"/>
  <c r="AC717" i="3"/>
  <c r="P717" i="3"/>
  <c r="Q717" i="3" s="1"/>
  <c r="R717" i="3" s="1"/>
  <c r="S717" i="3" s="1"/>
  <c r="Z717" i="3"/>
  <c r="AD717" i="3"/>
  <c r="AA717" i="3"/>
  <c r="T717" i="3" l="1"/>
  <c r="AG717" i="3" s="1"/>
  <c r="U716" i="3"/>
  <c r="Y715" i="3"/>
  <c r="AH717" i="3" l="1"/>
  <c r="D717" i="3"/>
  <c r="G717" i="3" s="1"/>
  <c r="E717" i="3"/>
  <c r="H717" i="3" s="1"/>
  <c r="K717" i="3" s="1"/>
  <c r="AE717" i="3" s="1"/>
  <c r="F717" i="3" l="1"/>
  <c r="V717" i="3"/>
  <c r="A718" i="3"/>
  <c r="B718" i="3" s="1"/>
  <c r="I717" i="3"/>
  <c r="J717" i="3"/>
  <c r="M717" i="3"/>
  <c r="N717" i="3" s="1"/>
  <c r="L717" i="3" l="1"/>
  <c r="P718" i="3"/>
  <c r="Q718" i="3" s="1"/>
  <c r="R718" i="3" s="1"/>
  <c r="S718" i="3" s="1"/>
  <c r="AA718" i="3"/>
  <c r="AD718" i="3"/>
  <c r="AC718" i="3"/>
  <c r="Z718" i="3"/>
  <c r="W717" i="3"/>
  <c r="T718" i="3" l="1"/>
  <c r="AG718" i="3" s="1"/>
  <c r="U717" i="3"/>
  <c r="Y716" i="3"/>
  <c r="AH718" i="3" l="1"/>
  <c r="D718" i="3"/>
  <c r="G718" i="3" s="1"/>
  <c r="E718" i="3"/>
  <c r="H718" i="3" s="1"/>
  <c r="K718" i="3" s="1"/>
  <c r="AE718" i="3" s="1"/>
  <c r="F718" i="3" l="1"/>
  <c r="V718" i="3"/>
  <c r="A719" i="3"/>
  <c r="B719" i="3" s="1"/>
  <c r="I718" i="3"/>
  <c r="J718" i="3"/>
  <c r="M718" i="3"/>
  <c r="N718" i="3" s="1"/>
  <c r="L718" i="3" l="1"/>
  <c r="AA719" i="3"/>
  <c r="AC719" i="3"/>
  <c r="P719" i="3"/>
  <c r="Q719" i="3" s="1"/>
  <c r="R719" i="3" s="1"/>
  <c r="S719" i="3" s="1"/>
  <c r="Z719" i="3"/>
  <c r="AD719" i="3"/>
  <c r="W718" i="3"/>
  <c r="T719" i="3" l="1"/>
  <c r="AH719" i="3" s="1"/>
  <c r="U718" i="3"/>
  <c r="Y717" i="3"/>
  <c r="D719" i="3" l="1"/>
  <c r="G719" i="3" s="1"/>
  <c r="AG719" i="3"/>
  <c r="E719" i="3"/>
  <c r="H719" i="3" s="1"/>
  <c r="K719" i="3" s="1"/>
  <c r="AE719" i="3" s="1"/>
  <c r="F719" i="3" l="1"/>
  <c r="V719" i="3"/>
  <c r="A720" i="3"/>
  <c r="B720" i="3" s="1"/>
  <c r="I719" i="3"/>
  <c r="J719" i="3"/>
  <c r="M719" i="3"/>
  <c r="N719" i="3" s="1"/>
  <c r="L719" i="3" l="1"/>
  <c r="AD720" i="3"/>
  <c r="P720" i="3"/>
  <c r="Q720" i="3" s="1"/>
  <c r="R720" i="3" s="1"/>
  <c r="S720" i="3" s="1"/>
  <c r="AC720" i="3"/>
  <c r="AA720" i="3"/>
  <c r="Z720" i="3"/>
  <c r="W719" i="3"/>
  <c r="U719" i="3" l="1"/>
  <c r="Y718" i="3"/>
  <c r="T720" i="3"/>
  <c r="E720" i="3" l="1"/>
  <c r="H720" i="3" s="1"/>
  <c r="K720" i="3" s="1"/>
  <c r="AE720" i="3" s="1"/>
  <c r="D720" i="3"/>
  <c r="AG720" i="3"/>
  <c r="AH720" i="3"/>
  <c r="F720" i="3" l="1"/>
  <c r="G720" i="3"/>
  <c r="V720" i="3"/>
  <c r="A721" i="3"/>
  <c r="B721" i="3" s="1"/>
  <c r="AD721" i="3" l="1"/>
  <c r="AC721" i="3"/>
  <c r="P721" i="3"/>
  <c r="Q721" i="3" s="1"/>
  <c r="R721" i="3" s="1"/>
  <c r="S721" i="3" s="1"/>
  <c r="Z721" i="3"/>
  <c r="AA721" i="3"/>
  <c r="I720" i="3"/>
  <c r="W720" i="3" s="1"/>
  <c r="J720" i="3"/>
  <c r="M720" i="3"/>
  <c r="N720" i="3" s="1"/>
  <c r="L720" i="3" l="1"/>
  <c r="T721" i="3"/>
  <c r="AG721" i="3" l="1"/>
  <c r="U720" i="3"/>
  <c r="D721" i="3" s="1"/>
  <c r="AH721" i="3"/>
  <c r="Y719" i="3"/>
  <c r="E721" i="3" l="1"/>
  <c r="H721" i="3" s="1"/>
  <c r="K721" i="3" s="1"/>
  <c r="AE721" i="3" s="1"/>
  <c r="G721" i="3"/>
  <c r="F721" i="3" l="1"/>
  <c r="I721" i="3"/>
  <c r="J721" i="3"/>
  <c r="M721" i="3"/>
  <c r="N721" i="3" s="1"/>
  <c r="V721" i="3"/>
  <c r="W721" i="3" s="1"/>
  <c r="A722" i="3"/>
  <c r="B722" i="3" s="1"/>
  <c r="P722" i="3" l="1"/>
  <c r="Q722" i="3" s="1"/>
  <c r="R722" i="3" s="1"/>
  <c r="S722" i="3" s="1"/>
  <c r="AC722" i="3"/>
  <c r="Z722" i="3"/>
  <c r="AD722" i="3"/>
  <c r="AA722" i="3"/>
  <c r="L721" i="3"/>
  <c r="U721" i="3" l="1"/>
  <c r="Y720" i="3"/>
  <c r="T722" i="3"/>
  <c r="AG722" i="3" s="1"/>
  <c r="E722" i="3" l="1"/>
  <c r="H722" i="3" s="1"/>
  <c r="K722" i="3" s="1"/>
  <c r="AE722" i="3" s="1"/>
  <c r="AH722" i="3"/>
  <c r="D722" i="3"/>
  <c r="F722" i="3" l="1"/>
  <c r="G722" i="3"/>
  <c r="V722" i="3"/>
  <c r="A723" i="3"/>
  <c r="B723" i="3" s="1"/>
  <c r="AC723" i="3" l="1"/>
  <c r="P723" i="3"/>
  <c r="Q723" i="3" s="1"/>
  <c r="R723" i="3" s="1"/>
  <c r="S723" i="3" s="1"/>
  <c r="AA723" i="3"/>
  <c r="AD723" i="3"/>
  <c r="Z723" i="3"/>
  <c r="I722" i="3"/>
  <c r="W722" i="3" s="1"/>
  <c r="J722" i="3"/>
  <c r="M722" i="3"/>
  <c r="N722" i="3" s="1"/>
  <c r="L722" i="3" l="1"/>
  <c r="T723" i="3"/>
  <c r="U722" i="3" l="1"/>
  <c r="D723" i="3" s="1"/>
  <c r="AG723" i="3"/>
  <c r="AH723" i="3"/>
  <c r="Y721" i="3"/>
  <c r="E723" i="3" l="1"/>
  <c r="H723" i="3" s="1"/>
  <c r="K723" i="3" s="1"/>
  <c r="AE723" i="3" s="1"/>
  <c r="G723" i="3"/>
  <c r="F723" i="3" l="1"/>
  <c r="V723" i="3"/>
  <c r="A724" i="3"/>
  <c r="B724" i="3" s="1"/>
  <c r="I723" i="3"/>
  <c r="J723" i="3"/>
  <c r="M723" i="3"/>
  <c r="N723" i="3" s="1"/>
  <c r="L723" i="3" l="1"/>
  <c r="AA724" i="3"/>
  <c r="P724" i="3"/>
  <c r="Q724" i="3" s="1"/>
  <c r="R724" i="3" s="1"/>
  <c r="S724" i="3" s="1"/>
  <c r="Z724" i="3"/>
  <c r="AC724" i="3"/>
  <c r="W723" i="3"/>
  <c r="T724" i="3" l="1"/>
  <c r="AH724" i="3" s="1"/>
  <c r="U723" i="3"/>
  <c r="Y722" i="3"/>
  <c r="D724" i="3" l="1"/>
  <c r="G724" i="3" s="1"/>
  <c r="AG724" i="3"/>
  <c r="E724" i="3"/>
  <c r="H724" i="3" s="1"/>
  <c r="K724" i="3" s="1"/>
  <c r="AE724" i="3" s="1"/>
  <c r="F724" i="3" l="1"/>
  <c r="V724" i="3"/>
  <c r="A725" i="3"/>
  <c r="B725" i="3" s="1"/>
  <c r="I724" i="3"/>
  <c r="J724" i="3"/>
  <c r="AD724" i="3" s="1"/>
  <c r="M724" i="3"/>
  <c r="N724" i="3" s="1"/>
  <c r="AA725" i="3" l="1"/>
  <c r="AD725" i="3"/>
  <c r="AC725" i="3"/>
  <c r="P725" i="3"/>
  <c r="Q725" i="3" s="1"/>
  <c r="R725" i="3" s="1"/>
  <c r="S725" i="3" s="1"/>
  <c r="Z725" i="3"/>
  <c r="L724" i="3"/>
  <c r="W724" i="3"/>
  <c r="T725" i="3" l="1"/>
  <c r="AG725" i="3" s="1"/>
  <c r="U724" i="3"/>
  <c r="Y723" i="3"/>
  <c r="AH725" i="3" l="1"/>
  <c r="D725" i="3"/>
  <c r="G725" i="3" s="1"/>
  <c r="E725" i="3"/>
  <c r="H725" i="3" s="1"/>
  <c r="K725" i="3" s="1"/>
  <c r="AE725" i="3" s="1"/>
  <c r="F725" i="3" l="1"/>
  <c r="V725" i="3"/>
  <c r="A726" i="3"/>
  <c r="B726" i="3" s="1"/>
  <c r="I725" i="3"/>
  <c r="J725" i="3"/>
  <c r="M725" i="3"/>
  <c r="N725" i="3" s="1"/>
  <c r="L725" i="3" l="1"/>
  <c r="P726" i="3"/>
  <c r="Q726" i="3" s="1"/>
  <c r="R726" i="3" s="1"/>
  <c r="S726" i="3" s="1"/>
  <c r="AD726" i="3"/>
  <c r="AC726" i="3"/>
  <c r="AA726" i="3"/>
  <c r="Z726" i="3"/>
  <c r="W725" i="3"/>
  <c r="T726" i="3" l="1"/>
  <c r="AH726" i="3" s="1"/>
  <c r="U725" i="3"/>
  <c r="Y724" i="3"/>
  <c r="D726" i="3" l="1"/>
  <c r="G726" i="3" s="1"/>
  <c r="AG726" i="3"/>
  <c r="E726" i="3"/>
  <c r="H726" i="3" s="1"/>
  <c r="K726" i="3" s="1"/>
  <c r="AE726" i="3" s="1"/>
  <c r="F726" i="3" l="1"/>
  <c r="V726" i="3"/>
  <c r="A727" i="3"/>
  <c r="B727" i="3" s="1"/>
  <c r="I726" i="3"/>
  <c r="J726" i="3"/>
  <c r="M726" i="3"/>
  <c r="N726" i="3" s="1"/>
  <c r="L726" i="3" l="1"/>
  <c r="Z727" i="3"/>
  <c r="AA727" i="3"/>
  <c r="AC727" i="3"/>
  <c r="AD727" i="3"/>
  <c r="P727" i="3"/>
  <c r="Q727" i="3" s="1"/>
  <c r="R727" i="3" s="1"/>
  <c r="S727" i="3" s="1"/>
  <c r="W726" i="3"/>
  <c r="U726" i="3" l="1"/>
  <c r="Y725" i="3"/>
  <c r="T727" i="3"/>
  <c r="E727" i="3" l="1"/>
  <c r="H727" i="3" s="1"/>
  <c r="K727" i="3" s="1"/>
  <c r="AE727" i="3" s="1"/>
  <c r="AH727" i="3"/>
  <c r="AG727" i="3"/>
  <c r="D727" i="3"/>
  <c r="F727" i="3" l="1"/>
  <c r="G727" i="3"/>
  <c r="J727" i="3" s="1"/>
  <c r="V727" i="3"/>
  <c r="A728" i="3"/>
  <c r="B728" i="3" s="1"/>
  <c r="I727" i="3" l="1"/>
  <c r="W727" i="3" s="1"/>
  <c r="M727" i="3"/>
  <c r="N727" i="3" s="1"/>
  <c r="L727" i="3"/>
  <c r="AA728" i="3"/>
  <c r="AC728" i="3"/>
  <c r="Z728" i="3"/>
  <c r="AD728" i="3"/>
  <c r="P728" i="3"/>
  <c r="Q728" i="3" s="1"/>
  <c r="R728" i="3" s="1"/>
  <c r="S728" i="3" s="1"/>
  <c r="T728" i="3" l="1"/>
  <c r="U727" i="3"/>
  <c r="Y726" i="3"/>
  <c r="D728" i="3" l="1"/>
  <c r="G728" i="3" s="1"/>
  <c r="AG728" i="3"/>
  <c r="AH728" i="3"/>
  <c r="E728" i="3"/>
  <c r="H728" i="3" s="1"/>
  <c r="K728" i="3" s="1"/>
  <c r="AE728" i="3" s="1"/>
  <c r="F728" i="3" l="1"/>
  <c r="V728" i="3"/>
  <c r="A729" i="3"/>
  <c r="B729" i="3" s="1"/>
  <c r="I728" i="3"/>
  <c r="J728" i="3"/>
  <c r="M728" i="3"/>
  <c r="N728" i="3" s="1"/>
  <c r="AA729" i="3" l="1"/>
  <c r="P729" i="3"/>
  <c r="Q729" i="3" s="1"/>
  <c r="R729" i="3" s="1"/>
  <c r="S729" i="3" s="1"/>
  <c r="Z729" i="3"/>
  <c r="AD729" i="3"/>
  <c r="AC729" i="3"/>
  <c r="L728" i="3"/>
  <c r="W728" i="3"/>
  <c r="T729" i="3" l="1"/>
  <c r="AG729" i="3" s="1"/>
  <c r="U728" i="3"/>
  <c r="Y727" i="3"/>
  <c r="AH729" i="3" l="1"/>
  <c r="D729" i="3"/>
  <c r="G729" i="3" s="1"/>
  <c r="E729" i="3"/>
  <c r="H729" i="3" s="1"/>
  <c r="K729" i="3" s="1"/>
  <c r="AE729" i="3" s="1"/>
  <c r="F729" i="3" l="1"/>
  <c r="V729" i="3"/>
  <c r="A730" i="3"/>
  <c r="B730" i="3" s="1"/>
  <c r="I729" i="3"/>
  <c r="J729" i="3"/>
  <c r="M729" i="3"/>
  <c r="N729" i="3" s="1"/>
  <c r="L729" i="3" l="1"/>
  <c r="Z730" i="3"/>
  <c r="AD730" i="3"/>
  <c r="P730" i="3"/>
  <c r="Q730" i="3" s="1"/>
  <c r="R730" i="3" s="1"/>
  <c r="S730" i="3" s="1"/>
  <c r="AA730" i="3"/>
  <c r="AC730" i="3"/>
  <c r="W729" i="3"/>
  <c r="T730" i="3" l="1"/>
  <c r="AH730" i="3" s="1"/>
  <c r="U729" i="3"/>
  <c r="Y728" i="3"/>
  <c r="D730" i="3" l="1"/>
  <c r="G730" i="3" s="1"/>
  <c r="AG730" i="3"/>
  <c r="E730" i="3"/>
  <c r="H730" i="3" s="1"/>
  <c r="K730" i="3" s="1"/>
  <c r="AE730" i="3" s="1"/>
  <c r="F730" i="3" l="1"/>
  <c r="V730" i="3"/>
  <c r="A731" i="3"/>
  <c r="B731" i="3" s="1"/>
  <c r="I730" i="3"/>
  <c r="J730" i="3"/>
  <c r="M730" i="3"/>
  <c r="N730" i="3" s="1"/>
  <c r="P731" i="3" l="1"/>
  <c r="Q731" i="3" s="1"/>
  <c r="R731" i="3" s="1"/>
  <c r="S731" i="3" s="1"/>
  <c r="AC731" i="3"/>
  <c r="AD731" i="3"/>
  <c r="AA731" i="3"/>
  <c r="Z731" i="3"/>
  <c r="L730" i="3"/>
  <c r="W730" i="3"/>
  <c r="U730" i="3" l="1"/>
  <c r="Y729" i="3"/>
  <c r="T731" i="3"/>
  <c r="D731" i="3" l="1"/>
  <c r="G731" i="3" s="1"/>
  <c r="AH731" i="3"/>
  <c r="E731" i="3"/>
  <c r="H731" i="3" s="1"/>
  <c r="AG731" i="3"/>
  <c r="K731" i="3" l="1"/>
  <c r="AE731" i="3" s="1"/>
  <c r="I731" i="3"/>
  <c r="J731" i="3"/>
  <c r="M731" i="3"/>
  <c r="N731" i="3" s="1"/>
  <c r="F731" i="3"/>
  <c r="L731" i="3" l="1"/>
  <c r="V731" i="3"/>
  <c r="W731" i="3" s="1"/>
  <c r="A732" i="3"/>
  <c r="B732" i="3" s="1"/>
  <c r="AC732" i="3" l="1"/>
  <c r="AA732" i="3"/>
  <c r="P732" i="3"/>
  <c r="Q732" i="3" s="1"/>
  <c r="R732" i="3" s="1"/>
  <c r="S732" i="3" s="1"/>
  <c r="AD732" i="3"/>
  <c r="Z732" i="3"/>
  <c r="U731" i="3"/>
  <c r="Y730" i="3"/>
  <c r="T732" i="3" l="1"/>
  <c r="AH732" i="3" s="1"/>
  <c r="E732" i="3" l="1"/>
  <c r="H732" i="3" s="1"/>
  <c r="K732" i="3" s="1"/>
  <c r="AE732" i="3" s="1"/>
  <c r="D732" i="3"/>
  <c r="AG732" i="3"/>
  <c r="F732" i="3" l="1"/>
  <c r="G732" i="3"/>
  <c r="I732" i="3" s="1"/>
  <c r="V732" i="3"/>
  <c r="A733" i="3"/>
  <c r="B733" i="3" s="1"/>
  <c r="J732" i="3" l="1"/>
  <c r="L732" i="3" s="1"/>
  <c r="M732" i="3"/>
  <c r="N732" i="3" s="1"/>
  <c r="W732" i="3"/>
  <c r="P733" i="3"/>
  <c r="Q733" i="3" s="1"/>
  <c r="R733" i="3" s="1"/>
  <c r="S733" i="3" s="1"/>
  <c r="AC733" i="3"/>
  <c r="AD733" i="3"/>
  <c r="AA733" i="3"/>
  <c r="Z733" i="3"/>
  <c r="T733" i="3" l="1"/>
  <c r="AH733" i="3" s="1"/>
  <c r="U732" i="3"/>
  <c r="Y731" i="3"/>
  <c r="E733" i="3" l="1"/>
  <c r="H733" i="3" s="1"/>
  <c r="K733" i="3" s="1"/>
  <c r="AE733" i="3" s="1"/>
  <c r="AG733" i="3"/>
  <c r="D733" i="3"/>
  <c r="F733" i="3" l="1"/>
  <c r="G733" i="3"/>
  <c r="M733" i="3" s="1"/>
  <c r="N733" i="3" s="1"/>
  <c r="V733" i="3"/>
  <c r="A734" i="3"/>
  <c r="B734" i="3" s="1"/>
  <c r="J733" i="3" l="1"/>
  <c r="L733" i="3" s="1"/>
  <c r="I733" i="3"/>
  <c r="W733" i="3" s="1"/>
  <c r="AC734" i="3"/>
  <c r="Z734" i="3"/>
  <c r="P734" i="3"/>
  <c r="Q734" i="3" s="1"/>
  <c r="R734" i="3" s="1"/>
  <c r="S734" i="3" s="1"/>
  <c r="AA734" i="3"/>
  <c r="T734" i="3" l="1"/>
  <c r="AH734" i="3" s="1"/>
  <c r="U733" i="3"/>
  <c r="Y732" i="3"/>
  <c r="E734" i="3" l="1"/>
  <c r="H734" i="3" s="1"/>
  <c r="K734" i="3" s="1"/>
  <c r="AE734" i="3" s="1"/>
  <c r="AG734" i="3"/>
  <c r="D734" i="3"/>
  <c r="G734" i="3" s="1"/>
  <c r="F734" i="3" l="1"/>
  <c r="I734" i="3"/>
  <c r="J734" i="3"/>
  <c r="AD734" i="3" s="1"/>
  <c r="M734" i="3"/>
  <c r="N734" i="3" s="1"/>
  <c r="V734" i="3"/>
  <c r="A735" i="3"/>
  <c r="B735" i="3" s="1"/>
  <c r="W734" i="3" l="1"/>
  <c r="AA735" i="3"/>
  <c r="Z735" i="3"/>
  <c r="AD735" i="3"/>
  <c r="AC735" i="3"/>
  <c r="P735" i="3"/>
  <c r="Q735" i="3" s="1"/>
  <c r="R735" i="3" s="1"/>
  <c r="S735" i="3" s="1"/>
  <c r="L734" i="3"/>
  <c r="T735" i="3" l="1"/>
  <c r="AH735" i="3" s="1"/>
  <c r="U734" i="3"/>
  <c r="Y733" i="3"/>
  <c r="E735" i="3" l="1"/>
  <c r="H735" i="3" s="1"/>
  <c r="K735" i="3" s="1"/>
  <c r="AE735" i="3" s="1"/>
  <c r="AG735" i="3"/>
  <c r="D735" i="3"/>
  <c r="F735" i="3" l="1"/>
  <c r="G735" i="3"/>
  <c r="I735" i="3" s="1"/>
  <c r="V735" i="3"/>
  <c r="A736" i="3"/>
  <c r="B736" i="3" s="1"/>
  <c r="M735" i="3" l="1"/>
  <c r="N735" i="3" s="1"/>
  <c r="J735" i="3"/>
  <c r="L735" i="3" s="1"/>
  <c r="W735" i="3"/>
  <c r="Z736" i="3"/>
  <c r="P736" i="3"/>
  <c r="Q736" i="3" s="1"/>
  <c r="R736" i="3" s="1"/>
  <c r="S736" i="3" s="1"/>
  <c r="AC736" i="3"/>
  <c r="AA736" i="3"/>
  <c r="AD736" i="3"/>
  <c r="T736" i="3" l="1"/>
  <c r="AH736" i="3" s="1"/>
  <c r="U735" i="3"/>
  <c r="Y734" i="3"/>
  <c r="AG736" i="3" l="1"/>
  <c r="E736" i="3"/>
  <c r="H736" i="3" s="1"/>
  <c r="K736" i="3" s="1"/>
  <c r="AE736" i="3" s="1"/>
  <c r="D736" i="3"/>
  <c r="F736" i="3" l="1"/>
  <c r="G736" i="3"/>
  <c r="I736" i="3" s="1"/>
  <c r="V736" i="3"/>
  <c r="A737" i="3"/>
  <c r="B737" i="3" s="1"/>
  <c r="M736" i="3" l="1"/>
  <c r="N736" i="3" s="1"/>
  <c r="J736" i="3"/>
  <c r="L736" i="3" s="1"/>
  <c r="AA737" i="3"/>
  <c r="AC737" i="3"/>
  <c r="P737" i="3"/>
  <c r="Q737" i="3" s="1"/>
  <c r="R737" i="3" s="1"/>
  <c r="S737" i="3" s="1"/>
  <c r="AD737" i="3"/>
  <c r="Z737" i="3"/>
  <c r="W736" i="3"/>
  <c r="T737" i="3" l="1"/>
  <c r="AG737" i="3" s="1"/>
  <c r="U736" i="3"/>
  <c r="Y735" i="3"/>
  <c r="D737" i="3" l="1"/>
  <c r="G737" i="3" s="1"/>
  <c r="E737" i="3"/>
  <c r="H737" i="3" s="1"/>
  <c r="K737" i="3" s="1"/>
  <c r="AE737" i="3" s="1"/>
  <c r="AH737" i="3"/>
  <c r="F737" i="3" l="1"/>
  <c r="V737" i="3"/>
  <c r="A738" i="3"/>
  <c r="B738" i="3" s="1"/>
  <c r="I737" i="3"/>
  <c r="J737" i="3"/>
  <c r="M737" i="3"/>
  <c r="N737" i="3" s="1"/>
  <c r="L737" i="3" l="1"/>
  <c r="Z738" i="3"/>
  <c r="AD738" i="3"/>
  <c r="AA738" i="3"/>
  <c r="AC738" i="3"/>
  <c r="P738" i="3"/>
  <c r="Q738" i="3" s="1"/>
  <c r="R738" i="3" s="1"/>
  <c r="S738" i="3" s="1"/>
  <c r="W737" i="3"/>
  <c r="T738" i="3" l="1"/>
  <c r="AG738" i="3" s="1"/>
  <c r="U737" i="3"/>
  <c r="Y736" i="3"/>
  <c r="D738" i="3" l="1"/>
  <c r="G738" i="3" s="1"/>
  <c r="E738" i="3"/>
  <c r="H738" i="3" s="1"/>
  <c r="K738" i="3" s="1"/>
  <c r="AE738" i="3" s="1"/>
  <c r="AH738" i="3"/>
  <c r="F738" i="3" l="1"/>
  <c r="V738" i="3"/>
  <c r="A739" i="3"/>
  <c r="B739" i="3" s="1"/>
  <c r="I738" i="3"/>
  <c r="J738" i="3"/>
  <c r="M738" i="3"/>
  <c r="N738" i="3" s="1"/>
  <c r="L738" i="3" l="1"/>
  <c r="P739" i="3"/>
  <c r="Q739" i="3" s="1"/>
  <c r="R739" i="3" s="1"/>
  <c r="S739" i="3" s="1"/>
  <c r="AC739" i="3"/>
  <c r="AA739" i="3"/>
  <c r="AD739" i="3"/>
  <c r="Z739" i="3"/>
  <c r="W738" i="3"/>
  <c r="T739" i="3" l="1"/>
  <c r="AH739" i="3" s="1"/>
  <c r="U738" i="3"/>
  <c r="Y737" i="3"/>
  <c r="AG739" i="3" l="1"/>
  <c r="E739" i="3"/>
  <c r="H739" i="3" s="1"/>
  <c r="K739" i="3" s="1"/>
  <c r="AE739" i="3" s="1"/>
  <c r="D739" i="3"/>
  <c r="F739" i="3" l="1"/>
  <c r="G739" i="3"/>
  <c r="I739" i="3" s="1"/>
  <c r="V739" i="3"/>
  <c r="A740" i="3"/>
  <c r="B740" i="3" s="1"/>
  <c r="M739" i="3" l="1"/>
  <c r="N739" i="3" s="1"/>
  <c r="J739" i="3"/>
  <c r="L739" i="3" s="1"/>
  <c r="AC740" i="3"/>
  <c r="Z740" i="3"/>
  <c r="AD740" i="3"/>
  <c r="AA740" i="3"/>
  <c r="P740" i="3"/>
  <c r="Q740" i="3" s="1"/>
  <c r="R740" i="3" s="1"/>
  <c r="S740" i="3" s="1"/>
  <c r="W739" i="3"/>
  <c r="T740" i="3" l="1"/>
  <c r="AG740" i="3" s="1"/>
  <c r="U739" i="3"/>
  <c r="Y738" i="3"/>
  <c r="D740" i="3" l="1"/>
  <c r="G740" i="3" s="1"/>
  <c r="AH740" i="3"/>
  <c r="E740" i="3"/>
  <c r="H740" i="3" s="1"/>
  <c r="K740" i="3" l="1"/>
  <c r="AE740" i="3" s="1"/>
  <c r="I740" i="3"/>
  <c r="J740" i="3"/>
  <c r="M740" i="3"/>
  <c r="N740" i="3" s="1"/>
  <c r="F740" i="3"/>
  <c r="L740" i="3" l="1"/>
  <c r="V740" i="3"/>
  <c r="W740" i="3" s="1"/>
  <c r="A741" i="3"/>
  <c r="B741" i="3" s="1"/>
  <c r="Z741" i="3" l="1"/>
  <c r="P741" i="3"/>
  <c r="Q741" i="3" s="1"/>
  <c r="R741" i="3" s="1"/>
  <c r="S741" i="3" s="1"/>
  <c r="AA741" i="3"/>
  <c r="AC741" i="3"/>
  <c r="AD741" i="3"/>
  <c r="U740" i="3"/>
  <c r="Y739" i="3"/>
  <c r="T741" i="3" l="1"/>
  <c r="AG741" i="3" s="1"/>
  <c r="E741" i="3" l="1"/>
  <c r="H741" i="3" s="1"/>
  <c r="K741" i="3" s="1"/>
  <c r="AE741" i="3" s="1"/>
  <c r="AH741" i="3"/>
  <c r="D741" i="3"/>
  <c r="G741" i="3" s="1"/>
  <c r="F741" i="3" l="1"/>
  <c r="I741" i="3"/>
  <c r="J741" i="3"/>
  <c r="M741" i="3"/>
  <c r="N741" i="3" s="1"/>
  <c r="V741" i="3"/>
  <c r="A742" i="3"/>
  <c r="B742" i="3" s="1"/>
  <c r="W741" i="3" l="1"/>
  <c r="L741" i="3"/>
  <c r="AC742" i="3"/>
  <c r="P742" i="3"/>
  <c r="Q742" i="3" s="1"/>
  <c r="R742" i="3" s="1"/>
  <c r="S742" i="3" s="1"/>
  <c r="AA742" i="3"/>
  <c r="AD742" i="3"/>
  <c r="Z742" i="3"/>
  <c r="T742" i="3" l="1"/>
  <c r="AG742" i="3" s="1"/>
  <c r="U741" i="3"/>
  <c r="Y740" i="3"/>
  <c r="E742" i="3" l="1"/>
  <c r="H742" i="3" s="1"/>
  <c r="K742" i="3" s="1"/>
  <c r="AE742" i="3" s="1"/>
  <c r="AH742" i="3"/>
  <c r="D742" i="3"/>
  <c r="F742" i="3" l="1"/>
  <c r="G742" i="3"/>
  <c r="I742" i="3" s="1"/>
  <c r="V742" i="3"/>
  <c r="A743" i="3"/>
  <c r="B743" i="3" s="1"/>
  <c r="M742" i="3" l="1"/>
  <c r="N742" i="3" s="1"/>
  <c r="J742" i="3"/>
  <c r="L742" i="3" s="1"/>
  <c r="P743" i="3"/>
  <c r="Q743" i="3" s="1"/>
  <c r="R743" i="3" s="1"/>
  <c r="S743" i="3" s="1"/>
  <c r="AC743" i="3"/>
  <c r="AD743" i="3"/>
  <c r="Z743" i="3"/>
  <c r="AA743" i="3"/>
  <c r="W742" i="3"/>
  <c r="T743" i="3" l="1"/>
  <c r="AG743" i="3" s="1"/>
  <c r="U742" i="3"/>
  <c r="Y741" i="3"/>
  <c r="AH743" i="3" l="1"/>
  <c r="E743" i="3"/>
  <c r="H743" i="3" s="1"/>
  <c r="K743" i="3" s="1"/>
  <c r="AE743" i="3" s="1"/>
  <c r="D743" i="3"/>
  <c r="F743" i="3" l="1"/>
  <c r="G743" i="3"/>
  <c r="I743" i="3" s="1"/>
  <c r="V743" i="3"/>
  <c r="A744" i="3"/>
  <c r="B744" i="3" s="1"/>
  <c r="M743" i="3" l="1"/>
  <c r="N743" i="3" s="1"/>
  <c r="J743" i="3"/>
  <c r="L743" i="3" s="1"/>
  <c r="W743" i="3"/>
  <c r="AA744" i="3"/>
  <c r="Z744" i="3"/>
  <c r="AC744" i="3"/>
  <c r="P744" i="3"/>
  <c r="Q744" i="3" s="1"/>
  <c r="R744" i="3" s="1"/>
  <c r="S744" i="3" s="1"/>
  <c r="T744" i="3" l="1"/>
  <c r="AG744" i="3" s="1"/>
  <c r="U743" i="3"/>
  <c r="Y742" i="3"/>
  <c r="AH744" i="3" l="1"/>
  <c r="E744" i="3"/>
  <c r="H744" i="3" s="1"/>
  <c r="K744" i="3" s="1"/>
  <c r="AE744" i="3" s="1"/>
  <c r="D744" i="3"/>
  <c r="F744" i="3" l="1"/>
  <c r="G744" i="3"/>
  <c r="I744" i="3" s="1"/>
  <c r="V744" i="3"/>
  <c r="A745" i="3"/>
  <c r="B745" i="3" s="1"/>
  <c r="J744" i="3" l="1"/>
  <c r="AD744" i="3" s="1"/>
  <c r="M744" i="3"/>
  <c r="N744" i="3" s="1"/>
  <c r="W744" i="3"/>
  <c r="AA745" i="3"/>
  <c r="AC745" i="3"/>
  <c r="AD745" i="3"/>
  <c r="Z745" i="3"/>
  <c r="P745" i="3"/>
  <c r="Q745" i="3" s="1"/>
  <c r="R745" i="3" s="1"/>
  <c r="S745" i="3" s="1"/>
  <c r="L744" i="3" l="1"/>
  <c r="U744" i="3" s="1"/>
  <c r="T745" i="3"/>
  <c r="Y743" i="3" l="1"/>
  <c r="AH745" i="3"/>
  <c r="AG745" i="3"/>
  <c r="E745" i="3"/>
  <c r="H745" i="3" s="1"/>
  <c r="K745" i="3" s="1"/>
  <c r="AE745" i="3" s="1"/>
  <c r="D745" i="3"/>
  <c r="F745" i="3" l="1"/>
  <c r="G745" i="3"/>
  <c r="V745" i="3"/>
  <c r="A746" i="3"/>
  <c r="B746" i="3" s="1"/>
  <c r="P746" i="3" l="1"/>
  <c r="Q746" i="3" s="1"/>
  <c r="R746" i="3" s="1"/>
  <c r="S746" i="3" s="1"/>
  <c r="AC746" i="3"/>
  <c r="AA746" i="3"/>
  <c r="Z746" i="3"/>
  <c r="AD746" i="3"/>
  <c r="I745" i="3"/>
  <c r="W745" i="3" s="1"/>
  <c r="J745" i="3"/>
  <c r="M745" i="3"/>
  <c r="N745" i="3" s="1"/>
  <c r="L745" i="3" l="1"/>
  <c r="T746" i="3"/>
  <c r="AG746" i="3" l="1"/>
  <c r="U745" i="3"/>
  <c r="D746" i="3" s="1"/>
  <c r="AH746" i="3"/>
  <c r="Y744" i="3"/>
  <c r="G746" i="3" l="1"/>
  <c r="E746" i="3"/>
  <c r="H746" i="3" s="1"/>
  <c r="K746" i="3" l="1"/>
  <c r="AE746" i="3" s="1"/>
  <c r="I746" i="3"/>
  <c r="J746" i="3"/>
  <c r="M746" i="3"/>
  <c r="N746" i="3" s="1"/>
  <c r="F746" i="3"/>
  <c r="V746" i="3" l="1"/>
  <c r="W746" i="3" s="1"/>
  <c r="A747" i="3"/>
  <c r="B747" i="3" s="1"/>
  <c r="L746" i="3"/>
  <c r="U746" i="3" l="1"/>
  <c r="Y745" i="3"/>
  <c r="AC747" i="3"/>
  <c r="P747" i="3"/>
  <c r="Q747" i="3" s="1"/>
  <c r="R747" i="3" s="1"/>
  <c r="S747" i="3" s="1"/>
  <c r="AA747" i="3"/>
  <c r="AD747" i="3"/>
  <c r="Z747" i="3"/>
  <c r="T747" i="3" l="1"/>
  <c r="D747" i="3" s="1"/>
  <c r="E747" i="3" l="1"/>
  <c r="H747" i="3" s="1"/>
  <c r="K747" i="3" s="1"/>
  <c r="AE747" i="3" s="1"/>
  <c r="AG747" i="3"/>
  <c r="AH747" i="3"/>
  <c r="G747" i="3"/>
  <c r="F747" i="3" l="1"/>
  <c r="V747" i="3"/>
  <c r="A748" i="3"/>
  <c r="B748" i="3" s="1"/>
  <c r="I747" i="3"/>
  <c r="J747" i="3"/>
  <c r="M747" i="3"/>
  <c r="N747" i="3" s="1"/>
  <c r="AC748" i="3" l="1"/>
  <c r="P748" i="3"/>
  <c r="Q748" i="3" s="1"/>
  <c r="R748" i="3" s="1"/>
  <c r="S748" i="3" s="1"/>
  <c r="AA748" i="3"/>
  <c r="AD748" i="3"/>
  <c r="Z748" i="3"/>
  <c r="L747" i="3"/>
  <c r="W747" i="3"/>
  <c r="T748" i="3" l="1"/>
  <c r="AH748" i="3" s="1"/>
  <c r="U747" i="3"/>
  <c r="Y746" i="3"/>
  <c r="E748" i="3" l="1"/>
  <c r="H748" i="3" s="1"/>
  <c r="K748" i="3" s="1"/>
  <c r="AE748" i="3" s="1"/>
  <c r="AG748" i="3"/>
  <c r="D748" i="3"/>
  <c r="F748" i="3" l="1"/>
  <c r="G748" i="3"/>
  <c r="I748" i="3" s="1"/>
  <c r="V748" i="3"/>
  <c r="A749" i="3"/>
  <c r="B749" i="3" s="1"/>
  <c r="M748" i="3" l="1"/>
  <c r="N748" i="3" s="1"/>
  <c r="J748" i="3"/>
  <c r="L748" i="3" s="1"/>
  <c r="AC749" i="3"/>
  <c r="AD749" i="3"/>
  <c r="AA749" i="3"/>
  <c r="Z749" i="3"/>
  <c r="P749" i="3"/>
  <c r="Q749" i="3" s="1"/>
  <c r="R749" i="3" s="1"/>
  <c r="S749" i="3" s="1"/>
  <c r="W748" i="3"/>
  <c r="T749" i="3" l="1"/>
  <c r="AH749" i="3" s="1"/>
  <c r="U748" i="3"/>
  <c r="Y747" i="3"/>
  <c r="D749" i="3" l="1"/>
  <c r="G749" i="3" s="1"/>
  <c r="AG749" i="3"/>
  <c r="E749" i="3"/>
  <c r="H749" i="3" s="1"/>
  <c r="K749" i="3" s="1"/>
  <c r="AE749" i="3" s="1"/>
  <c r="F749" i="3" l="1"/>
  <c r="V749" i="3"/>
  <c r="A750" i="3"/>
  <c r="B750" i="3" s="1"/>
  <c r="I749" i="3"/>
  <c r="J749" i="3"/>
  <c r="M749" i="3"/>
  <c r="N749" i="3" s="1"/>
  <c r="Z750" i="3" l="1"/>
  <c r="AD750" i="3"/>
  <c r="AC750" i="3"/>
  <c r="AA750" i="3"/>
  <c r="P750" i="3"/>
  <c r="Q750" i="3" s="1"/>
  <c r="R750" i="3" s="1"/>
  <c r="S750" i="3" s="1"/>
  <c r="L749" i="3"/>
  <c r="W749" i="3"/>
  <c r="T750" i="3" l="1"/>
  <c r="AH750" i="3" s="1"/>
  <c r="U749" i="3"/>
  <c r="Y748" i="3"/>
  <c r="E750" i="3" l="1"/>
  <c r="H750" i="3" s="1"/>
  <c r="K750" i="3" s="1"/>
  <c r="AE750" i="3" s="1"/>
  <c r="AG750" i="3"/>
  <c r="D750" i="3"/>
  <c r="G750" i="3" s="1"/>
  <c r="F750" i="3" l="1"/>
  <c r="V750" i="3"/>
  <c r="A751" i="3"/>
  <c r="B751" i="3" s="1"/>
  <c r="I750" i="3"/>
  <c r="J750" i="3"/>
  <c r="M750" i="3"/>
  <c r="N750" i="3" s="1"/>
  <c r="Z751" i="3" l="1"/>
  <c r="AA751" i="3"/>
  <c r="AC751" i="3"/>
  <c r="AD751" i="3"/>
  <c r="P751" i="3"/>
  <c r="Q751" i="3" s="1"/>
  <c r="R751" i="3" s="1"/>
  <c r="S751" i="3" s="1"/>
  <c r="L750" i="3"/>
  <c r="W750" i="3"/>
  <c r="T751" i="3" l="1"/>
  <c r="AG751" i="3" s="1"/>
  <c r="U750" i="3"/>
  <c r="Y749" i="3"/>
  <c r="D751" i="3" l="1"/>
  <c r="G751" i="3" s="1"/>
  <c r="AH751" i="3"/>
  <c r="E751" i="3"/>
  <c r="H751" i="3" s="1"/>
  <c r="K751" i="3" s="1"/>
  <c r="AE751" i="3" s="1"/>
  <c r="F751" i="3" l="1"/>
  <c r="V751" i="3"/>
  <c r="A752" i="3"/>
  <c r="B752" i="3" s="1"/>
  <c r="I751" i="3"/>
  <c r="J751" i="3"/>
  <c r="M751" i="3"/>
  <c r="N751" i="3" s="1"/>
  <c r="L751" i="3" l="1"/>
  <c r="W751" i="3"/>
  <c r="AC752" i="3"/>
  <c r="AA752" i="3"/>
  <c r="AD752" i="3"/>
  <c r="Z752" i="3"/>
  <c r="P752" i="3"/>
  <c r="Q752" i="3" s="1"/>
  <c r="R752" i="3" s="1"/>
  <c r="S752" i="3" s="1"/>
  <c r="U751" i="3" l="1"/>
  <c r="Y750" i="3"/>
  <c r="T752" i="3"/>
  <c r="AG752" i="3" s="1"/>
  <c r="E752" i="3" l="1"/>
  <c r="H752" i="3" s="1"/>
  <c r="AH752" i="3"/>
  <c r="D752" i="3"/>
  <c r="F752" i="3" l="1"/>
  <c r="G752" i="3"/>
  <c r="K752" i="3"/>
  <c r="AE752" i="3" s="1"/>
  <c r="V752" i="3" l="1"/>
  <c r="A753" i="3"/>
  <c r="B753" i="3" s="1"/>
  <c r="I752" i="3"/>
  <c r="J752" i="3"/>
  <c r="M752" i="3"/>
  <c r="N752" i="3" s="1"/>
  <c r="W752" i="3" l="1"/>
  <c r="P753" i="3"/>
  <c r="Q753" i="3" s="1"/>
  <c r="R753" i="3" s="1"/>
  <c r="S753" i="3" s="1"/>
  <c r="AA753" i="3"/>
  <c r="Z753" i="3"/>
  <c r="AD753" i="3"/>
  <c r="AC753" i="3"/>
  <c r="L752" i="3"/>
  <c r="U752" i="3" l="1"/>
  <c r="Y751" i="3"/>
  <c r="T753" i="3"/>
  <c r="AG753" i="3" s="1"/>
  <c r="D753" i="3" l="1"/>
  <c r="G753" i="3" s="1"/>
  <c r="AH753" i="3"/>
  <c r="E753" i="3"/>
  <c r="H753" i="3" s="1"/>
  <c r="K753" i="3" s="1"/>
  <c r="AE753" i="3" s="1"/>
  <c r="F753" i="3" l="1"/>
  <c r="V753" i="3"/>
  <c r="A754" i="3"/>
  <c r="B754" i="3" s="1"/>
  <c r="I753" i="3"/>
  <c r="J753" i="3"/>
  <c r="M753" i="3"/>
  <c r="N753" i="3" s="1"/>
  <c r="AA754" i="3" l="1"/>
  <c r="AC754" i="3"/>
  <c r="P754" i="3"/>
  <c r="Q754" i="3" s="1"/>
  <c r="R754" i="3" s="1"/>
  <c r="S754" i="3" s="1"/>
  <c r="Z754" i="3"/>
  <c r="L753" i="3"/>
  <c r="W753" i="3"/>
  <c r="T754" i="3" l="1"/>
  <c r="AH754" i="3" s="1"/>
  <c r="U753" i="3"/>
  <c r="Y752" i="3"/>
  <c r="D754" i="3" l="1"/>
  <c r="G754" i="3" s="1"/>
  <c r="E754" i="3"/>
  <c r="H754" i="3" s="1"/>
  <c r="K754" i="3" s="1"/>
  <c r="AE754" i="3" s="1"/>
  <c r="AG754" i="3"/>
  <c r="F754" i="3" l="1"/>
  <c r="I754" i="3"/>
  <c r="J754" i="3"/>
  <c r="AD754" i="3" s="1"/>
  <c r="M754" i="3"/>
  <c r="N754" i="3" s="1"/>
  <c r="V754" i="3"/>
  <c r="A755" i="3"/>
  <c r="B755" i="3" s="1"/>
  <c r="W754" i="3" l="1"/>
  <c r="AA755" i="3"/>
  <c r="AD755" i="3"/>
  <c r="AC755" i="3"/>
  <c r="Z755" i="3"/>
  <c r="P755" i="3"/>
  <c r="Q755" i="3" s="1"/>
  <c r="R755" i="3" s="1"/>
  <c r="S755" i="3" s="1"/>
  <c r="L754" i="3"/>
  <c r="T755" i="3" l="1"/>
  <c r="AH755" i="3" s="1"/>
  <c r="U754" i="3"/>
  <c r="Y753" i="3"/>
  <c r="AG755" i="3" l="1"/>
  <c r="D755" i="3"/>
  <c r="G755" i="3" s="1"/>
  <c r="E755" i="3"/>
  <c r="H755" i="3" s="1"/>
  <c r="K755" i="3" l="1"/>
  <c r="AE755" i="3" s="1"/>
  <c r="I755" i="3"/>
  <c r="J755" i="3"/>
  <c r="M755" i="3"/>
  <c r="N755" i="3" s="1"/>
  <c r="F755" i="3"/>
  <c r="L755" i="3" l="1"/>
  <c r="V755" i="3"/>
  <c r="W755" i="3" s="1"/>
  <c r="A756" i="3"/>
  <c r="B756" i="3" s="1"/>
  <c r="Z756" i="3" l="1"/>
  <c r="AC756" i="3"/>
  <c r="AD756" i="3"/>
  <c r="AA756" i="3"/>
  <c r="P756" i="3"/>
  <c r="Q756" i="3" s="1"/>
  <c r="R756" i="3" s="1"/>
  <c r="S756" i="3" s="1"/>
  <c r="U755" i="3"/>
  <c r="Y754" i="3"/>
  <c r="T756" i="3" l="1"/>
  <c r="E756" i="3" s="1"/>
  <c r="H756" i="3" s="1"/>
  <c r="AG756" i="3" l="1"/>
  <c r="AH756" i="3"/>
  <c r="K756" i="3"/>
  <c r="AE756" i="3" s="1"/>
  <c r="D756" i="3"/>
  <c r="F756" i="3" l="1"/>
  <c r="G756" i="3"/>
  <c r="V756" i="3"/>
  <c r="A757" i="3"/>
  <c r="B757" i="3" s="1"/>
  <c r="AA757" i="3" l="1"/>
  <c r="Z757" i="3"/>
  <c r="P757" i="3"/>
  <c r="Q757" i="3" s="1"/>
  <c r="R757" i="3" s="1"/>
  <c r="S757" i="3" s="1"/>
  <c r="AD757" i="3"/>
  <c r="AC757" i="3"/>
  <c r="I756" i="3"/>
  <c r="W756" i="3" s="1"/>
  <c r="J756" i="3"/>
  <c r="M756" i="3"/>
  <c r="N756" i="3" s="1"/>
  <c r="L756" i="3" l="1"/>
  <c r="T757" i="3"/>
  <c r="AH757" i="3" l="1"/>
  <c r="AG757" i="3"/>
  <c r="U756" i="3"/>
  <c r="E757" i="3" s="1"/>
  <c r="H757" i="3" s="1"/>
  <c r="Y755" i="3"/>
  <c r="K757" i="3" l="1"/>
  <c r="AE757" i="3" s="1"/>
  <c r="D757" i="3"/>
  <c r="F757" i="3" l="1"/>
  <c r="G757" i="3"/>
  <c r="V757" i="3"/>
  <c r="A758" i="3"/>
  <c r="B758" i="3" s="1"/>
  <c r="AC758" i="3" l="1"/>
  <c r="AD758" i="3"/>
  <c r="P758" i="3"/>
  <c r="Q758" i="3" s="1"/>
  <c r="R758" i="3" s="1"/>
  <c r="S758" i="3" s="1"/>
  <c r="AA758" i="3"/>
  <c r="Z758" i="3"/>
  <c r="I757" i="3"/>
  <c r="W757" i="3" s="1"/>
  <c r="J757" i="3"/>
  <c r="M757" i="3"/>
  <c r="N757" i="3" s="1"/>
  <c r="L757" i="3" l="1"/>
  <c r="T758" i="3"/>
  <c r="AH758" i="3" l="1"/>
  <c r="AG758" i="3"/>
  <c r="U757" i="3"/>
  <c r="D758" i="3" s="1"/>
  <c r="Y756" i="3"/>
  <c r="G758" i="3" l="1"/>
  <c r="E758" i="3"/>
  <c r="H758" i="3" s="1"/>
  <c r="K758" i="3" l="1"/>
  <c r="AE758" i="3" s="1"/>
  <c r="I758" i="3"/>
  <c r="J758" i="3"/>
  <c r="M758" i="3"/>
  <c r="N758" i="3" s="1"/>
  <c r="F758" i="3"/>
  <c r="L758" i="3" l="1"/>
  <c r="V758" i="3"/>
  <c r="W758" i="3" s="1"/>
  <c r="A759" i="3"/>
  <c r="B759" i="3" s="1"/>
  <c r="AC759" i="3" l="1"/>
  <c r="AD759" i="3"/>
  <c r="AA759" i="3"/>
  <c r="P759" i="3"/>
  <c r="Q759" i="3" s="1"/>
  <c r="R759" i="3" s="1"/>
  <c r="S759" i="3" s="1"/>
  <c r="Z759" i="3"/>
  <c r="U758" i="3"/>
  <c r="Y757" i="3"/>
  <c r="T759" i="3" l="1"/>
  <c r="AG759" i="3" s="1"/>
  <c r="D759" i="3" l="1"/>
  <c r="G759" i="3" s="1"/>
  <c r="E759" i="3"/>
  <c r="H759" i="3" s="1"/>
  <c r="K759" i="3" s="1"/>
  <c r="AE759" i="3" s="1"/>
  <c r="AH759" i="3"/>
  <c r="F759" i="3" l="1"/>
  <c r="V759" i="3"/>
  <c r="A760" i="3"/>
  <c r="B760" i="3" s="1"/>
  <c r="I759" i="3"/>
  <c r="J759" i="3"/>
  <c r="M759" i="3"/>
  <c r="N759" i="3" s="1"/>
  <c r="AC760" i="3" l="1"/>
  <c r="Z760" i="3"/>
  <c r="P760" i="3"/>
  <c r="Q760" i="3" s="1"/>
  <c r="R760" i="3" s="1"/>
  <c r="S760" i="3" s="1"/>
  <c r="AA760" i="3"/>
  <c r="AD760" i="3"/>
  <c r="L759" i="3"/>
  <c r="W759" i="3"/>
  <c r="T760" i="3" l="1"/>
  <c r="AG760" i="3" s="1"/>
  <c r="U759" i="3"/>
  <c r="Y758" i="3"/>
  <c r="D760" i="3" l="1"/>
  <c r="G760" i="3" s="1"/>
  <c r="AH760" i="3"/>
  <c r="E760" i="3"/>
  <c r="H760" i="3" s="1"/>
  <c r="K760" i="3" s="1"/>
  <c r="AE760" i="3" s="1"/>
  <c r="F760" i="3" l="1"/>
  <c r="I760" i="3"/>
  <c r="J760" i="3"/>
  <c r="M760" i="3"/>
  <c r="N760" i="3" s="1"/>
  <c r="V760" i="3"/>
  <c r="A761" i="3"/>
  <c r="B761" i="3" s="1"/>
  <c r="W760" i="3" l="1"/>
  <c r="P761" i="3"/>
  <c r="Q761" i="3" s="1"/>
  <c r="R761" i="3" s="1"/>
  <c r="S761" i="3" s="1"/>
  <c r="Z761" i="3"/>
  <c r="AA761" i="3"/>
  <c r="AD761" i="3"/>
  <c r="AC761" i="3"/>
  <c r="L760" i="3"/>
  <c r="U760" i="3" l="1"/>
  <c r="Y759" i="3"/>
  <c r="T761" i="3"/>
  <c r="AH761" i="3" s="1"/>
  <c r="D761" i="3" l="1"/>
  <c r="G761" i="3" s="1"/>
  <c r="E761" i="3"/>
  <c r="H761" i="3" s="1"/>
  <c r="K761" i="3" s="1"/>
  <c r="AE761" i="3" s="1"/>
  <c r="AG761" i="3"/>
  <c r="F761" i="3" l="1"/>
  <c r="I761" i="3"/>
  <c r="J761" i="3"/>
  <c r="M761" i="3"/>
  <c r="N761" i="3" s="1"/>
  <c r="V761" i="3"/>
  <c r="A762" i="3"/>
  <c r="B762" i="3" s="1"/>
  <c r="W761" i="3" l="1"/>
  <c r="Z762" i="3"/>
  <c r="AA762" i="3"/>
  <c r="AD762" i="3"/>
  <c r="AC762" i="3"/>
  <c r="P762" i="3"/>
  <c r="Q762" i="3" s="1"/>
  <c r="R762" i="3" s="1"/>
  <c r="S762" i="3" s="1"/>
  <c r="L761" i="3"/>
  <c r="T762" i="3" l="1"/>
  <c r="AH762" i="3" s="1"/>
  <c r="U761" i="3"/>
  <c r="Y760" i="3"/>
  <c r="AG762" i="3" l="1"/>
  <c r="E762" i="3"/>
  <c r="H762" i="3" s="1"/>
  <c r="K762" i="3" s="1"/>
  <c r="AE762" i="3" s="1"/>
  <c r="D762" i="3"/>
  <c r="F762" i="3" l="1"/>
  <c r="G762" i="3"/>
  <c r="I762" i="3" s="1"/>
  <c r="V762" i="3"/>
  <c r="A763" i="3"/>
  <c r="B763" i="3" s="1"/>
  <c r="M762" i="3" l="1"/>
  <c r="N762" i="3" s="1"/>
  <c r="J762" i="3"/>
  <c r="L762" i="3" s="1"/>
  <c r="W762" i="3"/>
  <c r="AA763" i="3"/>
  <c r="AD763" i="3"/>
  <c r="AC763" i="3"/>
  <c r="Z763" i="3"/>
  <c r="P763" i="3"/>
  <c r="Q763" i="3" s="1"/>
  <c r="R763" i="3" s="1"/>
  <c r="S763" i="3" s="1"/>
  <c r="U762" i="3" l="1"/>
  <c r="Y761" i="3"/>
  <c r="T763" i="3"/>
  <c r="D763" i="3" l="1"/>
  <c r="G763" i="3" s="1"/>
  <c r="AH763" i="3"/>
  <c r="E763" i="3"/>
  <c r="H763" i="3" s="1"/>
  <c r="K763" i="3" s="1"/>
  <c r="AE763" i="3" s="1"/>
  <c r="AG763" i="3"/>
  <c r="F763" i="3" l="1"/>
  <c r="V763" i="3"/>
  <c r="A764" i="3"/>
  <c r="B764" i="3" s="1"/>
  <c r="I763" i="3"/>
  <c r="J763" i="3"/>
  <c r="M763" i="3"/>
  <c r="N763" i="3" s="1"/>
  <c r="L763" i="3" l="1"/>
  <c r="Z764" i="3"/>
  <c r="AA764" i="3"/>
  <c r="AC764" i="3"/>
  <c r="P764" i="3"/>
  <c r="Q764" i="3" s="1"/>
  <c r="R764" i="3" s="1"/>
  <c r="S764" i="3" s="1"/>
  <c r="W763" i="3"/>
  <c r="T764" i="3" l="1"/>
  <c r="AG764" i="3" s="1"/>
  <c r="U763" i="3"/>
  <c r="Y762" i="3"/>
  <c r="E764" i="3" l="1"/>
  <c r="H764" i="3" s="1"/>
  <c r="K764" i="3" s="1"/>
  <c r="AE764" i="3" s="1"/>
  <c r="AH764" i="3"/>
  <c r="D764" i="3"/>
  <c r="G764" i="3" s="1"/>
  <c r="F764" i="3" l="1"/>
  <c r="I764" i="3"/>
  <c r="J764" i="3"/>
  <c r="AD764" i="3" s="1"/>
  <c r="M764" i="3"/>
  <c r="N764" i="3" s="1"/>
  <c r="V764" i="3"/>
  <c r="A765" i="3"/>
  <c r="B765" i="3" s="1"/>
  <c r="W764" i="3" l="1"/>
  <c r="Z765" i="3"/>
  <c r="AC765" i="3"/>
  <c r="AD765" i="3"/>
  <c r="AA765" i="3"/>
  <c r="P765" i="3"/>
  <c r="Q765" i="3" s="1"/>
  <c r="R765" i="3" s="1"/>
  <c r="S765" i="3" s="1"/>
  <c r="L764" i="3"/>
  <c r="T765" i="3" l="1"/>
  <c r="AG765" i="3" s="1"/>
  <c r="U764" i="3"/>
  <c r="Y763" i="3"/>
  <c r="AH765" i="3" l="1"/>
  <c r="D765" i="3"/>
  <c r="G765" i="3" s="1"/>
  <c r="E765" i="3"/>
  <c r="H765" i="3" s="1"/>
  <c r="K765" i="3" s="1"/>
  <c r="AE765" i="3" s="1"/>
  <c r="F765" i="3" l="1"/>
  <c r="V765" i="3"/>
  <c r="A766" i="3"/>
  <c r="B766" i="3" s="1"/>
  <c r="I765" i="3"/>
  <c r="J765" i="3"/>
  <c r="M765" i="3"/>
  <c r="N765" i="3" s="1"/>
  <c r="L765" i="3" l="1"/>
  <c r="P766" i="3"/>
  <c r="Q766" i="3" s="1"/>
  <c r="R766" i="3" s="1"/>
  <c r="S766" i="3" s="1"/>
  <c r="AC766" i="3"/>
  <c r="AD766" i="3"/>
  <c r="Z766" i="3"/>
  <c r="AA766" i="3"/>
  <c r="W765" i="3"/>
  <c r="T766" i="3" l="1"/>
  <c r="AH766" i="3" s="1"/>
  <c r="U765" i="3"/>
  <c r="Y764" i="3"/>
  <c r="AG766" i="3" l="1"/>
  <c r="D766" i="3"/>
  <c r="G766" i="3" s="1"/>
  <c r="E766" i="3"/>
  <c r="H766" i="3" s="1"/>
  <c r="K766" i="3" s="1"/>
  <c r="AE766" i="3" s="1"/>
  <c r="F766" i="3" l="1"/>
  <c r="V766" i="3"/>
  <c r="A767" i="3"/>
  <c r="B767" i="3" s="1"/>
  <c r="I766" i="3"/>
  <c r="J766" i="3"/>
  <c r="M766" i="3"/>
  <c r="N766" i="3" s="1"/>
  <c r="L766" i="3" l="1"/>
  <c r="AC767" i="3"/>
  <c r="AD767" i="3"/>
  <c r="AA767" i="3"/>
  <c r="Z767" i="3"/>
  <c r="P767" i="3"/>
  <c r="Q767" i="3" s="1"/>
  <c r="R767" i="3" s="1"/>
  <c r="S767" i="3" s="1"/>
  <c r="W766" i="3"/>
  <c r="T767" i="3" l="1"/>
  <c r="AG767" i="3" s="1"/>
  <c r="U766" i="3"/>
  <c r="Y765" i="3"/>
  <c r="AH767" i="3" l="1"/>
  <c r="E767" i="3"/>
  <c r="H767" i="3" s="1"/>
  <c r="K767" i="3" s="1"/>
  <c r="AE767" i="3" s="1"/>
  <c r="D767" i="3"/>
  <c r="F767" i="3" l="1"/>
  <c r="G767" i="3"/>
  <c r="I767" i="3" s="1"/>
  <c r="V767" i="3"/>
  <c r="A768" i="3"/>
  <c r="B768" i="3" s="1"/>
  <c r="M767" i="3" l="1"/>
  <c r="N767" i="3" s="1"/>
  <c r="J767" i="3"/>
  <c r="L767" i="3" s="1"/>
  <c r="AC768" i="3"/>
  <c r="P768" i="3"/>
  <c r="Q768" i="3" s="1"/>
  <c r="R768" i="3" s="1"/>
  <c r="S768" i="3" s="1"/>
  <c r="Z768" i="3"/>
  <c r="AD768" i="3"/>
  <c r="AA768" i="3"/>
  <c r="W767" i="3"/>
  <c r="U767" i="3" l="1"/>
  <c r="Y766" i="3"/>
  <c r="T768" i="3"/>
  <c r="D768" i="3" l="1"/>
  <c r="G768" i="3" s="1"/>
  <c r="E768" i="3"/>
  <c r="H768" i="3" s="1"/>
  <c r="K768" i="3" s="1"/>
  <c r="AE768" i="3" s="1"/>
  <c r="AG768" i="3"/>
  <c r="AH768" i="3"/>
  <c r="F768" i="3" l="1"/>
  <c r="V768" i="3"/>
  <c r="A769" i="3"/>
  <c r="B769" i="3" s="1"/>
  <c r="I768" i="3"/>
  <c r="J768" i="3"/>
  <c r="M768" i="3"/>
  <c r="N768" i="3" s="1"/>
  <c r="L768" i="3" l="1"/>
  <c r="AA769" i="3"/>
  <c r="AD769" i="3"/>
  <c r="AC769" i="3"/>
  <c r="Z769" i="3"/>
  <c r="P769" i="3"/>
  <c r="Q769" i="3" s="1"/>
  <c r="R769" i="3" s="1"/>
  <c r="S769" i="3" s="1"/>
  <c r="W768" i="3"/>
  <c r="T769" i="3" l="1"/>
  <c r="U768" i="3"/>
  <c r="Y767" i="3"/>
  <c r="E769" i="3" l="1"/>
  <c r="H769" i="3" s="1"/>
  <c r="K769" i="3" s="1"/>
  <c r="AE769" i="3" s="1"/>
  <c r="D769" i="3"/>
  <c r="AG769" i="3"/>
  <c r="AH769" i="3"/>
  <c r="F769" i="3" l="1"/>
  <c r="G769" i="3"/>
  <c r="V769" i="3"/>
  <c r="A770" i="3"/>
  <c r="B770" i="3" s="1"/>
  <c r="AD770" i="3" l="1"/>
  <c r="P770" i="3"/>
  <c r="Q770" i="3" s="1"/>
  <c r="R770" i="3" s="1"/>
  <c r="S770" i="3" s="1"/>
  <c r="AC770" i="3"/>
  <c r="Z770" i="3"/>
  <c r="AA770" i="3"/>
  <c r="I769" i="3"/>
  <c r="W769" i="3" s="1"/>
  <c r="J769" i="3"/>
  <c r="M769" i="3"/>
  <c r="N769" i="3" s="1"/>
  <c r="T770" i="3" l="1"/>
  <c r="L769" i="3"/>
  <c r="AG770" i="3" l="1"/>
  <c r="AH770" i="3"/>
  <c r="U769" i="3"/>
  <c r="E770" i="3" s="1"/>
  <c r="H770" i="3" s="1"/>
  <c r="Y768" i="3"/>
  <c r="D770" i="3" l="1"/>
  <c r="F770" i="3" s="1"/>
  <c r="K770" i="3"/>
  <c r="AE770" i="3" s="1"/>
  <c r="G770" i="3" l="1"/>
  <c r="I770" i="3" s="1"/>
  <c r="V770" i="3"/>
  <c r="A771" i="3"/>
  <c r="B771" i="3" s="1"/>
  <c r="J770" i="3" l="1"/>
  <c r="L770" i="3" s="1"/>
  <c r="W770" i="3"/>
  <c r="M770" i="3"/>
  <c r="N770" i="3" s="1"/>
  <c r="P771" i="3"/>
  <c r="Q771" i="3" s="1"/>
  <c r="R771" i="3" s="1"/>
  <c r="S771" i="3" s="1"/>
  <c r="AC771" i="3"/>
  <c r="AA771" i="3"/>
  <c r="Z771" i="3"/>
  <c r="AD771" i="3"/>
  <c r="U770" i="3" l="1"/>
  <c r="Y769" i="3"/>
  <c r="T771" i="3"/>
  <c r="D771" i="3" l="1"/>
  <c r="G771" i="3" s="1"/>
  <c r="E771" i="3"/>
  <c r="H771" i="3" s="1"/>
  <c r="AH771" i="3"/>
  <c r="AG771" i="3"/>
  <c r="K771" i="3" l="1"/>
  <c r="AE771" i="3" s="1"/>
  <c r="I771" i="3"/>
  <c r="J771" i="3"/>
  <c r="M771" i="3"/>
  <c r="N771" i="3" s="1"/>
  <c r="F771" i="3"/>
  <c r="L771" i="3" l="1"/>
  <c r="V771" i="3"/>
  <c r="W771" i="3" s="1"/>
  <c r="A772" i="3"/>
  <c r="B772" i="3" s="1"/>
  <c r="AC772" i="3" l="1"/>
  <c r="P772" i="3"/>
  <c r="Q772" i="3" s="1"/>
  <c r="R772" i="3" s="1"/>
  <c r="S772" i="3" s="1"/>
  <c r="Z772" i="3"/>
  <c r="AA772" i="3"/>
  <c r="AD772" i="3"/>
  <c r="U771" i="3"/>
  <c r="Y770" i="3"/>
  <c r="T772" i="3" l="1"/>
  <c r="D772" i="3" s="1"/>
  <c r="G772" i="3" l="1"/>
  <c r="AG772" i="3"/>
  <c r="AH772" i="3"/>
  <c r="E772" i="3"/>
  <c r="H772" i="3" s="1"/>
  <c r="K772" i="3" l="1"/>
  <c r="AE772" i="3" s="1"/>
  <c r="I772" i="3"/>
  <c r="J772" i="3"/>
  <c r="M772" i="3"/>
  <c r="N772" i="3" s="1"/>
  <c r="F772" i="3"/>
  <c r="V772" i="3" l="1"/>
  <c r="W772" i="3" s="1"/>
  <c r="A773" i="3"/>
  <c r="B773" i="3" s="1"/>
  <c r="L772" i="3"/>
  <c r="U772" i="3" l="1"/>
  <c r="Y771" i="3"/>
  <c r="Z773" i="3"/>
  <c r="AD773" i="3"/>
  <c r="AC773" i="3"/>
  <c r="AA773" i="3"/>
  <c r="P773" i="3"/>
  <c r="Q773" i="3" s="1"/>
  <c r="R773" i="3" s="1"/>
  <c r="S773" i="3" s="1"/>
  <c r="T773" i="3" l="1"/>
  <c r="E773" i="3" s="1"/>
  <c r="H773" i="3" s="1"/>
  <c r="AH773" i="3" l="1"/>
  <c r="AG773" i="3"/>
  <c r="K773" i="3"/>
  <c r="AE773" i="3" s="1"/>
  <c r="D773" i="3"/>
  <c r="F773" i="3" l="1"/>
  <c r="G773" i="3"/>
  <c r="V773" i="3"/>
  <c r="A774" i="3"/>
  <c r="B774" i="3" s="1"/>
  <c r="AC774" i="3" l="1"/>
  <c r="P774" i="3"/>
  <c r="Q774" i="3" s="1"/>
  <c r="R774" i="3" s="1"/>
  <c r="S774" i="3" s="1"/>
  <c r="AA774" i="3"/>
  <c r="Z774" i="3"/>
  <c r="I773" i="3"/>
  <c r="W773" i="3" s="1"/>
  <c r="J773" i="3"/>
  <c r="M773" i="3"/>
  <c r="N773" i="3" s="1"/>
  <c r="L773" i="3" l="1"/>
  <c r="T774" i="3"/>
  <c r="AG774" i="3" l="1"/>
  <c r="U773" i="3"/>
  <c r="E774" i="3" s="1"/>
  <c r="H774" i="3" s="1"/>
  <c r="AH774" i="3"/>
  <c r="Y772" i="3"/>
  <c r="D774" i="3" l="1"/>
  <c r="F774" i="3" s="1"/>
  <c r="K774" i="3"/>
  <c r="AE774" i="3" s="1"/>
  <c r="G774" i="3" l="1"/>
  <c r="I774" i="3" s="1"/>
  <c r="V774" i="3"/>
  <c r="A775" i="3"/>
  <c r="B775" i="3" s="1"/>
  <c r="M774" i="3" l="1"/>
  <c r="N774" i="3" s="1"/>
  <c r="J774" i="3"/>
  <c r="AD774" i="3" s="1"/>
  <c r="AC775" i="3"/>
  <c r="Z775" i="3"/>
  <c r="AD775" i="3"/>
  <c r="AA775" i="3"/>
  <c r="P775" i="3"/>
  <c r="Q775" i="3" s="1"/>
  <c r="R775" i="3" s="1"/>
  <c r="S775" i="3" s="1"/>
  <c r="W774" i="3"/>
  <c r="L774" i="3" l="1"/>
  <c r="U774" i="3" s="1"/>
  <c r="T775" i="3"/>
  <c r="Y773" i="3" l="1"/>
  <c r="AG775" i="3"/>
  <c r="D775" i="3"/>
  <c r="G775" i="3" s="1"/>
  <c r="E775" i="3"/>
  <c r="H775" i="3" s="1"/>
  <c r="AH775" i="3"/>
  <c r="K775" i="3" l="1"/>
  <c r="AE775" i="3" s="1"/>
  <c r="I775" i="3"/>
  <c r="J775" i="3"/>
  <c r="M775" i="3"/>
  <c r="N775" i="3" s="1"/>
  <c r="F775" i="3"/>
  <c r="V775" i="3" l="1"/>
  <c r="W775" i="3" s="1"/>
  <c r="A776" i="3"/>
  <c r="B776" i="3" s="1"/>
  <c r="L775" i="3"/>
  <c r="U775" i="3" l="1"/>
  <c r="Y774" i="3"/>
  <c r="AD776" i="3"/>
  <c r="Z776" i="3"/>
  <c r="P776" i="3"/>
  <c r="Q776" i="3" s="1"/>
  <c r="R776" i="3" s="1"/>
  <c r="S776" i="3" s="1"/>
  <c r="AC776" i="3"/>
  <c r="AA776" i="3"/>
  <c r="T776" i="3" l="1"/>
  <c r="D776" i="3" s="1"/>
  <c r="E776" i="3" l="1"/>
  <c r="H776" i="3" s="1"/>
  <c r="K776" i="3" s="1"/>
  <c r="AE776" i="3" s="1"/>
  <c r="AG776" i="3"/>
  <c r="AH776" i="3"/>
  <c r="G776" i="3"/>
  <c r="F776" i="3" l="1"/>
  <c r="V776" i="3"/>
  <c r="A777" i="3"/>
  <c r="B777" i="3" s="1"/>
  <c r="I776" i="3"/>
  <c r="J776" i="3"/>
  <c r="M776" i="3"/>
  <c r="N776" i="3" s="1"/>
  <c r="AD777" i="3" l="1"/>
  <c r="AC777" i="3"/>
  <c r="Z777" i="3"/>
  <c r="AA777" i="3"/>
  <c r="P777" i="3"/>
  <c r="Q777" i="3" s="1"/>
  <c r="R777" i="3" s="1"/>
  <c r="S777" i="3" s="1"/>
  <c r="L776" i="3"/>
  <c r="W776" i="3"/>
  <c r="T777" i="3" l="1"/>
  <c r="AH777" i="3" s="1"/>
  <c r="U776" i="3"/>
  <c r="Y775" i="3"/>
  <c r="E777" i="3" l="1"/>
  <c r="H777" i="3" s="1"/>
  <c r="K777" i="3" s="1"/>
  <c r="AE777" i="3" s="1"/>
  <c r="D777" i="3"/>
  <c r="G777" i="3" s="1"/>
  <c r="AG777" i="3"/>
  <c r="F777" i="3" l="1"/>
  <c r="I777" i="3"/>
  <c r="J777" i="3"/>
  <c r="M777" i="3"/>
  <c r="N777" i="3" s="1"/>
  <c r="V777" i="3"/>
  <c r="A778" i="3"/>
  <c r="B778" i="3" s="1"/>
  <c r="W777" i="3" l="1"/>
  <c r="P778" i="3"/>
  <c r="Q778" i="3" s="1"/>
  <c r="R778" i="3" s="1"/>
  <c r="S778" i="3" s="1"/>
  <c r="AC778" i="3"/>
  <c r="AA778" i="3"/>
  <c r="Z778" i="3"/>
  <c r="AD778" i="3"/>
  <c r="L777" i="3"/>
  <c r="U777" i="3" l="1"/>
  <c r="Y776" i="3"/>
  <c r="T778" i="3"/>
  <c r="E778" i="3" l="1"/>
  <c r="H778" i="3" s="1"/>
  <c r="K778" i="3" s="1"/>
  <c r="AE778" i="3" s="1"/>
  <c r="AH778" i="3"/>
  <c r="D778" i="3"/>
  <c r="AG778" i="3"/>
  <c r="F778" i="3" l="1"/>
  <c r="G778" i="3"/>
  <c r="V778" i="3"/>
  <c r="A779" i="3"/>
  <c r="B779" i="3" s="1"/>
  <c r="AD779" i="3" l="1"/>
  <c r="AC779" i="3"/>
  <c r="Z779" i="3"/>
  <c r="AA779" i="3"/>
  <c r="P779" i="3"/>
  <c r="Q779" i="3" s="1"/>
  <c r="R779" i="3" s="1"/>
  <c r="S779" i="3" s="1"/>
  <c r="I778" i="3"/>
  <c r="W778" i="3" s="1"/>
  <c r="J778" i="3"/>
  <c r="M778" i="3"/>
  <c r="N778" i="3" s="1"/>
  <c r="T779" i="3" l="1"/>
  <c r="L778" i="3"/>
  <c r="AG779" i="3" l="1"/>
  <c r="AH779" i="3"/>
  <c r="U778" i="3"/>
  <c r="D779" i="3" s="1"/>
  <c r="Y777" i="3"/>
  <c r="G779" i="3" l="1"/>
  <c r="E779" i="3"/>
  <c r="H779" i="3" s="1"/>
  <c r="K779" i="3" l="1"/>
  <c r="AE779" i="3" s="1"/>
  <c r="I779" i="3"/>
  <c r="J779" i="3"/>
  <c r="M779" i="3"/>
  <c r="N779" i="3" s="1"/>
  <c r="F779" i="3"/>
  <c r="L779" i="3" l="1"/>
  <c r="V779" i="3"/>
  <c r="W779" i="3" s="1"/>
  <c r="A780" i="3"/>
  <c r="B780" i="3" s="1"/>
  <c r="P780" i="3" l="1"/>
  <c r="Q780" i="3" s="1"/>
  <c r="R780" i="3" s="1"/>
  <c r="S780" i="3" s="1"/>
  <c r="AC780" i="3"/>
  <c r="AD780" i="3"/>
  <c r="AA780" i="3"/>
  <c r="Z780" i="3"/>
  <c r="U779" i="3"/>
  <c r="Y778" i="3"/>
  <c r="T780" i="3" l="1"/>
  <c r="D780" i="3" l="1"/>
  <c r="AH780" i="3"/>
  <c r="AG780" i="3"/>
  <c r="E780" i="3"/>
  <c r="H780" i="3" s="1"/>
  <c r="K780" i="3" l="1"/>
  <c r="AE780" i="3" s="1"/>
  <c r="F780" i="3"/>
  <c r="G780" i="3"/>
  <c r="I780" i="3" l="1"/>
  <c r="J780" i="3"/>
  <c r="M780" i="3"/>
  <c r="N780" i="3" s="1"/>
  <c r="V780" i="3"/>
  <c r="A781" i="3"/>
  <c r="B781" i="3" s="1"/>
  <c r="W780" i="3" l="1"/>
  <c r="AD781" i="3"/>
  <c r="Z781" i="3"/>
  <c r="AA781" i="3"/>
  <c r="AC781" i="3"/>
  <c r="P781" i="3"/>
  <c r="Q781" i="3" s="1"/>
  <c r="R781" i="3" s="1"/>
  <c r="S781" i="3" s="1"/>
  <c r="L780" i="3"/>
  <c r="T781" i="3" l="1"/>
  <c r="AH781" i="3" s="1"/>
  <c r="U780" i="3"/>
  <c r="Y779" i="3"/>
  <c r="E781" i="3" l="1"/>
  <c r="H781" i="3" s="1"/>
  <c r="K781" i="3" s="1"/>
  <c r="AE781" i="3" s="1"/>
  <c r="AG781" i="3"/>
  <c r="D781" i="3"/>
  <c r="F781" i="3" l="1"/>
  <c r="G781" i="3"/>
  <c r="V781" i="3"/>
  <c r="A782" i="3"/>
  <c r="B782" i="3" s="1"/>
  <c r="AC782" i="3" l="1"/>
  <c r="AD782" i="3"/>
  <c r="Z782" i="3"/>
  <c r="AA782" i="3"/>
  <c r="P782" i="3"/>
  <c r="Q782" i="3" s="1"/>
  <c r="R782" i="3" s="1"/>
  <c r="S782" i="3" s="1"/>
  <c r="I781" i="3"/>
  <c r="W781" i="3" s="1"/>
  <c r="J781" i="3"/>
  <c r="M781" i="3"/>
  <c r="N781" i="3" s="1"/>
  <c r="T782" i="3" l="1"/>
  <c r="L781" i="3"/>
  <c r="AH782" i="3" l="1"/>
  <c r="AG782" i="3"/>
  <c r="U781" i="3"/>
  <c r="E782" i="3" s="1"/>
  <c r="H782" i="3" s="1"/>
  <c r="Y780" i="3"/>
  <c r="D782" i="3" l="1"/>
  <c r="F782" i="3" s="1"/>
  <c r="K782" i="3"/>
  <c r="AE782" i="3" s="1"/>
  <c r="G782" i="3" l="1"/>
  <c r="I782" i="3" s="1"/>
  <c r="V782" i="3"/>
  <c r="A783" i="3"/>
  <c r="B783" i="3" s="1"/>
  <c r="M782" i="3" l="1"/>
  <c r="N782" i="3" s="1"/>
  <c r="J782" i="3"/>
  <c r="L782" i="3" s="1"/>
  <c r="W782" i="3"/>
  <c r="Z783" i="3"/>
  <c r="P783" i="3"/>
  <c r="Q783" i="3" s="1"/>
  <c r="R783" i="3" s="1"/>
  <c r="S783" i="3" s="1"/>
  <c r="AD783" i="3"/>
  <c r="AA783" i="3"/>
  <c r="AC783" i="3"/>
  <c r="T783" i="3" l="1"/>
  <c r="AH783" i="3" s="1"/>
  <c r="U782" i="3"/>
  <c r="Y781" i="3"/>
  <c r="E783" i="3" l="1"/>
  <c r="H783" i="3" s="1"/>
  <c r="K783" i="3" s="1"/>
  <c r="AE783" i="3" s="1"/>
  <c r="D783" i="3"/>
  <c r="AG783" i="3"/>
  <c r="F783" i="3" l="1"/>
  <c r="G783" i="3"/>
  <c r="I783" i="3" s="1"/>
  <c r="V783" i="3"/>
  <c r="A784" i="3"/>
  <c r="B784" i="3" s="1"/>
  <c r="M783" i="3" l="1"/>
  <c r="N783" i="3" s="1"/>
  <c r="J783" i="3"/>
  <c r="L783" i="3" s="1"/>
  <c r="W783" i="3"/>
  <c r="P784" i="3"/>
  <c r="Q784" i="3" s="1"/>
  <c r="R784" i="3" s="1"/>
  <c r="S784" i="3" s="1"/>
  <c r="AC784" i="3"/>
  <c r="AA784" i="3"/>
  <c r="Z784" i="3"/>
  <c r="U783" i="3" l="1"/>
  <c r="Y782" i="3"/>
  <c r="T784" i="3"/>
  <c r="E784" i="3" l="1"/>
  <c r="H784" i="3" s="1"/>
  <c r="K784" i="3" s="1"/>
  <c r="AE784" i="3" s="1"/>
  <c r="AH784" i="3"/>
  <c r="AG784" i="3"/>
  <c r="D784" i="3"/>
  <c r="F784" i="3" l="1"/>
  <c r="G784" i="3"/>
  <c r="J784" i="3" s="1"/>
  <c r="AD784" i="3" s="1"/>
  <c r="V784" i="3"/>
  <c r="A785" i="3"/>
  <c r="B785" i="3" s="1"/>
  <c r="M784" i="3" l="1"/>
  <c r="N784" i="3" s="1"/>
  <c r="I784" i="3"/>
  <c r="W784" i="3" s="1"/>
  <c r="AC785" i="3"/>
  <c r="P785" i="3"/>
  <c r="Q785" i="3" s="1"/>
  <c r="R785" i="3" s="1"/>
  <c r="S785" i="3" s="1"/>
  <c r="AD785" i="3"/>
  <c r="Z785" i="3"/>
  <c r="AA785" i="3"/>
  <c r="L784" i="3"/>
  <c r="T785" i="3" l="1"/>
  <c r="AG785" i="3" s="1"/>
  <c r="U784" i="3"/>
  <c r="Y783" i="3"/>
  <c r="AH785" i="3" l="1"/>
  <c r="D785" i="3"/>
  <c r="G785" i="3" s="1"/>
  <c r="E785" i="3"/>
  <c r="H785" i="3" s="1"/>
  <c r="K785" i="3" s="1"/>
  <c r="AE785" i="3" s="1"/>
  <c r="F785" i="3" l="1"/>
  <c r="I785" i="3"/>
  <c r="J785" i="3"/>
  <c r="M785" i="3"/>
  <c r="N785" i="3" s="1"/>
  <c r="V785" i="3"/>
  <c r="W785" i="3" s="1"/>
  <c r="A786" i="3"/>
  <c r="B786" i="3" s="1"/>
  <c r="P786" i="3" l="1"/>
  <c r="Q786" i="3" s="1"/>
  <c r="R786" i="3" s="1"/>
  <c r="S786" i="3" s="1"/>
  <c r="Z786" i="3"/>
  <c r="AA786" i="3"/>
  <c r="AC786" i="3"/>
  <c r="AD786" i="3"/>
  <c r="L785" i="3"/>
  <c r="U785" i="3" l="1"/>
  <c r="Y784" i="3"/>
  <c r="T786" i="3"/>
  <c r="AG786" i="3" s="1"/>
  <c r="D786" i="3" l="1"/>
  <c r="G786" i="3" s="1"/>
  <c r="AH786" i="3"/>
  <c r="E786" i="3"/>
  <c r="H786" i="3" s="1"/>
  <c r="K786" i="3" s="1"/>
  <c r="AE786" i="3" s="1"/>
  <c r="F786" i="3" l="1"/>
  <c r="I786" i="3"/>
  <c r="J786" i="3"/>
  <c r="M786" i="3"/>
  <c r="N786" i="3" s="1"/>
  <c r="V786" i="3"/>
  <c r="W786" i="3" s="1"/>
  <c r="A787" i="3"/>
  <c r="B787" i="3" s="1"/>
  <c r="P787" i="3" l="1"/>
  <c r="Q787" i="3" s="1"/>
  <c r="R787" i="3" s="1"/>
  <c r="S787" i="3" s="1"/>
  <c r="AC787" i="3"/>
  <c r="AD787" i="3"/>
  <c r="Z787" i="3"/>
  <c r="AA787" i="3"/>
  <c r="L786" i="3"/>
  <c r="T787" i="3" l="1"/>
  <c r="AH787" i="3" s="1"/>
  <c r="U786" i="3"/>
  <c r="Y785" i="3"/>
  <c r="E787" i="3" l="1"/>
  <c r="H787" i="3" s="1"/>
  <c r="K787" i="3" s="1"/>
  <c r="AE787" i="3" s="1"/>
  <c r="AG787" i="3"/>
  <c r="D787" i="3"/>
  <c r="F787" i="3" l="1"/>
  <c r="G787" i="3"/>
  <c r="V787" i="3"/>
  <c r="A788" i="3"/>
  <c r="B788" i="3" s="1"/>
  <c r="I787" i="3" l="1"/>
  <c r="W787" i="3" s="1"/>
  <c r="J787" i="3"/>
  <c r="M787" i="3"/>
  <c r="N787" i="3" s="1"/>
  <c r="Z788" i="3"/>
  <c r="AC788" i="3"/>
  <c r="AD788" i="3"/>
  <c r="AA788" i="3"/>
  <c r="P788" i="3"/>
  <c r="Q788" i="3" s="1"/>
  <c r="R788" i="3" s="1"/>
  <c r="S788" i="3" s="1"/>
  <c r="T788" i="3" l="1"/>
  <c r="L787" i="3"/>
  <c r="U787" i="3" l="1"/>
  <c r="D788" i="3" s="1"/>
  <c r="AG788" i="3"/>
  <c r="AH788" i="3"/>
  <c r="Y786" i="3"/>
  <c r="E788" i="3" l="1"/>
  <c r="H788" i="3" s="1"/>
  <c r="K788" i="3" s="1"/>
  <c r="AE788" i="3" s="1"/>
  <c r="G788" i="3"/>
  <c r="F788" i="3" l="1"/>
  <c r="V788" i="3"/>
  <c r="A789" i="3"/>
  <c r="B789" i="3" s="1"/>
  <c r="I788" i="3"/>
  <c r="J788" i="3"/>
  <c r="M788" i="3"/>
  <c r="N788" i="3" s="1"/>
  <c r="L788" i="3" l="1"/>
  <c r="AC789" i="3"/>
  <c r="AD789" i="3"/>
  <c r="AA789" i="3"/>
  <c r="P789" i="3"/>
  <c r="Q789" i="3" s="1"/>
  <c r="R789" i="3" s="1"/>
  <c r="S789" i="3" s="1"/>
  <c r="Z789" i="3"/>
  <c r="W788" i="3"/>
  <c r="U788" i="3" l="1"/>
  <c r="Y787" i="3"/>
  <c r="T789" i="3"/>
  <c r="E789" i="3" l="1"/>
  <c r="H789" i="3" s="1"/>
  <c r="K789" i="3" s="1"/>
  <c r="AE789" i="3" s="1"/>
  <c r="D789" i="3"/>
  <c r="G789" i="3" s="1"/>
  <c r="AG789" i="3"/>
  <c r="AH789" i="3"/>
  <c r="F789" i="3" l="1"/>
  <c r="I789" i="3"/>
  <c r="J789" i="3"/>
  <c r="M789" i="3"/>
  <c r="N789" i="3" s="1"/>
  <c r="V789" i="3"/>
  <c r="A790" i="3"/>
  <c r="B790" i="3" s="1"/>
  <c r="W789" i="3" l="1"/>
  <c r="AD790" i="3"/>
  <c r="P790" i="3"/>
  <c r="Q790" i="3" s="1"/>
  <c r="R790" i="3" s="1"/>
  <c r="S790" i="3" s="1"/>
  <c r="AC790" i="3"/>
  <c r="Z790" i="3"/>
  <c r="AA790" i="3"/>
  <c r="L789" i="3"/>
  <c r="T790" i="3" l="1"/>
  <c r="AH790" i="3" s="1"/>
  <c r="U789" i="3"/>
  <c r="Y788" i="3"/>
  <c r="D790" i="3" l="1"/>
  <c r="G790" i="3" s="1"/>
  <c r="E790" i="3"/>
  <c r="H790" i="3" s="1"/>
  <c r="K790" i="3" s="1"/>
  <c r="AE790" i="3" s="1"/>
  <c r="AG790" i="3"/>
  <c r="F790" i="3" l="1"/>
  <c r="I790" i="3"/>
  <c r="J790" i="3"/>
  <c r="M790" i="3"/>
  <c r="N790" i="3" s="1"/>
  <c r="V790" i="3"/>
  <c r="A791" i="3"/>
  <c r="B791" i="3" s="1"/>
  <c r="W790" i="3" l="1"/>
  <c r="Z791" i="3"/>
  <c r="AA791" i="3"/>
  <c r="P791" i="3"/>
  <c r="Q791" i="3" s="1"/>
  <c r="R791" i="3" s="1"/>
  <c r="S791" i="3" s="1"/>
  <c r="AD791" i="3"/>
  <c r="AC791" i="3"/>
  <c r="L790" i="3"/>
  <c r="U790" i="3" l="1"/>
  <c r="Y789" i="3"/>
  <c r="T791" i="3"/>
  <c r="AG791" i="3" s="1"/>
  <c r="E791" i="3" l="1"/>
  <c r="H791" i="3" s="1"/>
  <c r="K791" i="3" s="1"/>
  <c r="AE791" i="3" s="1"/>
  <c r="D791" i="3"/>
  <c r="G791" i="3" s="1"/>
  <c r="AH791" i="3"/>
  <c r="F791" i="3" l="1"/>
  <c r="V791" i="3"/>
  <c r="A792" i="3"/>
  <c r="B792" i="3" s="1"/>
  <c r="I791" i="3"/>
  <c r="J791" i="3"/>
  <c r="M791" i="3"/>
  <c r="N791" i="3" s="1"/>
  <c r="L791" i="3" l="1"/>
  <c r="AC792" i="3"/>
  <c r="AD792" i="3"/>
  <c r="Z792" i="3"/>
  <c r="AA792" i="3"/>
  <c r="P792" i="3"/>
  <c r="Q792" i="3" s="1"/>
  <c r="R792" i="3" s="1"/>
  <c r="S792" i="3" s="1"/>
  <c r="W791" i="3"/>
  <c r="T792" i="3" l="1"/>
  <c r="AG792" i="3" s="1"/>
  <c r="U791" i="3"/>
  <c r="Y790" i="3"/>
  <c r="E792" i="3" l="1"/>
  <c r="H792" i="3" s="1"/>
  <c r="K792" i="3" s="1"/>
  <c r="AE792" i="3" s="1"/>
  <c r="AH792" i="3"/>
  <c r="D792" i="3"/>
  <c r="G792" i="3" s="1"/>
  <c r="F792" i="3" l="1"/>
  <c r="V792" i="3"/>
  <c r="A793" i="3"/>
  <c r="B793" i="3" s="1"/>
  <c r="I792" i="3"/>
  <c r="J792" i="3"/>
  <c r="M792" i="3"/>
  <c r="N792" i="3" s="1"/>
  <c r="AA793" i="3" l="1"/>
  <c r="AC793" i="3"/>
  <c r="Z793" i="3"/>
  <c r="P793" i="3"/>
  <c r="Q793" i="3" s="1"/>
  <c r="R793" i="3" s="1"/>
  <c r="S793" i="3" s="1"/>
  <c r="AD793" i="3"/>
  <c r="L792" i="3"/>
  <c r="W792" i="3"/>
  <c r="T793" i="3" l="1"/>
  <c r="AH793" i="3" s="1"/>
  <c r="U792" i="3"/>
  <c r="Y791" i="3"/>
  <c r="E793" i="3" l="1"/>
  <c r="H793" i="3" s="1"/>
  <c r="K793" i="3" s="1"/>
  <c r="AE793" i="3" s="1"/>
  <c r="AG793" i="3"/>
  <c r="D793" i="3"/>
  <c r="G793" i="3" s="1"/>
  <c r="F793" i="3" l="1"/>
  <c r="I793" i="3"/>
  <c r="J793" i="3"/>
  <c r="M793" i="3"/>
  <c r="N793" i="3" s="1"/>
  <c r="V793" i="3"/>
  <c r="A794" i="3"/>
  <c r="B794" i="3" s="1"/>
  <c r="W793" i="3" l="1"/>
  <c r="P794" i="3"/>
  <c r="Q794" i="3" s="1"/>
  <c r="R794" i="3" s="1"/>
  <c r="S794" i="3" s="1"/>
  <c r="AA794" i="3"/>
  <c r="AC794" i="3"/>
  <c r="Z794" i="3"/>
  <c r="L793" i="3"/>
  <c r="U793" i="3" l="1"/>
  <c r="Y792" i="3"/>
  <c r="T794" i="3"/>
  <c r="AH794" i="3" s="1"/>
  <c r="AG794" i="3" l="1"/>
  <c r="E794" i="3"/>
  <c r="H794" i="3" s="1"/>
  <c r="D794" i="3"/>
  <c r="F794" i="3" l="1"/>
  <c r="G794" i="3"/>
  <c r="K794" i="3"/>
  <c r="AE794" i="3" s="1"/>
  <c r="V794" i="3" l="1"/>
  <c r="A795" i="3"/>
  <c r="B795" i="3" s="1"/>
  <c r="I794" i="3"/>
  <c r="J794" i="3"/>
  <c r="AD794" i="3" s="1"/>
  <c r="M794" i="3"/>
  <c r="N794" i="3" s="1"/>
  <c r="L794" i="3" l="1"/>
  <c r="W794" i="3"/>
  <c r="AD795" i="3"/>
  <c r="Z795" i="3"/>
  <c r="AA795" i="3"/>
  <c r="AC795" i="3"/>
  <c r="P795" i="3"/>
  <c r="Q795" i="3" s="1"/>
  <c r="R795" i="3" s="1"/>
  <c r="S795" i="3" s="1"/>
  <c r="T795" i="3" l="1"/>
  <c r="AH795" i="3" s="1"/>
  <c r="U794" i="3"/>
  <c r="Y793" i="3"/>
  <c r="E795" i="3" l="1"/>
  <c r="H795" i="3" s="1"/>
  <c r="K795" i="3" s="1"/>
  <c r="AE795" i="3" s="1"/>
  <c r="AG795" i="3"/>
  <c r="D795" i="3"/>
  <c r="F795" i="3" l="1"/>
  <c r="G795" i="3"/>
  <c r="I795" i="3" s="1"/>
  <c r="V795" i="3"/>
  <c r="A796" i="3"/>
  <c r="B796" i="3" s="1"/>
  <c r="M795" i="3" l="1"/>
  <c r="N795" i="3" s="1"/>
  <c r="J795" i="3"/>
  <c r="L795" i="3" s="1"/>
  <c r="AD796" i="3"/>
  <c r="AA796" i="3"/>
  <c r="AC796" i="3"/>
  <c r="Z796" i="3"/>
  <c r="P796" i="3"/>
  <c r="Q796" i="3" s="1"/>
  <c r="R796" i="3" s="1"/>
  <c r="S796" i="3" s="1"/>
  <c r="W795" i="3"/>
  <c r="T796" i="3" l="1"/>
  <c r="AG796" i="3" s="1"/>
  <c r="U795" i="3"/>
  <c r="Y794" i="3"/>
  <c r="AH796" i="3" l="1"/>
  <c r="E796" i="3"/>
  <c r="H796" i="3" s="1"/>
  <c r="D796" i="3"/>
  <c r="F796" i="3" l="1"/>
  <c r="G796" i="3"/>
  <c r="K796" i="3"/>
  <c r="AE796" i="3" s="1"/>
  <c r="V796" i="3" l="1"/>
  <c r="A797" i="3"/>
  <c r="B797" i="3" s="1"/>
  <c r="I796" i="3"/>
  <c r="J796" i="3"/>
  <c r="M796" i="3"/>
  <c r="N796" i="3" s="1"/>
  <c r="P797" i="3" l="1"/>
  <c r="Q797" i="3" s="1"/>
  <c r="R797" i="3" s="1"/>
  <c r="S797" i="3" s="1"/>
  <c r="Z797" i="3"/>
  <c r="AD797" i="3"/>
  <c r="AA797" i="3"/>
  <c r="AC797" i="3"/>
  <c r="L796" i="3"/>
  <c r="W796" i="3"/>
  <c r="U796" i="3" l="1"/>
  <c r="Y795" i="3"/>
  <c r="T797" i="3"/>
  <c r="E797" i="3" l="1"/>
  <c r="H797" i="3" s="1"/>
  <c r="K797" i="3" s="1"/>
  <c r="AE797" i="3" s="1"/>
  <c r="AG797" i="3"/>
  <c r="D797" i="3"/>
  <c r="AH797" i="3"/>
  <c r="F797" i="3" l="1"/>
  <c r="G797" i="3"/>
  <c r="V797" i="3"/>
  <c r="A798" i="3"/>
  <c r="B798" i="3" s="1"/>
  <c r="AC798" i="3" l="1"/>
  <c r="P798" i="3"/>
  <c r="Q798" i="3" s="1"/>
  <c r="R798" i="3" s="1"/>
  <c r="S798" i="3" s="1"/>
  <c r="Z798" i="3"/>
  <c r="AD798" i="3"/>
  <c r="AA798" i="3"/>
  <c r="I797" i="3"/>
  <c r="W797" i="3" s="1"/>
  <c r="J797" i="3"/>
  <c r="M797" i="3"/>
  <c r="N797" i="3" s="1"/>
  <c r="L797" i="3" l="1"/>
  <c r="T798" i="3"/>
  <c r="AH798" i="3" l="1"/>
  <c r="AG798" i="3"/>
  <c r="U797" i="3"/>
  <c r="E798" i="3" s="1"/>
  <c r="H798" i="3" s="1"/>
  <c r="Y796" i="3"/>
  <c r="D798" i="3" l="1"/>
  <c r="G798" i="3" s="1"/>
  <c r="K798" i="3"/>
  <c r="AE798" i="3" s="1"/>
  <c r="F798" i="3" l="1"/>
  <c r="I798" i="3"/>
  <c r="J798" i="3"/>
  <c r="M798" i="3"/>
  <c r="N798" i="3" s="1"/>
  <c r="V798" i="3"/>
  <c r="A799" i="3"/>
  <c r="B799" i="3" s="1"/>
  <c r="W798" i="3" l="1"/>
  <c r="AA799" i="3"/>
  <c r="AC799" i="3"/>
  <c r="AD799" i="3"/>
  <c r="Z799" i="3"/>
  <c r="P799" i="3"/>
  <c r="Q799" i="3" s="1"/>
  <c r="R799" i="3" s="1"/>
  <c r="S799" i="3" s="1"/>
  <c r="L798" i="3"/>
  <c r="T799" i="3" l="1"/>
  <c r="AH799" i="3" s="1"/>
  <c r="U798" i="3"/>
  <c r="Y797" i="3"/>
  <c r="E799" i="3" l="1"/>
  <c r="H799" i="3" s="1"/>
  <c r="K799" i="3" s="1"/>
  <c r="AE799" i="3" s="1"/>
  <c r="AG799" i="3"/>
  <c r="D799" i="3"/>
  <c r="F799" i="3" l="1"/>
  <c r="G799" i="3"/>
  <c r="I799" i="3" s="1"/>
  <c r="V799" i="3"/>
  <c r="A800" i="3"/>
  <c r="B800" i="3" s="1"/>
  <c r="M799" i="3" l="1"/>
  <c r="N799" i="3" s="1"/>
  <c r="J799" i="3"/>
  <c r="L799" i="3" s="1"/>
  <c r="AC800" i="3"/>
  <c r="Z800" i="3"/>
  <c r="AA800" i="3"/>
  <c r="AD800" i="3"/>
  <c r="P800" i="3"/>
  <c r="Q800" i="3" s="1"/>
  <c r="R800" i="3" s="1"/>
  <c r="S800" i="3" s="1"/>
  <c r="W799" i="3"/>
  <c r="T800" i="3" l="1"/>
  <c r="AG800" i="3" s="1"/>
  <c r="U799" i="3"/>
  <c r="Y798" i="3"/>
  <c r="E800" i="3" l="1"/>
  <c r="H800" i="3" s="1"/>
  <c r="K800" i="3" s="1"/>
  <c r="AE800" i="3" s="1"/>
  <c r="AH800" i="3"/>
  <c r="D800" i="3"/>
  <c r="F800" i="3" l="1"/>
  <c r="G800" i="3"/>
  <c r="V800" i="3"/>
  <c r="A801" i="3"/>
  <c r="B801" i="3" s="1"/>
  <c r="Z801" i="3" l="1"/>
  <c r="AD801" i="3"/>
  <c r="AC801" i="3"/>
  <c r="AA801" i="3"/>
  <c r="P801" i="3"/>
  <c r="Q801" i="3" s="1"/>
  <c r="R801" i="3" s="1"/>
  <c r="S801" i="3" s="1"/>
  <c r="I800" i="3"/>
  <c r="W800" i="3" s="1"/>
  <c r="J800" i="3"/>
  <c r="M800" i="3"/>
  <c r="N800" i="3" s="1"/>
  <c r="T801" i="3" l="1"/>
  <c r="L800" i="3"/>
  <c r="AG801" i="3" l="1"/>
  <c r="AH801" i="3"/>
  <c r="U800" i="3"/>
  <c r="D801" i="3" s="1"/>
  <c r="Y799" i="3"/>
  <c r="G801" i="3" l="1"/>
  <c r="E801" i="3"/>
  <c r="H801" i="3" s="1"/>
  <c r="K801" i="3" l="1"/>
  <c r="AE801" i="3" s="1"/>
  <c r="I801" i="3"/>
  <c r="J801" i="3"/>
  <c r="M801" i="3"/>
  <c r="N801" i="3" s="1"/>
  <c r="F801" i="3"/>
  <c r="L801" i="3" l="1"/>
  <c r="V801" i="3"/>
  <c r="W801" i="3" s="1"/>
  <c r="A802" i="3"/>
  <c r="B802" i="3" s="1"/>
  <c r="AC802" i="3" l="1"/>
  <c r="Z802" i="3"/>
  <c r="P802" i="3"/>
  <c r="Q802" i="3" s="1"/>
  <c r="R802" i="3" s="1"/>
  <c r="S802" i="3" s="1"/>
  <c r="AD802" i="3"/>
  <c r="AA802" i="3"/>
  <c r="U801" i="3"/>
  <c r="Y800" i="3"/>
  <c r="T802" i="3" l="1"/>
  <c r="AG802" i="3" s="1"/>
  <c r="D802" i="3" l="1"/>
  <c r="G802" i="3" s="1"/>
  <c r="E802" i="3"/>
  <c r="H802" i="3" s="1"/>
  <c r="AH802" i="3"/>
  <c r="K802" i="3" l="1"/>
  <c r="AE802" i="3" s="1"/>
  <c r="I802" i="3"/>
  <c r="J802" i="3"/>
  <c r="M802" i="3"/>
  <c r="N802" i="3" s="1"/>
  <c r="F802" i="3"/>
  <c r="L802" i="3" l="1"/>
  <c r="V802" i="3"/>
  <c r="W802" i="3" s="1"/>
  <c r="A803" i="3"/>
  <c r="B803" i="3" s="1"/>
  <c r="AC803" i="3" l="1"/>
  <c r="Z803" i="3"/>
  <c r="AD803" i="3"/>
  <c r="AA803" i="3"/>
  <c r="P803" i="3"/>
  <c r="Q803" i="3" s="1"/>
  <c r="R803" i="3" s="1"/>
  <c r="S803" i="3" s="1"/>
  <c r="U802" i="3"/>
  <c r="Y801" i="3"/>
  <c r="T803" i="3" l="1"/>
  <c r="AG803" i="3" s="1"/>
  <c r="D803" i="3" l="1"/>
  <c r="G803" i="3" s="1"/>
  <c r="E803" i="3"/>
  <c r="H803" i="3" s="1"/>
  <c r="K803" i="3" s="1"/>
  <c r="AE803" i="3" s="1"/>
  <c r="AH803" i="3"/>
  <c r="F803" i="3" l="1"/>
  <c r="V803" i="3"/>
  <c r="A804" i="3"/>
  <c r="B804" i="3" s="1"/>
  <c r="I803" i="3"/>
  <c r="J803" i="3"/>
  <c r="M803" i="3"/>
  <c r="N803" i="3" s="1"/>
  <c r="L803" i="3" l="1"/>
  <c r="P804" i="3"/>
  <c r="Q804" i="3" s="1"/>
  <c r="R804" i="3" s="1"/>
  <c r="S804" i="3" s="1"/>
  <c r="Z804" i="3"/>
  <c r="AA804" i="3"/>
  <c r="AC804" i="3"/>
  <c r="W803" i="3"/>
  <c r="U803" i="3" l="1"/>
  <c r="Y802" i="3"/>
  <c r="T804" i="3"/>
  <c r="AG804" i="3" s="1"/>
  <c r="D804" i="3" l="1"/>
  <c r="G804" i="3" s="1"/>
  <c r="AH804" i="3"/>
  <c r="E804" i="3"/>
  <c r="H804" i="3" s="1"/>
  <c r="K804" i="3" s="1"/>
  <c r="AE804" i="3" s="1"/>
  <c r="F804" i="3" l="1"/>
  <c r="V804" i="3"/>
  <c r="A805" i="3"/>
  <c r="B805" i="3" s="1"/>
  <c r="I804" i="3"/>
  <c r="J804" i="3"/>
  <c r="AD804" i="3" s="1"/>
  <c r="M804" i="3"/>
  <c r="N804" i="3" s="1"/>
  <c r="L804" i="3" l="1"/>
  <c r="P805" i="3"/>
  <c r="Q805" i="3" s="1"/>
  <c r="R805" i="3" s="1"/>
  <c r="S805" i="3" s="1"/>
  <c r="Z805" i="3"/>
  <c r="AC805" i="3"/>
  <c r="AD805" i="3"/>
  <c r="AA805" i="3"/>
  <c r="W804" i="3"/>
  <c r="U804" i="3" l="1"/>
  <c r="Y803" i="3"/>
  <c r="T805" i="3"/>
  <c r="E805" i="3" l="1"/>
  <c r="H805" i="3" s="1"/>
  <c r="K805" i="3" s="1"/>
  <c r="AE805" i="3" s="1"/>
  <c r="D805" i="3"/>
  <c r="G805" i="3" s="1"/>
  <c r="AH805" i="3"/>
  <c r="AG805" i="3"/>
  <c r="F805" i="3" l="1"/>
  <c r="I805" i="3"/>
  <c r="J805" i="3"/>
  <c r="M805" i="3"/>
  <c r="N805" i="3" s="1"/>
  <c r="V805" i="3"/>
  <c r="A806" i="3"/>
  <c r="B806" i="3" s="1"/>
  <c r="W805" i="3" l="1"/>
  <c r="Z806" i="3"/>
  <c r="AA806" i="3"/>
  <c r="AD806" i="3"/>
  <c r="AC806" i="3"/>
  <c r="P806" i="3"/>
  <c r="Q806" i="3" s="1"/>
  <c r="R806" i="3" s="1"/>
  <c r="S806" i="3" s="1"/>
  <c r="L805" i="3"/>
  <c r="T806" i="3" l="1"/>
  <c r="AG806" i="3" s="1"/>
  <c r="U805" i="3"/>
  <c r="Y804" i="3"/>
  <c r="D806" i="3" l="1"/>
  <c r="G806" i="3" s="1"/>
  <c r="AH806" i="3"/>
  <c r="E806" i="3"/>
  <c r="H806" i="3" s="1"/>
  <c r="K806" i="3" s="1"/>
  <c r="AE806" i="3" s="1"/>
  <c r="F806" i="3" l="1"/>
  <c r="I806" i="3"/>
  <c r="J806" i="3"/>
  <c r="M806" i="3"/>
  <c r="N806" i="3" s="1"/>
  <c r="V806" i="3"/>
  <c r="A807" i="3"/>
  <c r="B807" i="3" s="1"/>
  <c r="W806" i="3" l="1"/>
  <c r="AC807" i="3"/>
  <c r="AD807" i="3"/>
  <c r="Z807" i="3"/>
  <c r="AA807" i="3"/>
  <c r="P807" i="3"/>
  <c r="Q807" i="3" s="1"/>
  <c r="R807" i="3" s="1"/>
  <c r="S807" i="3" s="1"/>
  <c r="L806" i="3"/>
  <c r="T807" i="3" l="1"/>
  <c r="AG807" i="3" s="1"/>
  <c r="U806" i="3"/>
  <c r="Y805" i="3"/>
  <c r="E807" i="3" l="1"/>
  <c r="H807" i="3" s="1"/>
  <c r="K807" i="3" s="1"/>
  <c r="AE807" i="3" s="1"/>
  <c r="AH807" i="3"/>
  <c r="D807" i="3"/>
  <c r="F807" i="3" l="1"/>
  <c r="G807" i="3"/>
  <c r="I807" i="3" s="1"/>
  <c r="V807" i="3"/>
  <c r="A808" i="3"/>
  <c r="B808" i="3" s="1"/>
  <c r="M807" i="3" l="1"/>
  <c r="N807" i="3" s="1"/>
  <c r="J807" i="3"/>
  <c r="L807" i="3" s="1"/>
  <c r="AA808" i="3"/>
  <c r="AC808" i="3"/>
  <c r="Z808" i="3"/>
  <c r="AD808" i="3"/>
  <c r="P808" i="3"/>
  <c r="Q808" i="3" s="1"/>
  <c r="R808" i="3" s="1"/>
  <c r="S808" i="3" s="1"/>
  <c r="W807" i="3"/>
  <c r="T808" i="3" l="1"/>
  <c r="AH808" i="3" s="1"/>
  <c r="U807" i="3"/>
  <c r="Y806" i="3"/>
  <c r="AG808" i="3" l="1"/>
  <c r="D808" i="3"/>
  <c r="G808" i="3" s="1"/>
  <c r="E808" i="3"/>
  <c r="H808" i="3" s="1"/>
  <c r="K808" i="3" s="1"/>
  <c r="AE808" i="3" s="1"/>
  <c r="F808" i="3" l="1"/>
  <c r="V808" i="3"/>
  <c r="A809" i="3"/>
  <c r="B809" i="3" s="1"/>
  <c r="I808" i="3"/>
  <c r="J808" i="3"/>
  <c r="M808" i="3"/>
  <c r="N808" i="3" s="1"/>
  <c r="L808" i="3" l="1"/>
  <c r="AD809" i="3"/>
  <c r="AC809" i="3"/>
  <c r="Z809" i="3"/>
  <c r="AA809" i="3"/>
  <c r="P809" i="3"/>
  <c r="Q809" i="3" s="1"/>
  <c r="R809" i="3" s="1"/>
  <c r="S809" i="3" s="1"/>
  <c r="W808" i="3"/>
  <c r="T809" i="3" l="1"/>
  <c r="AH809" i="3" s="1"/>
  <c r="U808" i="3"/>
  <c r="Y807" i="3"/>
  <c r="D809" i="3" l="1"/>
  <c r="G809" i="3" s="1"/>
  <c r="AG809" i="3"/>
  <c r="E809" i="3"/>
  <c r="H809" i="3" s="1"/>
  <c r="K809" i="3" s="1"/>
  <c r="AE809" i="3" s="1"/>
  <c r="F809" i="3" l="1"/>
  <c r="V809" i="3"/>
  <c r="A810" i="3"/>
  <c r="B810" i="3" s="1"/>
  <c r="I809" i="3"/>
  <c r="J809" i="3"/>
  <c r="M809" i="3"/>
  <c r="N809" i="3" s="1"/>
  <c r="L809" i="3" l="1"/>
  <c r="P810" i="3"/>
  <c r="Q810" i="3" s="1"/>
  <c r="R810" i="3" s="1"/>
  <c r="S810" i="3" s="1"/>
  <c r="Z810" i="3"/>
  <c r="AA810" i="3"/>
  <c r="AC810" i="3"/>
  <c r="AD810" i="3"/>
  <c r="W809" i="3"/>
  <c r="T810" i="3" l="1"/>
  <c r="AH810" i="3" s="1"/>
  <c r="U809" i="3"/>
  <c r="Y808" i="3"/>
  <c r="D810" i="3" l="1"/>
  <c r="G810" i="3" s="1"/>
  <c r="AG810" i="3"/>
  <c r="E810" i="3"/>
  <c r="H810" i="3" s="1"/>
  <c r="K810" i="3" s="1"/>
  <c r="AE810" i="3" s="1"/>
  <c r="F810" i="3" l="1"/>
  <c r="V810" i="3"/>
  <c r="A811" i="3"/>
  <c r="B811" i="3" s="1"/>
  <c r="I810" i="3"/>
  <c r="J810" i="3"/>
  <c r="M810" i="3"/>
  <c r="N810" i="3" s="1"/>
  <c r="L810" i="3" l="1"/>
  <c r="P811" i="3"/>
  <c r="Q811" i="3" s="1"/>
  <c r="R811" i="3" s="1"/>
  <c r="S811" i="3" s="1"/>
  <c r="AA811" i="3"/>
  <c r="AC811" i="3"/>
  <c r="AD811" i="3"/>
  <c r="Z811" i="3"/>
  <c r="W810" i="3"/>
  <c r="T811" i="3" l="1"/>
  <c r="AH811" i="3" s="1"/>
  <c r="U810" i="3"/>
  <c r="Y809" i="3"/>
  <c r="AG811" i="3" l="1"/>
  <c r="D811" i="3"/>
  <c r="E811" i="3"/>
  <c r="H811" i="3" s="1"/>
  <c r="K811" i="3" s="1"/>
  <c r="AE811" i="3" s="1"/>
  <c r="F811" i="3" l="1"/>
  <c r="G811" i="3"/>
  <c r="I811" i="3" s="1"/>
  <c r="V811" i="3"/>
  <c r="A812" i="3"/>
  <c r="B812" i="3" s="1"/>
  <c r="M811" i="3" l="1"/>
  <c r="N811" i="3" s="1"/>
  <c r="J811" i="3"/>
  <c r="L811" i="3" s="1"/>
  <c r="W811" i="3"/>
  <c r="AD812" i="3"/>
  <c r="AA812" i="3"/>
  <c r="Z812" i="3"/>
  <c r="P812" i="3"/>
  <c r="Q812" i="3" s="1"/>
  <c r="R812" i="3" s="1"/>
  <c r="S812" i="3" s="1"/>
  <c r="AC812" i="3"/>
  <c r="T812" i="3" l="1"/>
  <c r="AG812" i="3" s="1"/>
  <c r="U811" i="3"/>
  <c r="Y810" i="3"/>
  <c r="AH812" i="3" l="1"/>
  <c r="D812" i="3"/>
  <c r="G812" i="3" s="1"/>
  <c r="E812" i="3"/>
  <c r="H812" i="3" s="1"/>
  <c r="K812" i="3" s="1"/>
  <c r="AE812" i="3" s="1"/>
  <c r="F812" i="3" l="1"/>
  <c r="I812" i="3"/>
  <c r="J812" i="3"/>
  <c r="M812" i="3"/>
  <c r="N812" i="3" s="1"/>
  <c r="V812" i="3"/>
  <c r="A813" i="3"/>
  <c r="B813" i="3" s="1"/>
  <c r="W812" i="3" l="1"/>
  <c r="AA813" i="3"/>
  <c r="Z813" i="3"/>
  <c r="AC813" i="3"/>
  <c r="AD813" i="3"/>
  <c r="P813" i="3"/>
  <c r="Q813" i="3" s="1"/>
  <c r="R813" i="3" s="1"/>
  <c r="S813" i="3" s="1"/>
  <c r="L812" i="3"/>
  <c r="T813" i="3" l="1"/>
  <c r="AG813" i="3" s="1"/>
  <c r="U812" i="3"/>
  <c r="Y811" i="3"/>
  <c r="AH813" i="3" l="1"/>
  <c r="D813" i="3"/>
  <c r="G813" i="3" s="1"/>
  <c r="E813" i="3"/>
  <c r="H813" i="3" s="1"/>
  <c r="K813" i="3" l="1"/>
  <c r="AE813" i="3" s="1"/>
  <c r="I813" i="3"/>
  <c r="J813" i="3"/>
  <c r="M813" i="3"/>
  <c r="N813" i="3" s="1"/>
  <c r="F813" i="3"/>
  <c r="L813" i="3" l="1"/>
  <c r="V813" i="3"/>
  <c r="W813" i="3" s="1"/>
  <c r="A814" i="3"/>
  <c r="B814" i="3" s="1"/>
  <c r="AA814" i="3" l="1"/>
  <c r="AC814" i="3"/>
  <c r="Z814" i="3"/>
  <c r="P814" i="3"/>
  <c r="Q814" i="3" s="1"/>
  <c r="R814" i="3" s="1"/>
  <c r="S814" i="3" s="1"/>
  <c r="U813" i="3"/>
  <c r="Y812" i="3"/>
  <c r="T814" i="3" l="1"/>
  <c r="AH814" i="3" s="1"/>
  <c r="E814" i="3" l="1"/>
  <c r="H814" i="3" s="1"/>
  <c r="K814" i="3" s="1"/>
  <c r="AE814" i="3" s="1"/>
  <c r="D814" i="3"/>
  <c r="G814" i="3" s="1"/>
  <c r="AG814" i="3"/>
  <c r="F814" i="3" l="1"/>
  <c r="I814" i="3"/>
  <c r="J814" i="3"/>
  <c r="AD814" i="3" s="1"/>
  <c r="M814" i="3"/>
  <c r="N814" i="3" s="1"/>
  <c r="V814" i="3"/>
  <c r="A815" i="3"/>
  <c r="B815" i="3" s="1"/>
  <c r="W814" i="3" l="1"/>
  <c r="Z815" i="3"/>
  <c r="AA815" i="3"/>
  <c r="P815" i="3"/>
  <c r="Q815" i="3" s="1"/>
  <c r="R815" i="3" s="1"/>
  <c r="S815" i="3" s="1"/>
  <c r="AC815" i="3"/>
  <c r="L814" i="3"/>
  <c r="U814" i="3" l="1"/>
  <c r="Y813" i="3"/>
  <c r="T815" i="3"/>
  <c r="D815" i="3" l="1"/>
  <c r="G815" i="3" s="1"/>
  <c r="AG815" i="3"/>
  <c r="E815" i="3"/>
  <c r="H815" i="3" s="1"/>
  <c r="K815" i="3" s="1"/>
  <c r="AE815" i="3" s="1"/>
  <c r="AH815" i="3"/>
  <c r="F815" i="3" l="1"/>
  <c r="V815" i="3"/>
  <c r="A816" i="3"/>
  <c r="B816" i="3" s="1"/>
  <c r="I815" i="3"/>
  <c r="J815" i="3"/>
  <c r="AD815" i="3" s="1"/>
  <c r="M815" i="3"/>
  <c r="N815" i="3" s="1"/>
  <c r="L815" i="3" l="1"/>
  <c r="W815" i="3"/>
  <c r="P816" i="3"/>
  <c r="Q816" i="3" s="1"/>
  <c r="R816" i="3" s="1"/>
  <c r="S816" i="3" s="1"/>
  <c r="Z816" i="3"/>
  <c r="AA816" i="3"/>
  <c r="AC816" i="3"/>
  <c r="T816" i="3" l="1"/>
  <c r="AG816" i="3" s="1"/>
  <c r="U815" i="3"/>
  <c r="Y814" i="3"/>
  <c r="E816" i="3" l="1"/>
  <c r="H816" i="3" s="1"/>
  <c r="K816" i="3" s="1"/>
  <c r="AE816" i="3" s="1"/>
  <c r="D816" i="3"/>
  <c r="AH816" i="3"/>
  <c r="F816" i="3" l="1"/>
  <c r="G816" i="3"/>
  <c r="J816" i="3" s="1"/>
  <c r="AD816" i="3" s="1"/>
  <c r="V816" i="3"/>
  <c r="A817" i="3"/>
  <c r="B817" i="3" s="1"/>
  <c r="I816" i="3" l="1"/>
  <c r="W816" i="3" s="1"/>
  <c r="M816" i="3"/>
  <c r="N816" i="3" s="1"/>
  <c r="AA817" i="3"/>
  <c r="AC817" i="3"/>
  <c r="P817" i="3"/>
  <c r="Q817" i="3" s="1"/>
  <c r="R817" i="3" s="1"/>
  <c r="S817" i="3" s="1"/>
  <c r="Z817" i="3"/>
  <c r="L816" i="3"/>
  <c r="T817" i="3" l="1"/>
  <c r="AG817" i="3" s="1"/>
  <c r="U816" i="3"/>
  <c r="Y815" i="3"/>
  <c r="AH817" i="3" l="1"/>
  <c r="D817" i="3"/>
  <c r="G817" i="3" s="1"/>
  <c r="E817" i="3"/>
  <c r="H817" i="3" s="1"/>
  <c r="K817" i="3" s="1"/>
  <c r="AE817" i="3" s="1"/>
  <c r="F817" i="3" l="1"/>
  <c r="V817" i="3"/>
  <c r="A818" i="3"/>
  <c r="B818" i="3" s="1"/>
  <c r="I817" i="3"/>
  <c r="J817" i="3"/>
  <c r="AD817" i="3" s="1"/>
  <c r="M817" i="3"/>
  <c r="N817" i="3" s="1"/>
  <c r="L817" i="3" l="1"/>
  <c r="Z818" i="3"/>
  <c r="AA818" i="3"/>
  <c r="AC818" i="3"/>
  <c r="P818" i="3"/>
  <c r="Q818" i="3" s="1"/>
  <c r="R818" i="3" s="1"/>
  <c r="S818" i="3" s="1"/>
  <c r="W817" i="3"/>
  <c r="T818" i="3" l="1"/>
  <c r="AG818" i="3" s="1"/>
  <c r="U817" i="3"/>
  <c r="Y816" i="3"/>
  <c r="E818" i="3" l="1"/>
  <c r="H818" i="3" s="1"/>
  <c r="K818" i="3" s="1"/>
  <c r="AE818" i="3" s="1"/>
  <c r="AH818" i="3"/>
  <c r="D818" i="3"/>
  <c r="F818" i="3" l="1"/>
  <c r="G818" i="3"/>
  <c r="J818" i="3" s="1"/>
  <c r="AD818" i="3" s="1"/>
  <c r="V818" i="3"/>
  <c r="A819" i="3"/>
  <c r="B819" i="3" s="1"/>
  <c r="I818" i="3" l="1"/>
  <c r="W818" i="3" s="1"/>
  <c r="M818" i="3"/>
  <c r="N818" i="3" s="1"/>
  <c r="L818" i="3"/>
  <c r="Z819" i="3"/>
  <c r="AA819" i="3"/>
  <c r="P819" i="3"/>
  <c r="Q819" i="3" s="1"/>
  <c r="R819" i="3" s="1"/>
  <c r="S819" i="3" s="1"/>
  <c r="AC819" i="3"/>
  <c r="U818" i="3" l="1"/>
  <c r="Y817" i="3"/>
  <c r="T819" i="3"/>
  <c r="D819" i="3" l="1"/>
  <c r="G819" i="3" s="1"/>
  <c r="E819" i="3"/>
  <c r="H819" i="3" s="1"/>
  <c r="AG819" i="3"/>
  <c r="AH819" i="3"/>
  <c r="K819" i="3" l="1"/>
  <c r="AE819" i="3" s="1"/>
  <c r="I819" i="3"/>
  <c r="J819" i="3"/>
  <c r="AD819" i="3" s="1"/>
  <c r="M819" i="3"/>
  <c r="N819" i="3" s="1"/>
  <c r="F819" i="3"/>
  <c r="L819" i="3" l="1"/>
  <c r="V819" i="3"/>
  <c r="W819" i="3" s="1"/>
  <c r="A820" i="3"/>
  <c r="B820" i="3" s="1"/>
  <c r="Z820" i="3" l="1"/>
  <c r="AA820" i="3"/>
  <c r="AC820" i="3"/>
  <c r="P820" i="3"/>
  <c r="Q820" i="3" s="1"/>
  <c r="R820" i="3" s="1"/>
  <c r="S820" i="3" s="1"/>
  <c r="U819" i="3"/>
  <c r="Y818" i="3"/>
  <c r="T820" i="3" l="1"/>
  <c r="AG820" i="3" s="1"/>
  <c r="D820" i="3" l="1"/>
  <c r="G820" i="3" s="1"/>
  <c r="E820" i="3"/>
  <c r="H820" i="3" s="1"/>
  <c r="K820" i="3" s="1"/>
  <c r="AE820" i="3" s="1"/>
  <c r="AH820" i="3"/>
  <c r="F820" i="3" l="1"/>
  <c r="I820" i="3"/>
  <c r="J820" i="3"/>
  <c r="AD820" i="3" s="1"/>
  <c r="M820" i="3"/>
  <c r="N820" i="3" s="1"/>
  <c r="V820" i="3"/>
  <c r="W820" i="3" s="1"/>
  <c r="A821" i="3"/>
  <c r="B821" i="3" s="1"/>
  <c r="L820" i="3" l="1"/>
  <c r="P821" i="3"/>
  <c r="Q821" i="3" s="1"/>
  <c r="R821" i="3" s="1"/>
  <c r="S821" i="3" s="1"/>
  <c r="AA821" i="3"/>
  <c r="AC821" i="3"/>
  <c r="Z821" i="3"/>
  <c r="T821" i="3" l="1"/>
  <c r="AH821" i="3" s="1"/>
  <c r="U820" i="3"/>
  <c r="Y819" i="3"/>
  <c r="D821" i="3" l="1"/>
  <c r="G821" i="3" s="1"/>
  <c r="AG821" i="3"/>
  <c r="E821" i="3"/>
  <c r="H821" i="3" s="1"/>
  <c r="K821" i="3" l="1"/>
  <c r="AE821" i="3" s="1"/>
  <c r="I821" i="3"/>
  <c r="J821" i="3"/>
  <c r="AD821" i="3" s="1"/>
  <c r="M821" i="3"/>
  <c r="N821" i="3" s="1"/>
  <c r="F821" i="3"/>
  <c r="L821" i="3" l="1"/>
  <c r="V821" i="3"/>
  <c r="W821" i="3" s="1"/>
  <c r="A822" i="3"/>
  <c r="B822" i="3" s="1"/>
  <c r="P822" i="3" l="1"/>
  <c r="Q822" i="3" s="1"/>
  <c r="R822" i="3" s="1"/>
  <c r="S822" i="3" s="1"/>
  <c r="AA822" i="3"/>
  <c r="Z822" i="3"/>
  <c r="AC822" i="3"/>
  <c r="U821" i="3"/>
  <c r="Y820" i="3"/>
  <c r="T822" i="3" l="1"/>
  <c r="AH822" i="3" s="1"/>
  <c r="AG822" i="3" l="1"/>
  <c r="D822" i="3"/>
  <c r="E822" i="3"/>
  <c r="H822" i="3" s="1"/>
  <c r="K822" i="3" l="1"/>
  <c r="AE822" i="3" s="1"/>
  <c r="F822" i="3"/>
  <c r="G822" i="3"/>
  <c r="I822" i="3" l="1"/>
  <c r="J822" i="3"/>
  <c r="AD822" i="3" s="1"/>
  <c r="M822" i="3"/>
  <c r="N822" i="3" s="1"/>
  <c r="V822" i="3"/>
  <c r="A823" i="3"/>
  <c r="B823" i="3" s="1"/>
  <c r="W822" i="3" l="1"/>
  <c r="AA823" i="3"/>
  <c r="Z823" i="3"/>
  <c r="P823" i="3"/>
  <c r="Q823" i="3" s="1"/>
  <c r="R823" i="3" s="1"/>
  <c r="S823" i="3" s="1"/>
  <c r="AC823" i="3"/>
  <c r="L822" i="3"/>
  <c r="T823" i="3" l="1"/>
  <c r="AH823" i="3" s="1"/>
  <c r="U822" i="3"/>
  <c r="Y821" i="3"/>
  <c r="AG823" i="3" l="1"/>
  <c r="E823" i="3"/>
  <c r="H823" i="3" s="1"/>
  <c r="K823" i="3" s="1"/>
  <c r="AE823" i="3" s="1"/>
  <c r="D823" i="3"/>
  <c r="F823" i="3" l="1"/>
  <c r="G823" i="3"/>
  <c r="I823" i="3" s="1"/>
  <c r="V823" i="3"/>
  <c r="A824" i="3"/>
  <c r="B824" i="3" s="1"/>
  <c r="J823" i="3" l="1"/>
  <c r="AD823" i="3" s="1"/>
  <c r="M823" i="3"/>
  <c r="N823" i="3" s="1"/>
  <c r="P824" i="3"/>
  <c r="Q824" i="3" s="1"/>
  <c r="R824" i="3" s="1"/>
  <c r="S824" i="3" s="1"/>
  <c r="AA824" i="3"/>
  <c r="Z824" i="3"/>
  <c r="AC824" i="3"/>
  <c r="W823" i="3"/>
  <c r="L823" i="3" l="1"/>
  <c r="U823" i="3" s="1"/>
  <c r="T824" i="3"/>
  <c r="Y822" i="3" l="1"/>
  <c r="D824" i="3"/>
  <c r="G824" i="3" s="1"/>
  <c r="AH824" i="3"/>
  <c r="E824" i="3"/>
  <c r="H824" i="3" s="1"/>
  <c r="AG824" i="3"/>
  <c r="K824" i="3" l="1"/>
  <c r="AE824" i="3" s="1"/>
  <c r="I824" i="3"/>
  <c r="J824" i="3"/>
  <c r="AD824" i="3" s="1"/>
  <c r="M824" i="3"/>
  <c r="N824" i="3" s="1"/>
  <c r="F824" i="3"/>
  <c r="L824" i="3" l="1"/>
  <c r="V824" i="3"/>
  <c r="W824" i="3" s="1"/>
  <c r="A825" i="3"/>
  <c r="B825" i="3" s="1"/>
  <c r="Z825" i="3" l="1"/>
  <c r="AA825" i="3"/>
  <c r="AD825" i="3"/>
  <c r="P825" i="3"/>
  <c r="Q825" i="3" s="1"/>
  <c r="R825" i="3" s="1"/>
  <c r="S825" i="3" s="1"/>
  <c r="AC825" i="3"/>
  <c r="U824" i="3"/>
  <c r="Y823" i="3"/>
  <c r="T825" i="3" l="1"/>
  <c r="E825" i="3" s="1"/>
  <c r="H825" i="3" s="1"/>
  <c r="D825" i="3" l="1"/>
  <c r="G825" i="3" s="1"/>
  <c r="AH825" i="3"/>
  <c r="AG825" i="3"/>
  <c r="K825" i="3"/>
  <c r="AE825" i="3" s="1"/>
  <c r="F825" i="3" l="1"/>
  <c r="V825" i="3"/>
  <c r="A826" i="3"/>
  <c r="B826" i="3" s="1"/>
  <c r="I825" i="3"/>
  <c r="J825" i="3"/>
  <c r="M825" i="3"/>
  <c r="N825" i="3" s="1"/>
  <c r="L825" i="3" l="1"/>
  <c r="AC826" i="3"/>
  <c r="P826" i="3"/>
  <c r="Q826" i="3" s="1"/>
  <c r="R826" i="3" s="1"/>
  <c r="S826" i="3" s="1"/>
  <c r="AD826" i="3"/>
  <c r="AA826" i="3"/>
  <c r="Z826" i="3"/>
  <c r="W825" i="3"/>
  <c r="T826" i="3" l="1"/>
  <c r="AH826" i="3" s="1"/>
  <c r="U825" i="3"/>
  <c r="Y824" i="3"/>
  <c r="D826" i="3" l="1"/>
  <c r="G826" i="3" s="1"/>
  <c r="AG826" i="3"/>
  <c r="E826" i="3"/>
  <c r="H826" i="3" s="1"/>
  <c r="K826" i="3" s="1"/>
  <c r="AE826" i="3" s="1"/>
  <c r="F826" i="3" l="1"/>
  <c r="I826" i="3"/>
  <c r="J826" i="3"/>
  <c r="M826" i="3"/>
  <c r="N826" i="3" s="1"/>
  <c r="V826" i="3"/>
  <c r="A827" i="3"/>
  <c r="B827" i="3" s="1"/>
  <c r="W826" i="3" l="1"/>
  <c r="Z827" i="3"/>
  <c r="AC827" i="3"/>
  <c r="AA827" i="3"/>
  <c r="AD827" i="3"/>
  <c r="P827" i="3"/>
  <c r="Q827" i="3" s="1"/>
  <c r="R827" i="3" s="1"/>
  <c r="S827" i="3" s="1"/>
  <c r="L826" i="3"/>
  <c r="T827" i="3" l="1"/>
  <c r="AH827" i="3" s="1"/>
  <c r="U826" i="3"/>
  <c r="Y825" i="3"/>
  <c r="E827" i="3" l="1"/>
  <c r="H827" i="3" s="1"/>
  <c r="K827" i="3" s="1"/>
  <c r="AE827" i="3" s="1"/>
  <c r="AG827" i="3"/>
  <c r="D827" i="3"/>
  <c r="G827" i="3" s="1"/>
  <c r="F827" i="3" l="1"/>
  <c r="I827" i="3"/>
  <c r="J827" i="3"/>
  <c r="M827" i="3"/>
  <c r="N827" i="3" s="1"/>
  <c r="V827" i="3"/>
  <c r="A828" i="3"/>
  <c r="B828" i="3" s="1"/>
  <c r="W827" i="3" l="1"/>
  <c r="AC828" i="3"/>
  <c r="Z828" i="3"/>
  <c r="AD828" i="3"/>
  <c r="P828" i="3"/>
  <c r="Q828" i="3" s="1"/>
  <c r="R828" i="3" s="1"/>
  <c r="S828" i="3" s="1"/>
  <c r="AA828" i="3"/>
  <c r="L827" i="3"/>
  <c r="T828" i="3" l="1"/>
  <c r="AH828" i="3" s="1"/>
  <c r="U827" i="3"/>
  <c r="Y826" i="3"/>
  <c r="AG828" i="3" l="1"/>
  <c r="E828" i="3"/>
  <c r="H828" i="3" s="1"/>
  <c r="K828" i="3" s="1"/>
  <c r="AE828" i="3" s="1"/>
  <c r="D828" i="3"/>
  <c r="F828" i="3" l="1"/>
  <c r="G828" i="3"/>
  <c r="M828" i="3" s="1"/>
  <c r="N828" i="3" s="1"/>
  <c r="V828" i="3"/>
  <c r="A829" i="3"/>
  <c r="B829" i="3" s="1"/>
  <c r="J828" i="3" l="1"/>
  <c r="L828" i="3" s="1"/>
  <c r="I828" i="3"/>
  <c r="W828" i="3" s="1"/>
  <c r="AD829" i="3"/>
  <c r="P829" i="3"/>
  <c r="Q829" i="3" s="1"/>
  <c r="R829" i="3" s="1"/>
  <c r="S829" i="3" s="1"/>
  <c r="AA829" i="3"/>
  <c r="Z829" i="3"/>
  <c r="AC829" i="3"/>
  <c r="U828" i="3" l="1"/>
  <c r="Y827" i="3"/>
  <c r="T829" i="3"/>
  <c r="AH829" i="3" s="1"/>
  <c r="D829" i="3" l="1"/>
  <c r="E829" i="3"/>
  <c r="H829" i="3" s="1"/>
  <c r="AG829" i="3"/>
  <c r="K829" i="3" l="1"/>
  <c r="AE829" i="3" s="1"/>
  <c r="F829" i="3"/>
  <c r="G829" i="3"/>
  <c r="I829" i="3" l="1"/>
  <c r="J829" i="3"/>
  <c r="M829" i="3"/>
  <c r="N829" i="3" s="1"/>
  <c r="V829" i="3"/>
  <c r="A830" i="3"/>
  <c r="B830" i="3" s="1"/>
  <c r="W829" i="3" l="1"/>
  <c r="AC830" i="3"/>
  <c r="AA830" i="3"/>
  <c r="Z830" i="3"/>
  <c r="P830" i="3"/>
  <c r="Q830" i="3" s="1"/>
  <c r="R830" i="3" s="1"/>
  <c r="S830" i="3" s="1"/>
  <c r="AD830" i="3"/>
  <c r="L829" i="3"/>
  <c r="T830" i="3" l="1"/>
  <c r="AG830" i="3" s="1"/>
  <c r="U829" i="3"/>
  <c r="Y828" i="3"/>
  <c r="D830" i="3" l="1"/>
  <c r="G830" i="3" s="1"/>
  <c r="AH830" i="3"/>
  <c r="E830" i="3"/>
  <c r="H830" i="3" s="1"/>
  <c r="K830" i="3" s="1"/>
  <c r="AE830" i="3" s="1"/>
  <c r="F830" i="3" l="1"/>
  <c r="V830" i="3"/>
  <c r="A831" i="3"/>
  <c r="B831" i="3" s="1"/>
  <c r="I830" i="3"/>
  <c r="J830" i="3"/>
  <c r="M830" i="3"/>
  <c r="N830" i="3" s="1"/>
  <c r="P831" i="3" l="1"/>
  <c r="Q831" i="3" s="1"/>
  <c r="R831" i="3" s="1"/>
  <c r="S831" i="3" s="1"/>
  <c r="AA831" i="3"/>
  <c r="AD831" i="3"/>
  <c r="AC831" i="3"/>
  <c r="Z831" i="3"/>
  <c r="L830" i="3"/>
  <c r="W830" i="3"/>
  <c r="U830" i="3" l="1"/>
  <c r="Y829" i="3"/>
  <c r="T831" i="3"/>
  <c r="AH831" i="3" s="1"/>
  <c r="E831" i="3" l="1"/>
  <c r="H831" i="3" s="1"/>
  <c r="K831" i="3" s="1"/>
  <c r="AE831" i="3" s="1"/>
  <c r="AG831" i="3"/>
  <c r="D831" i="3"/>
  <c r="F831" i="3" l="1"/>
  <c r="G831" i="3"/>
  <c r="V831" i="3"/>
  <c r="A832" i="3"/>
  <c r="B832" i="3" s="1"/>
  <c r="P832" i="3" l="1"/>
  <c r="Q832" i="3" s="1"/>
  <c r="R832" i="3" s="1"/>
  <c r="S832" i="3" s="1"/>
  <c r="AC832" i="3"/>
  <c r="AD832" i="3"/>
  <c r="Z832" i="3"/>
  <c r="AA832" i="3"/>
  <c r="I831" i="3"/>
  <c r="W831" i="3" s="1"/>
  <c r="J831" i="3"/>
  <c r="M831" i="3"/>
  <c r="N831" i="3" s="1"/>
  <c r="L831" i="3" l="1"/>
  <c r="T832" i="3"/>
  <c r="AH832" i="3" l="1"/>
  <c r="U831" i="3"/>
  <c r="E832" i="3" s="1"/>
  <c r="H832" i="3" s="1"/>
  <c r="AG832" i="3"/>
  <c r="Y830" i="3"/>
  <c r="K832" i="3" l="1"/>
  <c r="AE832" i="3" s="1"/>
  <c r="D832" i="3"/>
  <c r="F832" i="3" l="1"/>
  <c r="G832" i="3"/>
  <c r="V832" i="3"/>
  <c r="A833" i="3"/>
  <c r="B833" i="3" s="1"/>
  <c r="AD833" i="3" l="1"/>
  <c r="AC833" i="3"/>
  <c r="P833" i="3"/>
  <c r="Q833" i="3" s="1"/>
  <c r="R833" i="3" s="1"/>
  <c r="S833" i="3" s="1"/>
  <c r="Z833" i="3"/>
  <c r="AA833" i="3"/>
  <c r="I832" i="3"/>
  <c r="W832" i="3" s="1"/>
  <c r="J832" i="3"/>
  <c r="M832" i="3"/>
  <c r="N832" i="3" s="1"/>
  <c r="T833" i="3" l="1"/>
  <c r="L832" i="3"/>
  <c r="AH833" i="3" l="1"/>
  <c r="AG833" i="3"/>
  <c r="U832" i="3"/>
  <c r="E833" i="3" s="1"/>
  <c r="H833" i="3" s="1"/>
  <c r="Y831" i="3"/>
  <c r="D833" i="3" l="1"/>
  <c r="F833" i="3" s="1"/>
  <c r="K833" i="3"/>
  <c r="AE833" i="3" s="1"/>
  <c r="G833" i="3" l="1"/>
  <c r="I833" i="3" s="1"/>
  <c r="V833" i="3"/>
  <c r="A834" i="3"/>
  <c r="B834" i="3" s="1"/>
  <c r="M833" i="3" l="1"/>
  <c r="N833" i="3" s="1"/>
  <c r="J833" i="3"/>
  <c r="L833" i="3" s="1"/>
  <c r="W833" i="3"/>
  <c r="AA834" i="3"/>
  <c r="P834" i="3"/>
  <c r="Q834" i="3" s="1"/>
  <c r="R834" i="3" s="1"/>
  <c r="S834" i="3" s="1"/>
  <c r="Z834" i="3"/>
  <c r="AC834" i="3"/>
  <c r="U833" i="3" l="1"/>
  <c r="Y832" i="3"/>
  <c r="T834" i="3"/>
  <c r="AG834" i="3" s="1"/>
  <c r="E834" i="3" l="1"/>
  <c r="H834" i="3" s="1"/>
  <c r="K834" i="3" s="1"/>
  <c r="AE834" i="3" s="1"/>
  <c r="AH834" i="3"/>
  <c r="D834" i="3"/>
  <c r="F834" i="3" l="1"/>
  <c r="G834" i="3"/>
  <c r="I834" i="3" s="1"/>
  <c r="V834" i="3"/>
  <c r="A835" i="3"/>
  <c r="B835" i="3" s="1"/>
  <c r="M834" i="3" l="1"/>
  <c r="N834" i="3" s="1"/>
  <c r="W834" i="3"/>
  <c r="J834" i="3"/>
  <c r="AD834" i="3" s="1"/>
  <c r="AC835" i="3"/>
  <c r="Z835" i="3"/>
  <c r="AA835" i="3"/>
  <c r="P835" i="3"/>
  <c r="Q835" i="3" s="1"/>
  <c r="R835" i="3" s="1"/>
  <c r="S835" i="3" s="1"/>
  <c r="L834" i="3" l="1"/>
  <c r="U834" i="3" s="1"/>
  <c r="T835" i="3"/>
  <c r="Y833" i="3" l="1"/>
  <c r="AG835" i="3"/>
  <c r="AH835" i="3"/>
  <c r="D835" i="3"/>
  <c r="G835" i="3" s="1"/>
  <c r="E835" i="3"/>
  <c r="H835" i="3" s="1"/>
  <c r="K835" i="3" s="1"/>
  <c r="AE835" i="3" s="1"/>
  <c r="F835" i="3" l="1"/>
  <c r="I835" i="3"/>
  <c r="J835" i="3"/>
  <c r="AD835" i="3" s="1"/>
  <c r="M835" i="3"/>
  <c r="N835" i="3" s="1"/>
  <c r="V835" i="3"/>
  <c r="W835" i="3" s="1"/>
  <c r="A836" i="3"/>
  <c r="B836" i="3" s="1"/>
  <c r="AA836" i="3" l="1"/>
  <c r="Z836" i="3"/>
  <c r="AC836" i="3"/>
  <c r="P836" i="3"/>
  <c r="Q836" i="3" s="1"/>
  <c r="R836" i="3" s="1"/>
  <c r="S836" i="3" s="1"/>
  <c r="L835" i="3"/>
  <c r="T836" i="3" l="1"/>
  <c r="AH836" i="3" s="1"/>
  <c r="U835" i="3"/>
  <c r="Y834" i="3"/>
  <c r="E836" i="3" l="1"/>
  <c r="H836" i="3" s="1"/>
  <c r="K836" i="3" s="1"/>
  <c r="AE836" i="3" s="1"/>
  <c r="AG836" i="3"/>
  <c r="D836" i="3"/>
  <c r="F836" i="3" l="1"/>
  <c r="G836" i="3"/>
  <c r="I836" i="3" s="1"/>
  <c r="V836" i="3"/>
  <c r="A837" i="3"/>
  <c r="B837" i="3" s="1"/>
  <c r="M836" i="3" l="1"/>
  <c r="N836" i="3" s="1"/>
  <c r="J836" i="3"/>
  <c r="W836" i="3"/>
  <c r="P837" i="3"/>
  <c r="Q837" i="3" s="1"/>
  <c r="R837" i="3" s="1"/>
  <c r="S837" i="3" s="1"/>
  <c r="Z837" i="3"/>
  <c r="AA837" i="3"/>
  <c r="AC837" i="3"/>
  <c r="L836" i="3" l="1"/>
  <c r="Y835" i="3" s="1"/>
  <c r="AD836" i="3"/>
  <c r="T837" i="3"/>
  <c r="U836" i="3" l="1"/>
  <c r="E837" i="3" s="1"/>
  <c r="H837" i="3" s="1"/>
  <c r="K837" i="3" s="1"/>
  <c r="AE837" i="3" s="1"/>
  <c r="AG837" i="3"/>
  <c r="AH837" i="3"/>
  <c r="D837" i="3" l="1"/>
  <c r="F837" i="3" s="1"/>
  <c r="V837" i="3"/>
  <c r="A838" i="3"/>
  <c r="B838" i="3" s="1"/>
  <c r="G837" i="3" l="1"/>
  <c r="M837" i="3" s="1"/>
  <c r="N837" i="3" s="1"/>
  <c r="Z838" i="3"/>
  <c r="P838" i="3"/>
  <c r="Q838" i="3" s="1"/>
  <c r="R838" i="3" s="1"/>
  <c r="S838" i="3" s="1"/>
  <c r="AC838" i="3"/>
  <c r="AA838" i="3"/>
  <c r="J837" i="3" l="1"/>
  <c r="AD837" i="3" s="1"/>
  <c r="I837" i="3"/>
  <c r="W837" i="3" s="1"/>
  <c r="T838" i="3"/>
  <c r="L837" i="3" l="1"/>
  <c r="AH838" i="3" s="1"/>
  <c r="Y836" i="3" l="1"/>
  <c r="AG838" i="3"/>
  <c r="U837" i="3"/>
  <c r="E838" i="3" s="1"/>
  <c r="H838" i="3" s="1"/>
  <c r="K838" i="3" s="1"/>
  <c r="AE838" i="3" s="1"/>
  <c r="D838" i="3" l="1"/>
  <c r="F838" i="3" s="1"/>
  <c r="V838" i="3"/>
  <c r="A839" i="3"/>
  <c r="B839" i="3" s="1"/>
  <c r="G838" i="3" l="1"/>
  <c r="I838" i="3" s="1"/>
  <c r="W838" i="3" s="1"/>
  <c r="P839" i="3"/>
  <c r="Q839" i="3" s="1"/>
  <c r="R839" i="3" s="1"/>
  <c r="S839" i="3" s="1"/>
  <c r="AA839" i="3"/>
  <c r="Z839" i="3"/>
  <c r="AC839" i="3"/>
  <c r="J838" i="3" l="1"/>
  <c r="M838" i="3"/>
  <c r="N838" i="3" s="1"/>
  <c r="L838" i="3"/>
  <c r="U838" i="3" s="1"/>
  <c r="AD838" i="3"/>
  <c r="T839" i="3"/>
  <c r="Y837" i="3" l="1"/>
  <c r="D839" i="3"/>
  <c r="G839" i="3" s="1"/>
  <c r="AG839" i="3"/>
  <c r="E839" i="3"/>
  <c r="H839" i="3" s="1"/>
  <c r="K839" i="3" s="1"/>
  <c r="AE839" i="3" s="1"/>
  <c r="AH839" i="3"/>
  <c r="F839" i="3" l="1"/>
  <c r="V839" i="3"/>
  <c r="A840" i="3"/>
  <c r="B840" i="3" s="1"/>
  <c r="I839" i="3"/>
  <c r="J839" i="3"/>
  <c r="AD839" i="3" s="1"/>
  <c r="M839" i="3"/>
  <c r="N839" i="3" s="1"/>
  <c r="L839" i="3" l="1"/>
  <c r="Z840" i="3"/>
  <c r="P840" i="3"/>
  <c r="Q840" i="3" s="1"/>
  <c r="R840" i="3" s="1"/>
  <c r="S840" i="3" s="1"/>
  <c r="AC840" i="3"/>
  <c r="AA840" i="3"/>
  <c r="W839" i="3"/>
  <c r="T840" i="3" l="1"/>
  <c r="AG840" i="3" s="1"/>
  <c r="U839" i="3"/>
  <c r="Y838" i="3"/>
  <c r="E840" i="3" l="1"/>
  <c r="H840" i="3" s="1"/>
  <c r="K840" i="3" s="1"/>
  <c r="AE840" i="3" s="1"/>
  <c r="AH840" i="3"/>
  <c r="D840" i="3"/>
  <c r="F840" i="3" l="1"/>
  <c r="G840" i="3"/>
  <c r="I840" i="3" s="1"/>
  <c r="V840" i="3"/>
  <c r="A841" i="3"/>
  <c r="B841" i="3" s="1"/>
  <c r="M840" i="3" l="1"/>
  <c r="N840" i="3" s="1"/>
  <c r="J840" i="3"/>
  <c r="AD840" i="3" s="1"/>
  <c r="P841" i="3"/>
  <c r="Q841" i="3" s="1"/>
  <c r="R841" i="3" s="1"/>
  <c r="S841" i="3" s="1"/>
  <c r="Z841" i="3"/>
  <c r="AC841" i="3"/>
  <c r="AA841" i="3"/>
  <c r="W840" i="3"/>
  <c r="L840" i="3" l="1"/>
  <c r="U840" i="3" s="1"/>
  <c r="T841" i="3"/>
  <c r="Y839" i="3" l="1"/>
  <c r="AG841" i="3"/>
  <c r="AH841" i="3"/>
  <c r="E841" i="3"/>
  <c r="H841" i="3" s="1"/>
  <c r="K841" i="3" s="1"/>
  <c r="AE841" i="3" s="1"/>
  <c r="D841" i="3"/>
  <c r="G841" i="3" s="1"/>
  <c r="F841" i="3" l="1"/>
  <c r="V841" i="3"/>
  <c r="A842" i="3"/>
  <c r="B842" i="3" s="1"/>
  <c r="I841" i="3"/>
  <c r="J841" i="3"/>
  <c r="AD841" i="3" s="1"/>
  <c r="M841" i="3"/>
  <c r="N841" i="3" s="1"/>
  <c r="L841" i="3" l="1"/>
  <c r="AA842" i="3"/>
  <c r="P842" i="3"/>
  <c r="Q842" i="3" s="1"/>
  <c r="R842" i="3" s="1"/>
  <c r="S842" i="3" s="1"/>
  <c r="Z842" i="3"/>
  <c r="AC842" i="3"/>
  <c r="W841" i="3"/>
  <c r="T842" i="3" l="1"/>
  <c r="AG842" i="3" s="1"/>
  <c r="U841" i="3"/>
  <c r="Y840" i="3"/>
  <c r="D842" i="3" l="1"/>
  <c r="G842" i="3" s="1"/>
  <c r="AH842" i="3"/>
  <c r="E842" i="3"/>
  <c r="H842" i="3" s="1"/>
  <c r="K842" i="3" s="1"/>
  <c r="AE842" i="3" s="1"/>
  <c r="F842" i="3" l="1"/>
  <c r="V842" i="3"/>
  <c r="A843" i="3"/>
  <c r="B843" i="3" s="1"/>
  <c r="I842" i="3"/>
  <c r="J842" i="3"/>
  <c r="AD842" i="3" s="1"/>
  <c r="M842" i="3"/>
  <c r="N842" i="3" s="1"/>
  <c r="L842" i="3" l="1"/>
  <c r="W842" i="3"/>
  <c r="AA843" i="3"/>
  <c r="AC843" i="3"/>
  <c r="Z843" i="3"/>
  <c r="P843" i="3"/>
  <c r="Q843" i="3" s="1"/>
  <c r="R843" i="3" s="1"/>
  <c r="S843" i="3" s="1"/>
  <c r="T843" i="3" l="1"/>
  <c r="AH843" i="3" s="1"/>
  <c r="U842" i="3"/>
  <c r="Y841" i="3"/>
  <c r="D843" i="3" l="1"/>
  <c r="G843" i="3" s="1"/>
  <c r="AG843" i="3"/>
  <c r="E843" i="3"/>
  <c r="H843" i="3" s="1"/>
  <c r="K843" i="3" l="1"/>
  <c r="AE843" i="3" s="1"/>
  <c r="I843" i="3"/>
  <c r="J843" i="3"/>
  <c r="AD843" i="3" s="1"/>
  <c r="M843" i="3"/>
  <c r="N843" i="3" s="1"/>
  <c r="F843" i="3"/>
  <c r="L843" i="3" l="1"/>
  <c r="V843" i="3"/>
  <c r="W843" i="3" s="1"/>
  <c r="A844" i="3"/>
  <c r="B844" i="3" s="1"/>
  <c r="P844" i="3" l="1"/>
  <c r="Q844" i="3" s="1"/>
  <c r="R844" i="3" s="1"/>
  <c r="S844" i="3" s="1"/>
  <c r="Z844" i="3"/>
  <c r="AA844" i="3"/>
  <c r="AC844" i="3"/>
  <c r="U843" i="3"/>
  <c r="Y842" i="3"/>
  <c r="T844" i="3" l="1"/>
  <c r="E844" i="3" l="1"/>
  <c r="H844" i="3" s="1"/>
  <c r="AH844" i="3"/>
  <c r="AG844" i="3"/>
  <c r="D844" i="3"/>
  <c r="F844" i="3" l="1"/>
  <c r="G844" i="3"/>
  <c r="K844" i="3"/>
  <c r="AE844" i="3" s="1"/>
  <c r="V844" i="3" l="1"/>
  <c r="A845" i="3"/>
  <c r="B845" i="3" s="1"/>
  <c r="I844" i="3"/>
  <c r="J844" i="3"/>
  <c r="AD844" i="3" s="1"/>
  <c r="M844" i="3"/>
  <c r="N844" i="3" s="1"/>
  <c r="L844" i="3" l="1"/>
  <c r="AA845" i="3"/>
  <c r="Z845" i="3"/>
  <c r="P845" i="3"/>
  <c r="Q845" i="3" s="1"/>
  <c r="R845" i="3" s="1"/>
  <c r="S845" i="3" s="1"/>
  <c r="AC845" i="3"/>
  <c r="W844" i="3"/>
  <c r="T845" i="3" l="1"/>
  <c r="AG845" i="3" s="1"/>
  <c r="U844" i="3"/>
  <c r="Y843" i="3"/>
  <c r="D845" i="3" l="1"/>
  <c r="G845" i="3" s="1"/>
  <c r="E845" i="3"/>
  <c r="H845" i="3" s="1"/>
  <c r="K845" i="3" s="1"/>
  <c r="AE845" i="3" s="1"/>
  <c r="AH845" i="3"/>
  <c r="F845" i="3" l="1"/>
  <c r="I845" i="3"/>
  <c r="J845" i="3"/>
  <c r="AD845" i="3" s="1"/>
  <c r="M845" i="3"/>
  <c r="N845" i="3" s="1"/>
  <c r="V845" i="3"/>
  <c r="W845" i="3" s="1"/>
  <c r="A846" i="3"/>
  <c r="B846" i="3" s="1"/>
  <c r="AC846" i="3" l="1"/>
  <c r="AA846" i="3"/>
  <c r="P846" i="3"/>
  <c r="Q846" i="3" s="1"/>
  <c r="R846" i="3" s="1"/>
  <c r="S846" i="3" s="1"/>
  <c r="Z846" i="3"/>
  <c r="L845" i="3"/>
  <c r="T846" i="3" l="1"/>
  <c r="AG846" i="3" s="1"/>
  <c r="U845" i="3"/>
  <c r="Y844" i="3"/>
  <c r="AH846" i="3" l="1"/>
  <c r="E846" i="3"/>
  <c r="H846" i="3" s="1"/>
  <c r="K846" i="3" s="1"/>
  <c r="AE846" i="3" s="1"/>
  <c r="D846" i="3"/>
  <c r="F846" i="3" l="1"/>
  <c r="G846" i="3"/>
  <c r="I846" i="3" s="1"/>
  <c r="V846" i="3"/>
  <c r="A847" i="3"/>
  <c r="B847" i="3" s="1"/>
  <c r="M846" i="3" l="1"/>
  <c r="N846" i="3" s="1"/>
  <c r="J846" i="3"/>
  <c r="P847" i="3"/>
  <c r="Q847" i="3" s="1"/>
  <c r="R847" i="3" s="1"/>
  <c r="S847" i="3" s="1"/>
  <c r="Z847" i="3"/>
  <c r="AC847" i="3"/>
  <c r="AA847" i="3"/>
  <c r="W846" i="3"/>
  <c r="L846" i="3" l="1"/>
  <c r="U846" i="3" s="1"/>
  <c r="AD846" i="3"/>
  <c r="T847" i="3"/>
  <c r="Y845" i="3" l="1"/>
  <c r="AG847" i="3"/>
  <c r="D847" i="3"/>
  <c r="G847" i="3" s="1"/>
  <c r="AH847" i="3"/>
  <c r="E847" i="3"/>
  <c r="H847" i="3" s="1"/>
  <c r="K847" i="3" s="1"/>
  <c r="AE847" i="3" s="1"/>
  <c r="F847" i="3" l="1"/>
  <c r="I847" i="3"/>
  <c r="J847" i="3"/>
  <c r="AD847" i="3" s="1"/>
  <c r="M847" i="3"/>
  <c r="N847" i="3" s="1"/>
  <c r="V847" i="3"/>
  <c r="A848" i="3"/>
  <c r="B848" i="3" s="1"/>
  <c r="W847" i="3" l="1"/>
  <c r="AC848" i="3"/>
  <c r="AA848" i="3"/>
  <c r="P848" i="3"/>
  <c r="Q848" i="3" s="1"/>
  <c r="R848" i="3" s="1"/>
  <c r="S848" i="3" s="1"/>
  <c r="Z848" i="3"/>
  <c r="L847" i="3"/>
  <c r="T848" i="3" l="1"/>
  <c r="AG848" i="3" s="1"/>
  <c r="U847" i="3"/>
  <c r="Y846" i="3"/>
  <c r="D848" i="3" l="1"/>
  <c r="G848" i="3" s="1"/>
  <c r="AH848" i="3"/>
  <c r="E848" i="3"/>
  <c r="H848" i="3" s="1"/>
  <c r="K848" i="3" s="1"/>
  <c r="AE848" i="3" s="1"/>
  <c r="F848" i="3" l="1"/>
  <c r="V848" i="3"/>
  <c r="A849" i="3"/>
  <c r="B849" i="3" s="1"/>
  <c r="I848" i="3"/>
  <c r="J848" i="3"/>
  <c r="AD848" i="3" s="1"/>
  <c r="M848" i="3"/>
  <c r="N848" i="3" s="1"/>
  <c r="Z849" i="3" l="1"/>
  <c r="AA849" i="3"/>
  <c r="AC849" i="3"/>
  <c r="P849" i="3"/>
  <c r="Q849" i="3" s="1"/>
  <c r="R849" i="3" s="1"/>
  <c r="S849" i="3" s="1"/>
  <c r="L848" i="3"/>
  <c r="W848" i="3"/>
  <c r="U848" i="3" l="1"/>
  <c r="Y847" i="3"/>
  <c r="T849" i="3"/>
  <c r="AH849" i="3" s="1"/>
  <c r="E849" i="3" l="1"/>
  <c r="H849" i="3" s="1"/>
  <c r="AG849" i="3"/>
  <c r="D849" i="3"/>
  <c r="F849" i="3" l="1"/>
  <c r="G849" i="3"/>
  <c r="K849" i="3"/>
  <c r="AE849" i="3" s="1"/>
  <c r="V849" i="3" l="1"/>
  <c r="A850" i="3"/>
  <c r="B850" i="3" s="1"/>
  <c r="I849" i="3"/>
  <c r="J849" i="3"/>
  <c r="AD849" i="3" s="1"/>
  <c r="M849" i="3"/>
  <c r="N849" i="3" s="1"/>
  <c r="L849" i="3" l="1"/>
  <c r="P850" i="3"/>
  <c r="Q850" i="3" s="1"/>
  <c r="R850" i="3" s="1"/>
  <c r="S850" i="3" s="1"/>
  <c r="AC850" i="3"/>
  <c r="Z850" i="3"/>
  <c r="AA850" i="3"/>
  <c r="W849" i="3"/>
  <c r="T850" i="3" l="1"/>
  <c r="AH850" i="3" s="1"/>
  <c r="U849" i="3"/>
  <c r="Y848" i="3"/>
  <c r="E850" i="3" l="1"/>
  <c r="H850" i="3" s="1"/>
  <c r="K850" i="3" s="1"/>
  <c r="AE850" i="3" s="1"/>
  <c r="AG850" i="3"/>
  <c r="D850" i="3"/>
  <c r="V850" i="3" l="1"/>
  <c r="A851" i="3"/>
  <c r="B851" i="3" s="1"/>
  <c r="F850" i="3"/>
  <c r="G850" i="3"/>
  <c r="I850" i="3" l="1"/>
  <c r="W850" i="3" s="1"/>
  <c r="J850" i="3"/>
  <c r="AD850" i="3" s="1"/>
  <c r="M850" i="3"/>
  <c r="N850" i="3" s="1"/>
  <c r="AC851" i="3"/>
  <c r="AA851" i="3"/>
  <c r="P851" i="3"/>
  <c r="Q851" i="3" s="1"/>
  <c r="R851" i="3" s="1"/>
  <c r="S851" i="3" s="1"/>
  <c r="Z851" i="3"/>
  <c r="L850" i="3" l="1"/>
  <c r="T851" i="3"/>
  <c r="AG851" i="3" l="1"/>
  <c r="AH851" i="3"/>
  <c r="U850" i="3"/>
  <c r="E851" i="3" s="1"/>
  <c r="H851" i="3" s="1"/>
  <c r="Y849" i="3"/>
  <c r="D851" i="3" l="1"/>
  <c r="F851" i="3" s="1"/>
  <c r="K851" i="3"/>
  <c r="AE851" i="3" s="1"/>
  <c r="G851" i="3" l="1"/>
  <c r="I851" i="3" s="1"/>
  <c r="V851" i="3"/>
  <c r="A852" i="3"/>
  <c r="B852" i="3" s="1"/>
  <c r="M851" i="3" l="1"/>
  <c r="N851" i="3" s="1"/>
  <c r="J851" i="3"/>
  <c r="W851" i="3"/>
  <c r="AC852" i="3"/>
  <c r="P852" i="3"/>
  <c r="Q852" i="3" s="1"/>
  <c r="R852" i="3" s="1"/>
  <c r="S852" i="3" s="1"/>
  <c r="Z852" i="3"/>
  <c r="AA852" i="3"/>
  <c r="L851" i="3" l="1"/>
  <c r="U851" i="3" s="1"/>
  <c r="AD851" i="3"/>
  <c r="T852" i="3"/>
  <c r="Y850" i="3" l="1"/>
  <c r="AH852" i="3"/>
  <c r="AG852" i="3"/>
  <c r="E852" i="3"/>
  <c r="H852" i="3" s="1"/>
  <c r="K852" i="3" s="1"/>
  <c r="AE852" i="3" s="1"/>
  <c r="D852" i="3"/>
  <c r="F852" i="3" l="1"/>
  <c r="G852" i="3"/>
  <c r="I852" i="3" s="1"/>
  <c r="V852" i="3"/>
  <c r="A853" i="3"/>
  <c r="B853" i="3" s="1"/>
  <c r="M852" i="3" l="1"/>
  <c r="N852" i="3" s="1"/>
  <c r="J852" i="3"/>
  <c r="W852" i="3"/>
  <c r="AC853" i="3"/>
  <c r="Z853" i="3"/>
  <c r="P853" i="3"/>
  <c r="Q853" i="3" s="1"/>
  <c r="R853" i="3" s="1"/>
  <c r="S853" i="3" s="1"/>
  <c r="AA853" i="3"/>
  <c r="L852" i="3" l="1"/>
  <c r="U852" i="3" s="1"/>
  <c r="AD852" i="3"/>
  <c r="T853" i="3"/>
  <c r="Y851" i="3" l="1"/>
  <c r="AH853" i="3"/>
  <c r="AG853" i="3"/>
  <c r="E853" i="3"/>
  <c r="H853" i="3" s="1"/>
  <c r="K853" i="3" s="1"/>
  <c r="AE853" i="3" s="1"/>
  <c r="D853" i="3"/>
  <c r="F853" i="3" l="1"/>
  <c r="G853" i="3"/>
  <c r="I853" i="3" s="1"/>
  <c r="V853" i="3"/>
  <c r="A854" i="3"/>
  <c r="B854" i="3" s="1"/>
  <c r="M853" i="3" l="1"/>
  <c r="N853" i="3" s="1"/>
  <c r="J853" i="3"/>
  <c r="W853" i="3"/>
  <c r="Z854" i="3"/>
  <c r="P854" i="3"/>
  <c r="Q854" i="3" s="1"/>
  <c r="R854" i="3" s="1"/>
  <c r="S854" i="3" s="1"/>
  <c r="AA854" i="3"/>
  <c r="AC854" i="3"/>
  <c r="L853" i="3" l="1"/>
  <c r="U853" i="3" s="1"/>
  <c r="AD853" i="3"/>
  <c r="T854" i="3"/>
  <c r="Y852" i="3" l="1"/>
  <c r="AG854" i="3"/>
  <c r="AH854" i="3"/>
  <c r="D854" i="3"/>
  <c r="G854" i="3" s="1"/>
  <c r="E854" i="3"/>
  <c r="H854" i="3" s="1"/>
  <c r="K854" i="3" s="1"/>
  <c r="AE854" i="3" s="1"/>
  <c r="F854" i="3" l="1"/>
  <c r="I854" i="3"/>
  <c r="J854" i="3"/>
  <c r="AD854" i="3" s="1"/>
  <c r="M854" i="3"/>
  <c r="N854" i="3" s="1"/>
  <c r="V854" i="3"/>
  <c r="A855" i="3"/>
  <c r="B855" i="3" s="1"/>
  <c r="W854" i="3" l="1"/>
  <c r="P855" i="3"/>
  <c r="Q855" i="3" s="1"/>
  <c r="R855" i="3" s="1"/>
  <c r="S855" i="3" s="1"/>
  <c r="AA855" i="3"/>
  <c r="AC855" i="3"/>
  <c r="Z855" i="3"/>
  <c r="L854" i="3"/>
  <c r="U854" i="3" l="1"/>
  <c r="Y853" i="3"/>
  <c r="T855" i="3"/>
  <c r="AH855" i="3" s="1"/>
  <c r="AG855" i="3" l="1"/>
  <c r="D855" i="3"/>
  <c r="E855" i="3"/>
  <c r="H855" i="3" s="1"/>
  <c r="F855" i="3" l="1"/>
  <c r="G855" i="3"/>
  <c r="K855" i="3"/>
  <c r="AE855" i="3" s="1"/>
  <c r="V855" i="3" l="1"/>
  <c r="A856" i="3"/>
  <c r="B856" i="3" s="1"/>
  <c r="I855" i="3"/>
  <c r="J855" i="3"/>
  <c r="AD855" i="3" s="1"/>
  <c r="M855" i="3"/>
  <c r="N855" i="3" s="1"/>
  <c r="L855" i="3" l="1"/>
  <c r="AA856" i="3"/>
  <c r="Z856" i="3"/>
  <c r="AC856" i="3"/>
  <c r="P856" i="3"/>
  <c r="Q856" i="3" s="1"/>
  <c r="R856" i="3" s="1"/>
  <c r="S856" i="3" s="1"/>
  <c r="W855" i="3"/>
  <c r="T856" i="3" l="1"/>
  <c r="AG856" i="3" s="1"/>
  <c r="U855" i="3"/>
  <c r="Y854" i="3"/>
  <c r="E856" i="3" l="1"/>
  <c r="H856" i="3" s="1"/>
  <c r="K856" i="3" s="1"/>
  <c r="AE856" i="3" s="1"/>
  <c r="AH856" i="3"/>
  <c r="D856" i="3"/>
  <c r="F856" i="3" l="1"/>
  <c r="G856" i="3"/>
  <c r="V856" i="3"/>
  <c r="A857" i="3"/>
  <c r="B857" i="3" s="1"/>
  <c r="AC857" i="3" l="1"/>
  <c r="Z857" i="3"/>
  <c r="AA857" i="3"/>
  <c r="P857" i="3"/>
  <c r="Q857" i="3" s="1"/>
  <c r="R857" i="3" s="1"/>
  <c r="S857" i="3" s="1"/>
  <c r="I856" i="3"/>
  <c r="W856" i="3" s="1"/>
  <c r="J856" i="3"/>
  <c r="AD856" i="3" s="1"/>
  <c r="M856" i="3"/>
  <c r="N856" i="3" s="1"/>
  <c r="T857" i="3" l="1"/>
  <c r="L856" i="3"/>
  <c r="U856" i="3" l="1"/>
  <c r="E857" i="3" s="1"/>
  <c r="H857" i="3" s="1"/>
  <c r="AH857" i="3"/>
  <c r="AG857" i="3"/>
  <c r="Y855" i="3"/>
  <c r="D857" i="3" l="1"/>
  <c r="F857" i="3" s="1"/>
  <c r="K857" i="3"/>
  <c r="AE857" i="3" s="1"/>
  <c r="G857" i="3" l="1"/>
  <c r="M857" i="3" s="1"/>
  <c r="N857" i="3" s="1"/>
  <c r="V857" i="3"/>
  <c r="A858" i="3"/>
  <c r="B858" i="3" s="1"/>
  <c r="J857" i="3" l="1"/>
  <c r="I857" i="3"/>
  <c r="W857" i="3" s="1"/>
  <c r="Z858" i="3"/>
  <c r="AA858" i="3"/>
  <c r="P858" i="3"/>
  <c r="Q858" i="3" s="1"/>
  <c r="R858" i="3" s="1"/>
  <c r="S858" i="3" s="1"/>
  <c r="AC858" i="3"/>
  <c r="L857" i="3" l="1"/>
  <c r="U857" i="3" s="1"/>
  <c r="AD857" i="3"/>
  <c r="T858" i="3"/>
  <c r="AG858" i="3" l="1"/>
  <c r="Y856" i="3"/>
  <c r="D858" i="3"/>
  <c r="G858" i="3" s="1"/>
  <c r="AH858" i="3"/>
  <c r="E858" i="3"/>
  <c r="H858" i="3" s="1"/>
  <c r="K858" i="3" s="1"/>
  <c r="AE858" i="3" s="1"/>
  <c r="F858" i="3" l="1"/>
  <c r="I858" i="3"/>
  <c r="J858" i="3"/>
  <c r="AD858" i="3" s="1"/>
  <c r="M858" i="3"/>
  <c r="N858" i="3" s="1"/>
  <c r="V858" i="3"/>
  <c r="A859" i="3"/>
  <c r="B859" i="3" s="1"/>
  <c r="W858" i="3" l="1"/>
  <c r="Z859" i="3"/>
  <c r="AC859" i="3"/>
  <c r="P859" i="3"/>
  <c r="Q859" i="3" s="1"/>
  <c r="R859" i="3" s="1"/>
  <c r="S859" i="3" s="1"/>
  <c r="AA859" i="3"/>
  <c r="L858" i="3"/>
  <c r="T859" i="3" l="1"/>
  <c r="AG859" i="3" s="1"/>
  <c r="U858" i="3"/>
  <c r="Y857" i="3"/>
  <c r="D859" i="3" l="1"/>
  <c r="G859" i="3" s="1"/>
  <c r="AH859" i="3"/>
  <c r="E859" i="3"/>
  <c r="H859" i="3" s="1"/>
  <c r="K859" i="3" s="1"/>
  <c r="AE859" i="3" s="1"/>
  <c r="F859" i="3" l="1"/>
  <c r="V859" i="3"/>
  <c r="A860" i="3"/>
  <c r="B860" i="3" s="1"/>
  <c r="I859" i="3"/>
  <c r="J859" i="3"/>
  <c r="AD859" i="3" s="1"/>
  <c r="M859" i="3"/>
  <c r="N859" i="3" s="1"/>
  <c r="P860" i="3" l="1"/>
  <c r="Q860" i="3" s="1"/>
  <c r="R860" i="3" s="1"/>
  <c r="S860" i="3" s="1"/>
  <c r="Z860" i="3"/>
  <c r="AA860" i="3"/>
  <c r="AC860" i="3"/>
  <c r="L859" i="3"/>
  <c r="W859" i="3"/>
  <c r="U859" i="3" l="1"/>
  <c r="Y858" i="3"/>
  <c r="T860" i="3"/>
  <c r="AH860" i="3" s="1"/>
  <c r="D860" i="3" l="1"/>
  <c r="E860" i="3"/>
  <c r="H860" i="3" s="1"/>
  <c r="AG860" i="3"/>
  <c r="K860" i="3" l="1"/>
  <c r="AE860" i="3" s="1"/>
  <c r="F860" i="3"/>
  <c r="G860" i="3"/>
  <c r="I860" i="3" l="1"/>
  <c r="J860" i="3"/>
  <c r="AD860" i="3" s="1"/>
  <c r="M860" i="3"/>
  <c r="N860" i="3" s="1"/>
  <c r="V860" i="3"/>
  <c r="A861" i="3"/>
  <c r="B861" i="3" s="1"/>
  <c r="W860" i="3" l="1"/>
  <c r="AA861" i="3"/>
  <c r="Z861" i="3"/>
  <c r="AC861" i="3"/>
  <c r="P861" i="3"/>
  <c r="Q861" i="3" s="1"/>
  <c r="R861" i="3" s="1"/>
  <c r="S861" i="3" s="1"/>
  <c r="L860" i="3"/>
  <c r="T861" i="3" l="1"/>
  <c r="AG861" i="3" s="1"/>
  <c r="U860" i="3"/>
  <c r="Y859" i="3"/>
  <c r="D861" i="3" l="1"/>
  <c r="G861" i="3" s="1"/>
  <c r="E861" i="3"/>
  <c r="H861" i="3" s="1"/>
  <c r="K861" i="3" s="1"/>
  <c r="AE861" i="3" s="1"/>
  <c r="AH861" i="3"/>
  <c r="F861" i="3" l="1"/>
  <c r="I861" i="3"/>
  <c r="J861" i="3"/>
  <c r="AD861" i="3" s="1"/>
  <c r="M861" i="3"/>
  <c r="N861" i="3" s="1"/>
  <c r="V861" i="3"/>
  <c r="A862" i="3"/>
  <c r="B862" i="3" s="1"/>
  <c r="W861" i="3" l="1"/>
  <c r="Z862" i="3"/>
  <c r="AC862" i="3"/>
  <c r="AA862" i="3"/>
  <c r="P862" i="3"/>
  <c r="Q862" i="3" s="1"/>
  <c r="R862" i="3" s="1"/>
  <c r="S862" i="3" s="1"/>
  <c r="L861" i="3"/>
  <c r="T862" i="3" l="1"/>
  <c r="AG862" i="3" s="1"/>
  <c r="U861" i="3"/>
  <c r="Y860" i="3"/>
  <c r="AH862" i="3" l="1"/>
  <c r="D862" i="3"/>
  <c r="E862" i="3"/>
  <c r="H862" i="3" s="1"/>
  <c r="K862" i="3" s="1"/>
  <c r="AE862" i="3" s="1"/>
  <c r="F862" i="3" l="1"/>
  <c r="G862" i="3"/>
  <c r="I862" i="3" s="1"/>
  <c r="V862" i="3"/>
  <c r="A863" i="3"/>
  <c r="B863" i="3" s="1"/>
  <c r="W862" i="3" l="1"/>
  <c r="M862" i="3"/>
  <c r="N862" i="3" s="1"/>
  <c r="J862" i="3"/>
  <c r="AC863" i="3"/>
  <c r="Z863" i="3"/>
  <c r="P863" i="3"/>
  <c r="Q863" i="3" s="1"/>
  <c r="R863" i="3" s="1"/>
  <c r="S863" i="3" s="1"/>
  <c r="AA863" i="3"/>
  <c r="L862" i="3" l="1"/>
  <c r="U862" i="3" s="1"/>
  <c r="AD862" i="3"/>
  <c r="T863" i="3"/>
  <c r="AG863" i="3" l="1"/>
  <c r="Y861" i="3"/>
  <c r="AH863" i="3"/>
  <c r="E863" i="3"/>
  <c r="H863" i="3" s="1"/>
  <c r="K863" i="3" s="1"/>
  <c r="AE863" i="3" s="1"/>
  <c r="D863" i="3"/>
  <c r="F863" i="3" l="1"/>
  <c r="G863" i="3"/>
  <c r="I863" i="3" s="1"/>
  <c r="V863" i="3"/>
  <c r="A864" i="3"/>
  <c r="B864" i="3" s="1"/>
  <c r="M863" i="3" l="1"/>
  <c r="N863" i="3" s="1"/>
  <c r="J863" i="3"/>
  <c r="W863" i="3"/>
  <c r="AC864" i="3"/>
  <c r="AA864" i="3"/>
  <c r="Z864" i="3"/>
  <c r="P864" i="3"/>
  <c r="Q864" i="3" s="1"/>
  <c r="R864" i="3" s="1"/>
  <c r="S864" i="3" s="1"/>
  <c r="L863" i="3" l="1"/>
  <c r="U863" i="3" s="1"/>
  <c r="AD863" i="3"/>
  <c r="T864" i="3"/>
  <c r="AH864" i="3" l="1"/>
  <c r="Y862" i="3"/>
  <c r="AG864" i="3"/>
  <c r="E864" i="3"/>
  <c r="H864" i="3" s="1"/>
  <c r="K864" i="3" s="1"/>
  <c r="AE864" i="3" s="1"/>
  <c r="D864" i="3"/>
  <c r="F864" i="3" l="1"/>
  <c r="G864" i="3"/>
  <c r="I864" i="3" s="1"/>
  <c r="V864" i="3"/>
  <c r="A865" i="3"/>
  <c r="B865" i="3" s="1"/>
  <c r="M864" i="3" l="1"/>
  <c r="N864" i="3" s="1"/>
  <c r="J864" i="3"/>
  <c r="AC865" i="3"/>
  <c r="Z865" i="3"/>
  <c r="AA865" i="3"/>
  <c r="P865" i="3"/>
  <c r="Q865" i="3" s="1"/>
  <c r="R865" i="3" s="1"/>
  <c r="S865" i="3" s="1"/>
  <c r="W864" i="3"/>
  <c r="L864" i="3" l="1"/>
  <c r="U864" i="3" s="1"/>
  <c r="AD864" i="3"/>
  <c r="T865" i="3"/>
  <c r="Y863" i="3" l="1"/>
  <c r="AG865" i="3"/>
  <c r="D865" i="3"/>
  <c r="G865" i="3" s="1"/>
  <c r="AH865" i="3"/>
  <c r="E865" i="3"/>
  <c r="H865" i="3" s="1"/>
  <c r="K865" i="3" s="1"/>
  <c r="AE865" i="3" s="1"/>
  <c r="F865" i="3" l="1"/>
  <c r="V865" i="3"/>
  <c r="A866" i="3"/>
  <c r="B866" i="3" s="1"/>
  <c r="I865" i="3"/>
  <c r="J865" i="3"/>
  <c r="AD865" i="3" s="1"/>
  <c r="M865" i="3"/>
  <c r="N865" i="3" s="1"/>
  <c r="L865" i="3" l="1"/>
  <c r="AC866" i="3"/>
  <c r="P866" i="3"/>
  <c r="Q866" i="3" s="1"/>
  <c r="R866" i="3" s="1"/>
  <c r="S866" i="3" s="1"/>
  <c r="AA866" i="3"/>
  <c r="Z866" i="3"/>
  <c r="W865" i="3"/>
  <c r="T866" i="3" l="1"/>
  <c r="AG866" i="3" s="1"/>
  <c r="U865" i="3"/>
  <c r="Y864" i="3"/>
  <c r="E866" i="3" l="1"/>
  <c r="H866" i="3" s="1"/>
  <c r="K866" i="3" s="1"/>
  <c r="AE866" i="3" s="1"/>
  <c r="AH866" i="3"/>
  <c r="D866" i="3"/>
  <c r="F866" i="3" l="1"/>
  <c r="G866" i="3"/>
  <c r="I866" i="3" s="1"/>
  <c r="V866" i="3"/>
  <c r="A867" i="3"/>
  <c r="B867" i="3" s="1"/>
  <c r="M866" i="3" l="1"/>
  <c r="N866" i="3" s="1"/>
  <c r="J866" i="3"/>
  <c r="W866" i="3"/>
  <c r="AC867" i="3"/>
  <c r="AA867" i="3"/>
  <c r="P867" i="3"/>
  <c r="Q867" i="3" s="1"/>
  <c r="R867" i="3" s="1"/>
  <c r="S867" i="3" s="1"/>
  <c r="Z867" i="3"/>
  <c r="L866" i="3" l="1"/>
  <c r="U866" i="3" s="1"/>
  <c r="AD866" i="3"/>
  <c r="T867" i="3"/>
  <c r="Y865" i="3" l="1"/>
  <c r="AG867" i="3"/>
  <c r="AH867" i="3"/>
  <c r="D867" i="3"/>
  <c r="G867" i="3" s="1"/>
  <c r="E867" i="3"/>
  <c r="H867" i="3" s="1"/>
  <c r="K867" i="3" s="1"/>
  <c r="AE867" i="3" s="1"/>
  <c r="F867" i="3" l="1"/>
  <c r="V867" i="3"/>
  <c r="A868" i="3"/>
  <c r="B868" i="3" s="1"/>
  <c r="I867" i="3"/>
  <c r="J867" i="3"/>
  <c r="AD867" i="3" s="1"/>
  <c r="M867" i="3"/>
  <c r="N867" i="3" s="1"/>
  <c r="P868" i="3" l="1"/>
  <c r="Q868" i="3" s="1"/>
  <c r="R868" i="3" s="1"/>
  <c r="S868" i="3" s="1"/>
  <c r="AA868" i="3"/>
  <c r="Z868" i="3"/>
  <c r="AC868" i="3"/>
  <c r="L867" i="3"/>
  <c r="W867" i="3"/>
  <c r="U867" i="3" l="1"/>
  <c r="Y866" i="3"/>
  <c r="T868" i="3"/>
  <c r="D868" i="3" l="1"/>
  <c r="G868" i="3" s="1"/>
  <c r="AH868" i="3"/>
  <c r="AG868" i="3"/>
  <c r="E868" i="3"/>
  <c r="H868" i="3" s="1"/>
  <c r="K868" i="3" s="1"/>
  <c r="AE868" i="3" s="1"/>
  <c r="F868" i="3" l="1"/>
  <c r="V868" i="3"/>
  <c r="A869" i="3"/>
  <c r="B869" i="3" s="1"/>
  <c r="I868" i="3"/>
  <c r="J868" i="3"/>
  <c r="AD868" i="3" s="1"/>
  <c r="M868" i="3"/>
  <c r="N868" i="3" s="1"/>
  <c r="L868" i="3" l="1"/>
  <c r="Z869" i="3"/>
  <c r="P869" i="3"/>
  <c r="Q869" i="3" s="1"/>
  <c r="R869" i="3" s="1"/>
  <c r="S869" i="3" s="1"/>
  <c r="AC869" i="3"/>
  <c r="AA869" i="3"/>
  <c r="W868" i="3"/>
  <c r="T869" i="3" l="1"/>
  <c r="AH869" i="3" s="1"/>
  <c r="U868" i="3"/>
  <c r="Y867" i="3"/>
  <c r="AG869" i="3" l="1"/>
  <c r="E869" i="3"/>
  <c r="H869" i="3" s="1"/>
  <c r="K869" i="3" s="1"/>
  <c r="AE869" i="3" s="1"/>
  <c r="D869" i="3"/>
  <c r="F869" i="3" l="1"/>
  <c r="G869" i="3"/>
  <c r="I869" i="3" s="1"/>
  <c r="V869" i="3"/>
  <c r="A870" i="3"/>
  <c r="B870" i="3" s="1"/>
  <c r="W869" i="3" l="1"/>
  <c r="M869" i="3"/>
  <c r="N869" i="3" s="1"/>
  <c r="J869" i="3"/>
  <c r="Z870" i="3"/>
  <c r="AA870" i="3"/>
  <c r="AC870" i="3"/>
  <c r="P870" i="3"/>
  <c r="Q870" i="3" s="1"/>
  <c r="R870" i="3" s="1"/>
  <c r="S870" i="3" s="1"/>
  <c r="L869" i="3" l="1"/>
  <c r="U869" i="3" s="1"/>
  <c r="AD869" i="3"/>
  <c r="T870" i="3"/>
  <c r="Y868" i="3" l="1"/>
  <c r="AG870" i="3"/>
  <c r="D870" i="3"/>
  <c r="G870" i="3" s="1"/>
  <c r="AH870" i="3"/>
  <c r="E870" i="3"/>
  <c r="H870" i="3" s="1"/>
  <c r="K870" i="3" s="1"/>
  <c r="AE870" i="3" s="1"/>
  <c r="F870" i="3" l="1"/>
  <c r="I870" i="3"/>
  <c r="J870" i="3"/>
  <c r="AD870" i="3" s="1"/>
  <c r="M870" i="3"/>
  <c r="N870" i="3" s="1"/>
  <c r="V870" i="3"/>
  <c r="A871" i="3"/>
  <c r="B871" i="3" s="1"/>
  <c r="W870" i="3" l="1"/>
  <c r="P871" i="3"/>
  <c r="Q871" i="3" s="1"/>
  <c r="R871" i="3" s="1"/>
  <c r="S871" i="3" s="1"/>
  <c r="AA871" i="3"/>
  <c r="AC871" i="3"/>
  <c r="Z871" i="3"/>
  <c r="L870" i="3"/>
  <c r="T871" i="3" l="1"/>
  <c r="AH871" i="3" s="1"/>
  <c r="U870" i="3"/>
  <c r="Y869" i="3"/>
  <c r="AG871" i="3" l="1"/>
  <c r="E871" i="3"/>
  <c r="H871" i="3" s="1"/>
  <c r="K871" i="3" s="1"/>
  <c r="AE871" i="3" s="1"/>
  <c r="D871" i="3"/>
  <c r="F871" i="3" l="1"/>
  <c r="G871" i="3"/>
  <c r="J871" i="3" s="1"/>
  <c r="AD871" i="3" s="1"/>
  <c r="V871" i="3"/>
  <c r="A872" i="3"/>
  <c r="B872" i="3" s="1"/>
  <c r="I871" i="3" l="1"/>
  <c r="W871" i="3" s="1"/>
  <c r="M871" i="3"/>
  <c r="N871" i="3" s="1"/>
  <c r="Z872" i="3"/>
  <c r="AC872" i="3"/>
  <c r="AA872" i="3"/>
  <c r="P872" i="3"/>
  <c r="Q872" i="3" s="1"/>
  <c r="R872" i="3" s="1"/>
  <c r="S872" i="3" s="1"/>
  <c r="L871" i="3"/>
  <c r="T872" i="3" l="1"/>
  <c r="AG872" i="3" s="1"/>
  <c r="U871" i="3"/>
  <c r="Y870" i="3"/>
  <c r="E872" i="3" l="1"/>
  <c r="H872" i="3" s="1"/>
  <c r="K872" i="3" s="1"/>
  <c r="AE872" i="3" s="1"/>
  <c r="AH872" i="3"/>
  <c r="D872" i="3"/>
  <c r="F872" i="3" l="1"/>
  <c r="G872" i="3"/>
  <c r="I872" i="3" s="1"/>
  <c r="V872" i="3"/>
  <c r="A873" i="3"/>
  <c r="B873" i="3" s="1"/>
  <c r="J872" i="3" l="1"/>
  <c r="M872" i="3"/>
  <c r="N872" i="3" s="1"/>
  <c r="W872" i="3"/>
  <c r="Z873" i="3"/>
  <c r="AA873" i="3"/>
  <c r="P873" i="3"/>
  <c r="Q873" i="3" s="1"/>
  <c r="R873" i="3" s="1"/>
  <c r="S873" i="3" s="1"/>
  <c r="AC873" i="3"/>
  <c r="L872" i="3" l="1"/>
  <c r="U872" i="3" s="1"/>
  <c r="AD872" i="3"/>
  <c r="T873" i="3"/>
  <c r="Y871" i="3"/>
  <c r="AG873" i="3" l="1"/>
  <c r="D873" i="3"/>
  <c r="G873" i="3" s="1"/>
  <c r="AH873" i="3"/>
  <c r="E873" i="3"/>
  <c r="H873" i="3" s="1"/>
  <c r="K873" i="3" s="1"/>
  <c r="AE873" i="3" s="1"/>
  <c r="F873" i="3" l="1"/>
  <c r="V873" i="3"/>
  <c r="A874" i="3"/>
  <c r="B874" i="3" s="1"/>
  <c r="I873" i="3"/>
  <c r="J873" i="3"/>
  <c r="AD873" i="3" s="1"/>
  <c r="M873" i="3"/>
  <c r="N873" i="3" s="1"/>
  <c r="Z874" i="3" l="1"/>
  <c r="P874" i="3"/>
  <c r="Q874" i="3" s="1"/>
  <c r="R874" i="3" s="1"/>
  <c r="S874" i="3" s="1"/>
  <c r="AA874" i="3"/>
  <c r="AC874" i="3"/>
  <c r="L873" i="3"/>
  <c r="W873" i="3"/>
  <c r="U873" i="3" l="1"/>
  <c r="Y872" i="3"/>
  <c r="T874" i="3"/>
  <c r="D874" i="3" l="1"/>
  <c r="G874" i="3" s="1"/>
  <c r="AG874" i="3"/>
  <c r="AH874" i="3"/>
  <c r="E874" i="3"/>
  <c r="H874" i="3" s="1"/>
  <c r="K874" i="3" l="1"/>
  <c r="AE874" i="3" s="1"/>
  <c r="I874" i="3"/>
  <c r="J874" i="3"/>
  <c r="AD874" i="3" s="1"/>
  <c r="M874" i="3"/>
  <c r="N874" i="3" s="1"/>
  <c r="F874" i="3"/>
  <c r="L874" i="3" l="1"/>
  <c r="V874" i="3"/>
  <c r="W874" i="3" s="1"/>
  <c r="A875" i="3"/>
  <c r="B875" i="3" s="1"/>
  <c r="AC875" i="3" l="1"/>
  <c r="Z875" i="3"/>
  <c r="P875" i="3"/>
  <c r="Q875" i="3" s="1"/>
  <c r="R875" i="3" s="1"/>
  <c r="S875" i="3" s="1"/>
  <c r="AA875" i="3"/>
  <c r="U874" i="3"/>
  <c r="Y873" i="3"/>
  <c r="T875" i="3" l="1"/>
  <c r="AH875" i="3" s="1"/>
  <c r="AG875" i="3" l="1"/>
  <c r="E875" i="3"/>
  <c r="H875" i="3" s="1"/>
  <c r="K875" i="3" s="1"/>
  <c r="AE875" i="3" s="1"/>
  <c r="D875" i="3"/>
  <c r="F875" i="3" l="1"/>
  <c r="G875" i="3"/>
  <c r="I875" i="3" s="1"/>
  <c r="V875" i="3"/>
  <c r="A876" i="3"/>
  <c r="B876" i="3" s="1"/>
  <c r="M875" i="3" l="1"/>
  <c r="N875" i="3" s="1"/>
  <c r="J875" i="3"/>
  <c r="W875" i="3"/>
  <c r="AC876" i="3"/>
  <c r="Z876" i="3"/>
  <c r="AA876" i="3"/>
  <c r="P876" i="3"/>
  <c r="Q876" i="3" s="1"/>
  <c r="R876" i="3" s="1"/>
  <c r="S876" i="3" s="1"/>
  <c r="L875" i="3" l="1"/>
  <c r="U875" i="3" s="1"/>
  <c r="AD875" i="3"/>
  <c r="T876" i="3"/>
  <c r="Y874" i="3" l="1"/>
  <c r="AH876" i="3"/>
  <c r="E876" i="3"/>
  <c r="H876" i="3" s="1"/>
  <c r="K876" i="3" s="1"/>
  <c r="AE876" i="3" s="1"/>
  <c r="AG876" i="3"/>
  <c r="D876" i="3"/>
  <c r="F876" i="3" l="1"/>
  <c r="G876" i="3"/>
  <c r="I876" i="3" s="1"/>
  <c r="V876" i="3"/>
  <c r="A877" i="3"/>
  <c r="B877" i="3" s="1"/>
  <c r="W876" i="3" l="1"/>
  <c r="M876" i="3"/>
  <c r="N876" i="3" s="1"/>
  <c r="J876" i="3"/>
  <c r="AA877" i="3"/>
  <c r="P877" i="3"/>
  <c r="Q877" i="3" s="1"/>
  <c r="R877" i="3" s="1"/>
  <c r="S877" i="3" s="1"/>
  <c r="AC877" i="3"/>
  <c r="Z877" i="3"/>
  <c r="L876" i="3" l="1"/>
  <c r="U876" i="3" s="1"/>
  <c r="AD876" i="3"/>
  <c r="T877" i="3"/>
  <c r="AG877" i="3" l="1"/>
  <c r="Y875" i="3"/>
  <c r="E877" i="3"/>
  <c r="H877" i="3" s="1"/>
  <c r="K877" i="3" s="1"/>
  <c r="AE877" i="3" s="1"/>
  <c r="AH877" i="3"/>
  <c r="D877" i="3"/>
  <c r="F877" i="3" l="1"/>
  <c r="G877" i="3"/>
  <c r="V877" i="3"/>
  <c r="A878" i="3"/>
  <c r="B878" i="3" s="1"/>
  <c r="Z878" i="3" l="1"/>
  <c r="AC878" i="3"/>
  <c r="P878" i="3"/>
  <c r="Q878" i="3" s="1"/>
  <c r="R878" i="3" s="1"/>
  <c r="S878" i="3" s="1"/>
  <c r="AA878" i="3"/>
  <c r="I877" i="3"/>
  <c r="W877" i="3" s="1"/>
  <c r="J877" i="3"/>
  <c r="AD877" i="3" s="1"/>
  <c r="M877" i="3"/>
  <c r="N877" i="3" s="1"/>
  <c r="T878" i="3" l="1"/>
  <c r="L877" i="3"/>
  <c r="U877" i="3" l="1"/>
  <c r="E878" i="3" s="1"/>
  <c r="H878" i="3" s="1"/>
  <c r="AH878" i="3"/>
  <c r="AG878" i="3"/>
  <c r="Y876" i="3"/>
  <c r="D878" i="3" l="1"/>
  <c r="F878" i="3" s="1"/>
  <c r="K878" i="3"/>
  <c r="AE878" i="3" s="1"/>
  <c r="G878" i="3" l="1"/>
  <c r="I878" i="3" s="1"/>
  <c r="V878" i="3"/>
  <c r="A879" i="3"/>
  <c r="B879" i="3" s="1"/>
  <c r="M878" i="3" l="1"/>
  <c r="N878" i="3" s="1"/>
  <c r="J878" i="3"/>
  <c r="W878" i="3"/>
  <c r="AA879" i="3"/>
  <c r="Z879" i="3"/>
  <c r="P879" i="3"/>
  <c r="Q879" i="3" s="1"/>
  <c r="R879" i="3" s="1"/>
  <c r="S879" i="3" s="1"/>
  <c r="AC879" i="3"/>
  <c r="L878" i="3" l="1"/>
  <c r="U878" i="3" s="1"/>
  <c r="AD878" i="3"/>
  <c r="T879" i="3"/>
  <c r="Y877" i="3" l="1"/>
  <c r="AG879" i="3"/>
  <c r="D879" i="3"/>
  <c r="G879" i="3" s="1"/>
  <c r="AH879" i="3"/>
  <c r="E879" i="3"/>
  <c r="H879" i="3" s="1"/>
  <c r="K879" i="3" s="1"/>
  <c r="AE879" i="3" s="1"/>
  <c r="F879" i="3" l="1"/>
  <c r="I879" i="3"/>
  <c r="J879" i="3"/>
  <c r="AD879" i="3" s="1"/>
  <c r="M879" i="3"/>
  <c r="N879" i="3" s="1"/>
  <c r="V879" i="3"/>
  <c r="A880" i="3"/>
  <c r="B880" i="3" s="1"/>
  <c r="W879" i="3" l="1"/>
  <c r="P880" i="3"/>
  <c r="Q880" i="3" s="1"/>
  <c r="R880" i="3" s="1"/>
  <c r="S880" i="3" s="1"/>
  <c r="Z880" i="3"/>
  <c r="AC880" i="3"/>
  <c r="AA880" i="3"/>
  <c r="L879" i="3"/>
  <c r="U879" i="3" l="1"/>
  <c r="Y878" i="3"/>
  <c r="T880" i="3"/>
  <c r="E880" i="3" l="1"/>
  <c r="H880" i="3" s="1"/>
  <c r="K880" i="3" s="1"/>
  <c r="AE880" i="3" s="1"/>
  <c r="AH880" i="3"/>
  <c r="D880" i="3"/>
  <c r="AG880" i="3"/>
  <c r="F880" i="3" l="1"/>
  <c r="G880" i="3"/>
  <c r="V880" i="3"/>
  <c r="A881" i="3"/>
  <c r="B881" i="3" s="1"/>
  <c r="P881" i="3" l="1"/>
  <c r="Q881" i="3" s="1"/>
  <c r="R881" i="3" s="1"/>
  <c r="S881" i="3" s="1"/>
  <c r="AA881" i="3"/>
  <c r="Z881" i="3"/>
  <c r="AC881" i="3"/>
  <c r="I880" i="3"/>
  <c r="W880" i="3" s="1"/>
  <c r="J880" i="3"/>
  <c r="AD880" i="3" s="1"/>
  <c r="M880" i="3"/>
  <c r="N880" i="3" s="1"/>
  <c r="L880" i="3" l="1"/>
  <c r="T881" i="3"/>
  <c r="AG881" i="3" l="1"/>
  <c r="U880" i="3"/>
  <c r="E881" i="3" s="1"/>
  <c r="H881" i="3" s="1"/>
  <c r="AH881" i="3"/>
  <c r="Y879" i="3"/>
  <c r="D881" i="3" l="1"/>
  <c r="F881" i="3" s="1"/>
  <c r="K881" i="3"/>
  <c r="AE881" i="3" s="1"/>
  <c r="G881" i="3" l="1"/>
  <c r="I881" i="3" s="1"/>
  <c r="V881" i="3"/>
  <c r="A882" i="3"/>
  <c r="B882" i="3" s="1"/>
  <c r="M881" i="3" l="1"/>
  <c r="N881" i="3" s="1"/>
  <c r="J881" i="3"/>
  <c r="W881" i="3"/>
  <c r="Z882" i="3"/>
  <c r="P882" i="3"/>
  <c r="Q882" i="3" s="1"/>
  <c r="R882" i="3" s="1"/>
  <c r="S882" i="3" s="1"/>
  <c r="AC882" i="3"/>
  <c r="AA882" i="3"/>
  <c r="L881" i="3" l="1"/>
  <c r="U881" i="3" s="1"/>
  <c r="AD881" i="3"/>
  <c r="T882" i="3"/>
  <c r="Y880" i="3" l="1"/>
  <c r="AG882" i="3"/>
  <c r="E882" i="3"/>
  <c r="H882" i="3" s="1"/>
  <c r="K882" i="3" s="1"/>
  <c r="AE882" i="3" s="1"/>
  <c r="AH882" i="3"/>
  <c r="D882" i="3"/>
  <c r="F882" i="3" l="1"/>
  <c r="G882" i="3"/>
  <c r="I882" i="3" s="1"/>
  <c r="V882" i="3"/>
  <c r="A883" i="3"/>
  <c r="B883" i="3" s="1"/>
  <c r="M882" i="3" l="1"/>
  <c r="N882" i="3" s="1"/>
  <c r="J882" i="3"/>
  <c r="W882" i="3"/>
  <c r="P883" i="3"/>
  <c r="Q883" i="3" s="1"/>
  <c r="R883" i="3" s="1"/>
  <c r="S883" i="3" s="1"/>
  <c r="AC883" i="3"/>
  <c r="AA883" i="3"/>
  <c r="Z883" i="3"/>
  <c r="L882" i="3" l="1"/>
  <c r="U882" i="3" s="1"/>
  <c r="AD882" i="3"/>
  <c r="T883" i="3"/>
  <c r="Y881" i="3" l="1"/>
  <c r="AG883" i="3"/>
  <c r="D883" i="3"/>
  <c r="G883" i="3" s="1"/>
  <c r="AH883" i="3"/>
  <c r="E883" i="3"/>
  <c r="H883" i="3" s="1"/>
  <c r="K883" i="3" l="1"/>
  <c r="AE883" i="3" s="1"/>
  <c r="I883" i="3"/>
  <c r="J883" i="3"/>
  <c r="AD883" i="3" s="1"/>
  <c r="M883" i="3"/>
  <c r="N883" i="3" s="1"/>
  <c r="F883" i="3"/>
  <c r="L883" i="3" l="1"/>
  <c r="V883" i="3"/>
  <c r="W883" i="3" s="1"/>
  <c r="A884" i="3"/>
  <c r="B884" i="3" s="1"/>
  <c r="P884" i="3" l="1"/>
  <c r="Q884" i="3" s="1"/>
  <c r="R884" i="3" s="1"/>
  <c r="S884" i="3" s="1"/>
  <c r="Z884" i="3"/>
  <c r="AC884" i="3"/>
  <c r="AA884" i="3"/>
  <c r="U883" i="3"/>
  <c r="Y882" i="3"/>
  <c r="T884" i="3" l="1"/>
  <c r="AH884" i="3" l="1"/>
  <c r="AG884" i="3"/>
  <c r="E884" i="3"/>
  <c r="H884" i="3" s="1"/>
  <c r="D884" i="3"/>
  <c r="F884" i="3" l="1"/>
  <c r="G884" i="3"/>
  <c r="K884" i="3"/>
  <c r="AE884" i="3" s="1"/>
  <c r="V884" i="3" l="1"/>
  <c r="A885" i="3"/>
  <c r="B885" i="3" s="1"/>
  <c r="I884" i="3"/>
  <c r="J884" i="3"/>
  <c r="AD884" i="3" s="1"/>
  <c r="M884" i="3"/>
  <c r="N884" i="3" s="1"/>
  <c r="AA885" i="3" l="1"/>
  <c r="P885" i="3"/>
  <c r="Q885" i="3" s="1"/>
  <c r="R885" i="3" s="1"/>
  <c r="S885" i="3" s="1"/>
  <c r="Z885" i="3"/>
  <c r="AC885" i="3"/>
  <c r="L884" i="3"/>
  <c r="W884" i="3"/>
  <c r="U884" i="3" l="1"/>
  <c r="Y883" i="3"/>
  <c r="T885" i="3"/>
  <c r="AG885" i="3" s="1"/>
  <c r="E885" i="3" l="1"/>
  <c r="H885" i="3" s="1"/>
  <c r="D885" i="3"/>
  <c r="AH885" i="3"/>
  <c r="F885" i="3" l="1"/>
  <c r="G885" i="3"/>
  <c r="K885" i="3"/>
  <c r="AE885" i="3" s="1"/>
  <c r="V885" i="3" l="1"/>
  <c r="A886" i="3"/>
  <c r="B886" i="3" s="1"/>
  <c r="I885" i="3"/>
  <c r="J885" i="3"/>
  <c r="AD885" i="3" s="1"/>
  <c r="M885" i="3"/>
  <c r="N885" i="3" s="1"/>
  <c r="L885" i="3" l="1"/>
  <c r="AC886" i="3"/>
  <c r="Z886" i="3"/>
  <c r="AA886" i="3"/>
  <c r="P886" i="3"/>
  <c r="Q886" i="3" s="1"/>
  <c r="R886" i="3" s="1"/>
  <c r="S886" i="3" s="1"/>
  <c r="W885" i="3"/>
  <c r="T886" i="3" l="1"/>
  <c r="AG886" i="3" s="1"/>
  <c r="U885" i="3"/>
  <c r="Y884" i="3"/>
  <c r="D886" i="3" l="1"/>
  <c r="G886" i="3" s="1"/>
  <c r="AH886" i="3"/>
  <c r="E886" i="3"/>
  <c r="H886" i="3" s="1"/>
  <c r="K886" i="3" s="1"/>
  <c r="AE886" i="3" s="1"/>
  <c r="F886" i="3" l="1"/>
  <c r="V886" i="3"/>
  <c r="A887" i="3"/>
  <c r="B887" i="3" s="1"/>
  <c r="I886" i="3"/>
  <c r="J886" i="3"/>
  <c r="AD886" i="3" s="1"/>
  <c r="M886" i="3"/>
  <c r="N886" i="3" s="1"/>
  <c r="L886" i="3" l="1"/>
  <c r="P887" i="3"/>
  <c r="Q887" i="3" s="1"/>
  <c r="R887" i="3" s="1"/>
  <c r="S887" i="3" s="1"/>
  <c r="AA887" i="3"/>
  <c r="AC887" i="3"/>
  <c r="Z887" i="3"/>
  <c r="W886" i="3"/>
  <c r="T887" i="3" l="1"/>
  <c r="AH887" i="3" s="1"/>
  <c r="U886" i="3"/>
  <c r="Y885" i="3"/>
  <c r="AG887" i="3" l="1"/>
  <c r="D887" i="3"/>
  <c r="G887" i="3" s="1"/>
  <c r="E887" i="3"/>
  <c r="H887" i="3" s="1"/>
  <c r="K887" i="3" s="1"/>
  <c r="AE887" i="3" s="1"/>
  <c r="F887" i="3" l="1"/>
  <c r="V887" i="3"/>
  <c r="A888" i="3"/>
  <c r="B888" i="3" s="1"/>
  <c r="I887" i="3"/>
  <c r="J887" i="3"/>
  <c r="AD887" i="3" s="1"/>
  <c r="M887" i="3"/>
  <c r="N887" i="3" s="1"/>
  <c r="P888" i="3" l="1"/>
  <c r="Q888" i="3" s="1"/>
  <c r="R888" i="3" s="1"/>
  <c r="S888" i="3" s="1"/>
  <c r="Z888" i="3"/>
  <c r="AC888" i="3"/>
  <c r="AA888" i="3"/>
  <c r="L887" i="3"/>
  <c r="W887" i="3"/>
  <c r="T888" i="3" l="1"/>
  <c r="AG888" i="3" s="1"/>
  <c r="U887" i="3"/>
  <c r="Y886" i="3"/>
  <c r="E888" i="3" l="1"/>
  <c r="H888" i="3" s="1"/>
  <c r="K888" i="3" s="1"/>
  <c r="AE888" i="3" s="1"/>
  <c r="AH888" i="3"/>
  <c r="D888" i="3"/>
  <c r="F888" i="3" l="1"/>
  <c r="G888" i="3"/>
  <c r="I888" i="3" s="1"/>
  <c r="V888" i="3"/>
  <c r="A889" i="3"/>
  <c r="B889" i="3" s="1"/>
  <c r="M888" i="3" l="1"/>
  <c r="N888" i="3" s="1"/>
  <c r="J888" i="3"/>
  <c r="Z889" i="3"/>
  <c r="P889" i="3"/>
  <c r="Q889" i="3" s="1"/>
  <c r="R889" i="3" s="1"/>
  <c r="S889" i="3" s="1"/>
  <c r="AC889" i="3"/>
  <c r="AA889" i="3"/>
  <c r="W888" i="3"/>
  <c r="L888" i="3" l="1"/>
  <c r="U888" i="3" s="1"/>
  <c r="AD888" i="3"/>
  <c r="T889" i="3"/>
  <c r="Y887" i="3" l="1"/>
  <c r="AH889" i="3"/>
  <c r="E889" i="3"/>
  <c r="H889" i="3" s="1"/>
  <c r="K889" i="3" s="1"/>
  <c r="AE889" i="3" s="1"/>
  <c r="D889" i="3"/>
  <c r="G889" i="3" s="1"/>
  <c r="AG889" i="3"/>
  <c r="F889" i="3" l="1"/>
  <c r="I889" i="3"/>
  <c r="J889" i="3"/>
  <c r="AD889" i="3" s="1"/>
  <c r="M889" i="3"/>
  <c r="N889" i="3" s="1"/>
  <c r="V889" i="3"/>
  <c r="A890" i="3"/>
  <c r="B890" i="3" s="1"/>
  <c r="W889" i="3" l="1"/>
  <c r="L889" i="3"/>
  <c r="AA890" i="3"/>
  <c r="P890" i="3"/>
  <c r="Q890" i="3" s="1"/>
  <c r="R890" i="3" s="1"/>
  <c r="S890" i="3" s="1"/>
  <c r="Z890" i="3"/>
  <c r="AC890" i="3"/>
  <c r="T890" i="3" l="1"/>
  <c r="AH890" i="3" s="1"/>
  <c r="U889" i="3"/>
  <c r="Y888" i="3"/>
  <c r="D890" i="3" l="1"/>
  <c r="G890" i="3" s="1"/>
  <c r="AG890" i="3"/>
  <c r="E890" i="3"/>
  <c r="H890" i="3" s="1"/>
  <c r="K890" i="3" s="1"/>
  <c r="AE890" i="3" s="1"/>
  <c r="F890" i="3" l="1"/>
  <c r="V890" i="3"/>
  <c r="A891" i="3"/>
  <c r="B891" i="3" s="1"/>
  <c r="I890" i="3"/>
  <c r="J890" i="3"/>
  <c r="AD890" i="3" s="1"/>
  <c r="M890" i="3"/>
  <c r="N890" i="3" s="1"/>
  <c r="L890" i="3" l="1"/>
  <c r="AA891" i="3"/>
  <c r="P891" i="3"/>
  <c r="Q891" i="3" s="1"/>
  <c r="R891" i="3" s="1"/>
  <c r="S891" i="3" s="1"/>
  <c r="AC891" i="3"/>
  <c r="Z891" i="3"/>
  <c r="W890" i="3"/>
  <c r="T891" i="3" l="1"/>
  <c r="AH891" i="3" s="1"/>
  <c r="U890" i="3"/>
  <c r="Y889" i="3"/>
  <c r="AG891" i="3" l="1"/>
  <c r="E891" i="3"/>
  <c r="H891" i="3" s="1"/>
  <c r="K891" i="3" s="1"/>
  <c r="AE891" i="3" s="1"/>
  <c r="D891" i="3"/>
  <c r="F891" i="3" l="1"/>
  <c r="G891" i="3"/>
  <c r="I891" i="3" s="1"/>
  <c r="V891" i="3"/>
  <c r="A892" i="3"/>
  <c r="B892" i="3" s="1"/>
  <c r="M891" i="3" l="1"/>
  <c r="N891" i="3" s="1"/>
  <c r="J891" i="3"/>
  <c r="W891" i="3"/>
  <c r="AA892" i="3"/>
  <c r="Z892" i="3"/>
  <c r="AC892" i="3"/>
  <c r="P892" i="3"/>
  <c r="Q892" i="3" s="1"/>
  <c r="R892" i="3" s="1"/>
  <c r="S892" i="3" s="1"/>
  <c r="L891" i="3" l="1"/>
  <c r="U891" i="3" s="1"/>
  <c r="AD891" i="3"/>
  <c r="T892" i="3"/>
  <c r="Y890" i="3" l="1"/>
  <c r="AH892" i="3"/>
  <c r="AG892" i="3"/>
  <c r="D892" i="3"/>
  <c r="G892" i="3" s="1"/>
  <c r="E892" i="3"/>
  <c r="H892" i="3" s="1"/>
  <c r="K892" i="3" s="1"/>
  <c r="AE892" i="3" s="1"/>
  <c r="F892" i="3" l="1"/>
  <c r="V892" i="3"/>
  <c r="A893" i="3"/>
  <c r="B893" i="3" s="1"/>
  <c r="I892" i="3"/>
  <c r="J892" i="3"/>
  <c r="AD892" i="3" s="1"/>
  <c r="M892" i="3"/>
  <c r="N892" i="3" s="1"/>
  <c r="L892" i="3" l="1"/>
  <c r="Z893" i="3"/>
  <c r="AC893" i="3"/>
  <c r="P893" i="3"/>
  <c r="Q893" i="3" s="1"/>
  <c r="R893" i="3" s="1"/>
  <c r="S893" i="3" s="1"/>
  <c r="AA893" i="3"/>
  <c r="W892" i="3"/>
  <c r="U892" i="3" l="1"/>
  <c r="Y891" i="3"/>
  <c r="T893" i="3"/>
  <c r="AG893" i="3" s="1"/>
  <c r="E893" i="3" l="1"/>
  <c r="H893" i="3" s="1"/>
  <c r="AH893" i="3"/>
  <c r="D893" i="3"/>
  <c r="F893" i="3" l="1"/>
  <c r="G893" i="3"/>
  <c r="K893" i="3"/>
  <c r="AE893" i="3" s="1"/>
  <c r="V893" i="3" l="1"/>
  <c r="A894" i="3"/>
  <c r="B894" i="3" s="1"/>
  <c r="I893" i="3"/>
  <c r="J893" i="3"/>
  <c r="AD893" i="3" s="1"/>
  <c r="M893" i="3"/>
  <c r="N893" i="3" s="1"/>
  <c r="L893" i="3" l="1"/>
  <c r="P894" i="3"/>
  <c r="Q894" i="3" s="1"/>
  <c r="R894" i="3" s="1"/>
  <c r="S894" i="3" s="1"/>
  <c r="AC894" i="3"/>
  <c r="AA894" i="3"/>
  <c r="Z894" i="3"/>
  <c r="W893" i="3"/>
  <c r="T894" i="3" l="1"/>
  <c r="AH894" i="3" s="1"/>
  <c r="U893" i="3"/>
  <c r="Y892" i="3"/>
  <c r="D894" i="3" l="1"/>
  <c r="G894" i="3" s="1"/>
  <c r="E894" i="3"/>
  <c r="H894" i="3" s="1"/>
  <c r="K894" i="3" s="1"/>
  <c r="AE894" i="3" s="1"/>
  <c r="AG894" i="3"/>
  <c r="F894" i="3" l="1"/>
  <c r="V894" i="3"/>
  <c r="A895" i="3"/>
  <c r="B895" i="3" s="1"/>
  <c r="I894" i="3"/>
  <c r="J894" i="3"/>
  <c r="AD894" i="3" s="1"/>
  <c r="M894" i="3"/>
  <c r="N894" i="3" s="1"/>
  <c r="L894" i="3" l="1"/>
  <c r="AA895" i="3"/>
  <c r="P895" i="3"/>
  <c r="Q895" i="3" s="1"/>
  <c r="R895" i="3" s="1"/>
  <c r="S895" i="3" s="1"/>
  <c r="Z895" i="3"/>
  <c r="AC895" i="3"/>
  <c r="W894" i="3"/>
  <c r="U894" i="3" l="1"/>
  <c r="Y893" i="3"/>
  <c r="T895" i="3"/>
  <c r="E895" i="3" l="1"/>
  <c r="H895" i="3" s="1"/>
  <c r="K895" i="3" s="1"/>
  <c r="AE895" i="3" s="1"/>
  <c r="AG895" i="3"/>
  <c r="D895" i="3"/>
  <c r="AH895" i="3"/>
  <c r="F895" i="3" l="1"/>
  <c r="G895" i="3"/>
  <c r="V895" i="3"/>
  <c r="A896" i="3"/>
  <c r="B896" i="3" s="1"/>
  <c r="AA896" i="3" l="1"/>
  <c r="Z896" i="3"/>
  <c r="P896" i="3"/>
  <c r="Q896" i="3" s="1"/>
  <c r="R896" i="3" s="1"/>
  <c r="S896" i="3" s="1"/>
  <c r="AC896" i="3"/>
  <c r="I895" i="3"/>
  <c r="W895" i="3" s="1"/>
  <c r="J895" i="3"/>
  <c r="AD895" i="3" s="1"/>
  <c r="M895" i="3"/>
  <c r="N895" i="3" s="1"/>
  <c r="T896" i="3" l="1"/>
  <c r="L895" i="3"/>
  <c r="AG896" i="3" l="1"/>
  <c r="AH896" i="3"/>
  <c r="U895" i="3"/>
  <c r="D896" i="3" s="1"/>
  <c r="Y894" i="3"/>
  <c r="G896" i="3" l="1"/>
  <c r="E896" i="3"/>
  <c r="H896" i="3" s="1"/>
  <c r="K896" i="3" l="1"/>
  <c r="AE896" i="3" s="1"/>
  <c r="I896" i="3"/>
  <c r="J896" i="3"/>
  <c r="AD896" i="3" s="1"/>
  <c r="M896" i="3"/>
  <c r="N896" i="3" s="1"/>
  <c r="F896" i="3"/>
  <c r="L896" i="3" l="1"/>
  <c r="V896" i="3"/>
  <c r="W896" i="3" s="1"/>
  <c r="A897" i="3"/>
  <c r="B897" i="3" s="1"/>
  <c r="P897" i="3" l="1"/>
  <c r="Q897" i="3" s="1"/>
  <c r="R897" i="3" s="1"/>
  <c r="S897" i="3" s="1"/>
  <c r="AC897" i="3"/>
  <c r="AA897" i="3"/>
  <c r="Z897" i="3"/>
  <c r="U896" i="3"/>
  <c r="Y895" i="3"/>
  <c r="T897" i="3" l="1"/>
  <c r="AH897" i="3" s="1"/>
  <c r="AG897" i="3" l="1"/>
  <c r="E897" i="3"/>
  <c r="H897" i="3" s="1"/>
  <c r="D897" i="3"/>
  <c r="K897" i="3" l="1"/>
  <c r="AE897" i="3" s="1"/>
  <c r="F897" i="3"/>
  <c r="G897" i="3"/>
  <c r="I897" i="3" l="1"/>
  <c r="J897" i="3"/>
  <c r="AD897" i="3" s="1"/>
  <c r="M897" i="3"/>
  <c r="N897" i="3" s="1"/>
  <c r="V897" i="3"/>
  <c r="A898" i="3"/>
  <c r="B898" i="3" s="1"/>
  <c r="W897" i="3" l="1"/>
  <c r="P898" i="3"/>
  <c r="Q898" i="3" s="1"/>
  <c r="R898" i="3" s="1"/>
  <c r="S898" i="3" s="1"/>
  <c r="AA898" i="3"/>
  <c r="Z898" i="3"/>
  <c r="AC898" i="3"/>
  <c r="L897" i="3"/>
  <c r="U897" i="3" l="1"/>
  <c r="Y896" i="3"/>
  <c r="T898" i="3"/>
  <c r="AH898" i="3" s="1"/>
  <c r="E898" i="3" l="1"/>
  <c r="H898" i="3" s="1"/>
  <c r="K898" i="3" s="1"/>
  <c r="AE898" i="3" s="1"/>
  <c r="D898" i="3"/>
  <c r="AG898" i="3"/>
  <c r="V898" i="3" l="1"/>
  <c r="A899" i="3"/>
  <c r="B899" i="3" s="1"/>
  <c r="F898" i="3"/>
  <c r="G898" i="3"/>
  <c r="AC899" i="3" l="1"/>
  <c r="Z899" i="3"/>
  <c r="P899" i="3"/>
  <c r="Q899" i="3" s="1"/>
  <c r="R899" i="3" s="1"/>
  <c r="S899" i="3" s="1"/>
  <c r="AA899" i="3"/>
  <c r="I898" i="3"/>
  <c r="W898" i="3" s="1"/>
  <c r="J898" i="3"/>
  <c r="AD898" i="3" s="1"/>
  <c r="M898" i="3"/>
  <c r="N898" i="3" s="1"/>
  <c r="T899" i="3" l="1"/>
  <c r="L898" i="3"/>
  <c r="AH899" i="3" l="1"/>
  <c r="U898" i="3"/>
  <c r="D899" i="3" s="1"/>
  <c r="AG899" i="3"/>
  <c r="Y897" i="3"/>
  <c r="E899" i="3" l="1"/>
  <c r="H899" i="3" s="1"/>
  <c r="K899" i="3" s="1"/>
  <c r="AE899" i="3" s="1"/>
  <c r="G899" i="3"/>
  <c r="F899" i="3" l="1"/>
  <c r="V899" i="3"/>
  <c r="A900" i="3"/>
  <c r="B900" i="3" s="1"/>
  <c r="I899" i="3"/>
  <c r="J899" i="3"/>
  <c r="AD899" i="3" s="1"/>
  <c r="M899" i="3"/>
  <c r="N899" i="3" s="1"/>
  <c r="AC900" i="3" l="1"/>
  <c r="AA900" i="3"/>
  <c r="Z900" i="3"/>
  <c r="P900" i="3"/>
  <c r="Q900" i="3" s="1"/>
  <c r="R900" i="3" s="1"/>
  <c r="S900" i="3" s="1"/>
  <c r="L899" i="3"/>
  <c r="W899" i="3"/>
  <c r="T900" i="3" l="1"/>
  <c r="AG900" i="3" s="1"/>
  <c r="U899" i="3"/>
  <c r="Y898" i="3"/>
  <c r="D900" i="3" l="1"/>
  <c r="G900" i="3" s="1"/>
  <c r="E900" i="3"/>
  <c r="H900" i="3" s="1"/>
  <c r="K900" i="3" s="1"/>
  <c r="AE900" i="3" s="1"/>
  <c r="AH900" i="3"/>
  <c r="F900" i="3" l="1"/>
  <c r="V900" i="3"/>
  <c r="A901" i="3"/>
  <c r="B901" i="3" s="1"/>
  <c r="I900" i="3"/>
  <c r="J900" i="3"/>
  <c r="AD900" i="3" s="1"/>
  <c r="M900" i="3"/>
  <c r="N900" i="3" s="1"/>
  <c r="L900" i="3" l="1"/>
  <c r="AC901" i="3"/>
  <c r="Z901" i="3"/>
  <c r="P901" i="3"/>
  <c r="Q901" i="3" s="1"/>
  <c r="R901" i="3" s="1"/>
  <c r="S901" i="3" s="1"/>
  <c r="AA901" i="3"/>
  <c r="W900" i="3"/>
  <c r="T901" i="3" l="1"/>
  <c r="AH901" i="3" s="1"/>
  <c r="U900" i="3"/>
  <c r="Y899" i="3"/>
  <c r="D901" i="3" l="1"/>
  <c r="G901" i="3" s="1"/>
  <c r="AG901" i="3"/>
  <c r="E901" i="3"/>
  <c r="H901" i="3" s="1"/>
  <c r="K901" i="3" s="1"/>
  <c r="AE901" i="3" s="1"/>
  <c r="F901" i="3" l="1"/>
  <c r="V901" i="3"/>
  <c r="A902" i="3"/>
  <c r="B902" i="3" s="1"/>
  <c r="I901" i="3"/>
  <c r="J901" i="3"/>
  <c r="AD901" i="3" s="1"/>
  <c r="M901" i="3"/>
  <c r="N901" i="3" s="1"/>
  <c r="L901" i="3" l="1"/>
  <c r="AC902" i="3"/>
  <c r="P902" i="3"/>
  <c r="Q902" i="3" s="1"/>
  <c r="R902" i="3" s="1"/>
  <c r="S902" i="3" s="1"/>
  <c r="Z902" i="3"/>
  <c r="AA902" i="3"/>
  <c r="W901" i="3"/>
  <c r="T902" i="3" l="1"/>
  <c r="AG902" i="3" s="1"/>
  <c r="U901" i="3"/>
  <c r="Y900" i="3"/>
  <c r="E902" i="3" l="1"/>
  <c r="H902" i="3" s="1"/>
  <c r="K902" i="3" s="1"/>
  <c r="AE902" i="3" s="1"/>
  <c r="AH902" i="3"/>
  <c r="D902" i="3"/>
  <c r="F902" i="3" l="1"/>
  <c r="G902" i="3"/>
  <c r="V902" i="3"/>
  <c r="A903" i="3"/>
  <c r="B903" i="3" s="1"/>
  <c r="P903" i="3" l="1"/>
  <c r="Q903" i="3" s="1"/>
  <c r="R903" i="3" s="1"/>
  <c r="S903" i="3" s="1"/>
  <c r="AC903" i="3"/>
  <c r="Z903" i="3"/>
  <c r="AA903" i="3"/>
  <c r="I902" i="3"/>
  <c r="W902" i="3" s="1"/>
  <c r="J902" i="3"/>
  <c r="AD902" i="3" s="1"/>
  <c r="M902" i="3"/>
  <c r="N902" i="3" s="1"/>
  <c r="L902" i="3" l="1"/>
  <c r="T903" i="3"/>
  <c r="AH903" i="3" l="1"/>
  <c r="AG903" i="3"/>
  <c r="U902" i="3"/>
  <c r="D903" i="3" s="1"/>
  <c r="Y901" i="3"/>
  <c r="G903" i="3" l="1"/>
  <c r="E903" i="3"/>
  <c r="H903" i="3" s="1"/>
  <c r="I903" i="3" l="1"/>
  <c r="J903" i="3"/>
  <c r="AD903" i="3" s="1"/>
  <c r="M903" i="3"/>
  <c r="N903" i="3" s="1"/>
  <c r="K903" i="3"/>
  <c r="AE903" i="3" s="1"/>
  <c r="F903" i="3"/>
  <c r="V903" i="3" l="1"/>
  <c r="W903" i="3" s="1"/>
  <c r="A904" i="3"/>
  <c r="B904" i="3" s="1"/>
  <c r="L903" i="3"/>
  <c r="AC904" i="3" l="1"/>
  <c r="Z904" i="3"/>
  <c r="P904" i="3"/>
  <c r="Q904" i="3" s="1"/>
  <c r="R904" i="3" s="1"/>
  <c r="S904" i="3" s="1"/>
  <c r="AA904" i="3"/>
  <c r="U903" i="3"/>
  <c r="Y902" i="3"/>
  <c r="T904" i="3" l="1"/>
  <c r="AG904" i="3" s="1"/>
  <c r="AH904" i="3" l="1"/>
  <c r="E904" i="3"/>
  <c r="H904" i="3" s="1"/>
  <c r="K904" i="3" s="1"/>
  <c r="AE904" i="3" s="1"/>
  <c r="D904" i="3"/>
  <c r="F904" i="3" l="1"/>
  <c r="G904" i="3"/>
  <c r="I904" i="3" s="1"/>
  <c r="V904" i="3"/>
  <c r="A905" i="3"/>
  <c r="B905" i="3" s="1"/>
  <c r="M904" i="3" l="1"/>
  <c r="N904" i="3" s="1"/>
  <c r="J904" i="3"/>
  <c r="AA905" i="3"/>
  <c r="Z905" i="3"/>
  <c r="AC905" i="3"/>
  <c r="P905" i="3"/>
  <c r="Q905" i="3" s="1"/>
  <c r="R905" i="3" s="1"/>
  <c r="S905" i="3" s="1"/>
  <c r="W904" i="3"/>
  <c r="L904" i="3" l="1"/>
  <c r="U904" i="3" s="1"/>
  <c r="AD904" i="3"/>
  <c r="T905" i="3"/>
  <c r="AG905" i="3" l="1"/>
  <c r="Y903" i="3"/>
  <c r="AH905" i="3"/>
  <c r="D905" i="3"/>
  <c r="G905" i="3" s="1"/>
  <c r="E905" i="3"/>
  <c r="H905" i="3" s="1"/>
  <c r="K905" i="3" s="1"/>
  <c r="AE905" i="3" s="1"/>
  <c r="F905" i="3" l="1"/>
  <c r="V905" i="3"/>
  <c r="A906" i="3"/>
  <c r="B906" i="3" s="1"/>
  <c r="I905" i="3"/>
  <c r="J905" i="3"/>
  <c r="AD905" i="3" s="1"/>
  <c r="M905" i="3"/>
  <c r="N905" i="3" s="1"/>
  <c r="AA906" i="3" l="1"/>
  <c r="P906" i="3"/>
  <c r="Q906" i="3" s="1"/>
  <c r="R906" i="3" s="1"/>
  <c r="S906" i="3" s="1"/>
  <c r="Z906" i="3"/>
  <c r="AC906" i="3"/>
  <c r="L905" i="3"/>
  <c r="W905" i="3"/>
  <c r="T906" i="3" l="1"/>
  <c r="AG906" i="3" s="1"/>
  <c r="U905" i="3"/>
  <c r="Y904" i="3"/>
  <c r="AH906" i="3" l="1"/>
  <c r="E906" i="3"/>
  <c r="H906" i="3" s="1"/>
  <c r="K906" i="3" s="1"/>
  <c r="AE906" i="3" s="1"/>
  <c r="D906" i="3"/>
  <c r="F906" i="3" l="1"/>
  <c r="G906" i="3"/>
  <c r="I906" i="3" s="1"/>
  <c r="V906" i="3"/>
  <c r="A907" i="3"/>
  <c r="B907" i="3" s="1"/>
  <c r="M906" i="3" l="1"/>
  <c r="N906" i="3" s="1"/>
  <c r="J906" i="3"/>
  <c r="AD906" i="3" s="1"/>
  <c r="P907" i="3"/>
  <c r="Q907" i="3" s="1"/>
  <c r="R907" i="3" s="1"/>
  <c r="S907" i="3" s="1"/>
  <c r="Z907" i="3"/>
  <c r="AC907" i="3"/>
  <c r="AA907" i="3"/>
  <c r="W906" i="3"/>
  <c r="L906" i="3" l="1"/>
  <c r="U906" i="3" s="1"/>
  <c r="T907" i="3"/>
  <c r="Y905" i="3" l="1"/>
  <c r="AH907" i="3"/>
  <c r="D907" i="3"/>
  <c r="G907" i="3" s="1"/>
  <c r="AG907" i="3"/>
  <c r="E907" i="3"/>
  <c r="H907" i="3" s="1"/>
  <c r="K907" i="3" s="1"/>
  <c r="AE907" i="3" s="1"/>
  <c r="F907" i="3" l="1"/>
  <c r="V907" i="3"/>
  <c r="A908" i="3"/>
  <c r="B908" i="3" s="1"/>
  <c r="I907" i="3"/>
  <c r="J907" i="3"/>
  <c r="AD907" i="3" s="1"/>
  <c r="M907" i="3"/>
  <c r="N907" i="3" s="1"/>
  <c r="Z908" i="3" l="1"/>
  <c r="P908" i="3"/>
  <c r="Q908" i="3" s="1"/>
  <c r="R908" i="3" s="1"/>
  <c r="S908" i="3" s="1"/>
  <c r="AC908" i="3"/>
  <c r="AA908" i="3"/>
  <c r="L907" i="3"/>
  <c r="W907" i="3"/>
  <c r="T908" i="3" l="1"/>
  <c r="U907" i="3"/>
  <c r="Y906" i="3"/>
  <c r="D908" i="3" l="1"/>
  <c r="G908" i="3" s="1"/>
  <c r="E908" i="3"/>
  <c r="H908" i="3" s="1"/>
  <c r="K908" i="3" s="1"/>
  <c r="AE908" i="3" s="1"/>
  <c r="AG908" i="3"/>
  <c r="AH908" i="3"/>
  <c r="F908" i="3" l="1"/>
  <c r="V908" i="3"/>
  <c r="A909" i="3"/>
  <c r="B909" i="3" s="1"/>
  <c r="I908" i="3"/>
  <c r="J908" i="3"/>
  <c r="AD908" i="3" s="1"/>
  <c r="M908" i="3"/>
  <c r="N908" i="3" s="1"/>
  <c r="AC909" i="3" l="1"/>
  <c r="Z909" i="3"/>
  <c r="P909" i="3"/>
  <c r="Q909" i="3" s="1"/>
  <c r="R909" i="3" s="1"/>
  <c r="S909" i="3" s="1"/>
  <c r="AA909" i="3"/>
  <c r="L908" i="3"/>
  <c r="W908" i="3"/>
  <c r="T909" i="3" l="1"/>
  <c r="AH909" i="3" s="1"/>
  <c r="U908" i="3"/>
  <c r="Y907" i="3"/>
  <c r="E909" i="3" l="1"/>
  <c r="H909" i="3" s="1"/>
  <c r="K909" i="3" s="1"/>
  <c r="AE909" i="3" s="1"/>
  <c r="AG909" i="3"/>
  <c r="D909" i="3"/>
  <c r="F909" i="3" l="1"/>
  <c r="G909" i="3"/>
  <c r="I909" i="3" s="1"/>
  <c r="V909" i="3"/>
  <c r="A910" i="3"/>
  <c r="B910" i="3" s="1"/>
  <c r="J909" i="3" l="1"/>
  <c r="AD909" i="3" s="1"/>
  <c r="W909" i="3"/>
  <c r="M909" i="3"/>
  <c r="N909" i="3" s="1"/>
  <c r="Z910" i="3"/>
  <c r="AC910" i="3"/>
  <c r="P910" i="3"/>
  <c r="Q910" i="3" s="1"/>
  <c r="R910" i="3" s="1"/>
  <c r="S910" i="3" s="1"/>
  <c r="AA910" i="3"/>
  <c r="L909" i="3" l="1"/>
  <c r="U909" i="3" s="1"/>
  <c r="T910" i="3"/>
  <c r="Y908" i="3" l="1"/>
  <c r="AG910" i="3"/>
  <c r="D910" i="3"/>
  <c r="G910" i="3" s="1"/>
  <c r="E910" i="3"/>
  <c r="H910" i="3" s="1"/>
  <c r="K910" i="3" s="1"/>
  <c r="AE910" i="3" s="1"/>
  <c r="AH910" i="3"/>
  <c r="F910" i="3" l="1"/>
  <c r="V910" i="3"/>
  <c r="A911" i="3"/>
  <c r="B911" i="3" s="1"/>
  <c r="I910" i="3"/>
  <c r="J910" i="3"/>
  <c r="AD910" i="3" s="1"/>
  <c r="M910" i="3"/>
  <c r="N910" i="3" s="1"/>
  <c r="L910" i="3" l="1"/>
  <c r="P911" i="3"/>
  <c r="Q911" i="3" s="1"/>
  <c r="R911" i="3" s="1"/>
  <c r="S911" i="3" s="1"/>
  <c r="Z911" i="3"/>
  <c r="AA911" i="3"/>
  <c r="AC911" i="3"/>
  <c r="W910" i="3"/>
  <c r="T911" i="3" l="1"/>
  <c r="AG911" i="3" s="1"/>
  <c r="U910" i="3"/>
  <c r="Y909" i="3"/>
  <c r="AH911" i="3" l="1"/>
  <c r="D911" i="3"/>
  <c r="G911" i="3" s="1"/>
  <c r="E911" i="3"/>
  <c r="H911" i="3" s="1"/>
  <c r="K911" i="3" s="1"/>
  <c r="AE911" i="3" s="1"/>
  <c r="F911" i="3" l="1"/>
  <c r="V911" i="3"/>
  <c r="A912" i="3"/>
  <c r="B912" i="3" s="1"/>
  <c r="I911" i="3"/>
  <c r="J911" i="3"/>
  <c r="AD911" i="3" s="1"/>
  <c r="M911" i="3"/>
  <c r="N911" i="3" s="1"/>
  <c r="Z912" i="3" l="1"/>
  <c r="AA912" i="3"/>
  <c r="AC912" i="3"/>
  <c r="P912" i="3"/>
  <c r="Q912" i="3" s="1"/>
  <c r="R912" i="3" s="1"/>
  <c r="S912" i="3" s="1"/>
  <c r="L911" i="3"/>
  <c r="W911" i="3"/>
  <c r="T912" i="3" l="1"/>
  <c r="AH912" i="3" s="1"/>
  <c r="U911" i="3"/>
  <c r="Y910" i="3"/>
  <c r="AG912" i="3" l="1"/>
  <c r="D912" i="3"/>
  <c r="G912" i="3" s="1"/>
  <c r="E912" i="3"/>
  <c r="H912" i="3" s="1"/>
  <c r="K912" i="3" s="1"/>
  <c r="AE912" i="3" s="1"/>
  <c r="F912" i="3" l="1"/>
  <c r="V912" i="3"/>
  <c r="A913" i="3"/>
  <c r="B913" i="3" s="1"/>
  <c r="I912" i="3"/>
  <c r="J912" i="3"/>
  <c r="AD912" i="3" s="1"/>
  <c r="M912" i="3"/>
  <c r="N912" i="3" s="1"/>
  <c r="L912" i="3" l="1"/>
  <c r="P913" i="3"/>
  <c r="Q913" i="3" s="1"/>
  <c r="R913" i="3" s="1"/>
  <c r="S913" i="3" s="1"/>
  <c r="Z913" i="3"/>
  <c r="AA913" i="3"/>
  <c r="AC913" i="3"/>
  <c r="W912" i="3"/>
  <c r="T913" i="3" l="1"/>
  <c r="AG913" i="3" s="1"/>
  <c r="U912" i="3"/>
  <c r="Y911" i="3"/>
  <c r="E913" i="3" l="1"/>
  <c r="H913" i="3" s="1"/>
  <c r="K913" i="3" s="1"/>
  <c r="AE913" i="3" s="1"/>
  <c r="AH913" i="3"/>
  <c r="D913" i="3"/>
  <c r="F913" i="3" l="1"/>
  <c r="G913" i="3"/>
  <c r="I913" i="3" s="1"/>
  <c r="V913" i="3"/>
  <c r="A914" i="3"/>
  <c r="B914" i="3" s="1"/>
  <c r="M913" i="3" l="1"/>
  <c r="N913" i="3" s="1"/>
  <c r="J913" i="3"/>
  <c r="W913" i="3"/>
  <c r="AA914" i="3"/>
  <c r="Z914" i="3"/>
  <c r="P914" i="3"/>
  <c r="Q914" i="3" s="1"/>
  <c r="R914" i="3" s="1"/>
  <c r="S914" i="3" s="1"/>
  <c r="AC914" i="3"/>
  <c r="L913" i="3" l="1"/>
  <c r="U913" i="3" s="1"/>
  <c r="AD913" i="3"/>
  <c r="T914" i="3"/>
  <c r="Y912" i="3" l="1"/>
  <c r="AH914" i="3"/>
  <c r="AG914" i="3"/>
  <c r="D914" i="3"/>
  <c r="G914" i="3" s="1"/>
  <c r="E914" i="3"/>
  <c r="H914" i="3" s="1"/>
  <c r="K914" i="3" s="1"/>
  <c r="AE914" i="3" s="1"/>
  <c r="F914" i="3" l="1"/>
  <c r="V914" i="3"/>
  <c r="A915" i="3"/>
  <c r="B915" i="3" s="1"/>
  <c r="I914" i="3"/>
  <c r="J914" i="3"/>
  <c r="AD914" i="3" s="1"/>
  <c r="M914" i="3"/>
  <c r="N914" i="3" s="1"/>
  <c r="L914" i="3" l="1"/>
  <c r="AA915" i="3"/>
  <c r="AC915" i="3"/>
  <c r="P915" i="3"/>
  <c r="Q915" i="3" s="1"/>
  <c r="R915" i="3" s="1"/>
  <c r="S915" i="3" s="1"/>
  <c r="Z915" i="3"/>
  <c r="W914" i="3"/>
  <c r="T915" i="3" l="1"/>
  <c r="AG915" i="3" s="1"/>
  <c r="U914" i="3"/>
  <c r="Y913" i="3"/>
  <c r="E915" i="3" l="1"/>
  <c r="H915" i="3" s="1"/>
  <c r="K915" i="3" s="1"/>
  <c r="AE915" i="3" s="1"/>
  <c r="AH915" i="3"/>
  <c r="D915" i="3"/>
  <c r="F915" i="3" l="1"/>
  <c r="G915" i="3"/>
  <c r="I915" i="3" s="1"/>
  <c r="V915" i="3"/>
  <c r="A916" i="3"/>
  <c r="B916" i="3" s="1"/>
  <c r="M915" i="3" l="1"/>
  <c r="N915" i="3" s="1"/>
  <c r="J915" i="3"/>
  <c r="P916" i="3"/>
  <c r="Q916" i="3" s="1"/>
  <c r="R916" i="3" s="1"/>
  <c r="S916" i="3" s="1"/>
  <c r="AC916" i="3"/>
  <c r="AA916" i="3"/>
  <c r="Z916" i="3"/>
  <c r="W915" i="3"/>
  <c r="L915" i="3" l="1"/>
  <c r="U915" i="3" s="1"/>
  <c r="AD915" i="3"/>
  <c r="T916" i="3"/>
  <c r="Y914" i="3" l="1"/>
  <c r="D916" i="3"/>
  <c r="G916" i="3" s="1"/>
  <c r="E916" i="3"/>
  <c r="H916" i="3" s="1"/>
  <c r="K916" i="3" s="1"/>
  <c r="AE916" i="3" s="1"/>
  <c r="AG916" i="3"/>
  <c r="AH916" i="3"/>
  <c r="F916" i="3" l="1"/>
  <c r="I916" i="3"/>
  <c r="J916" i="3"/>
  <c r="AD916" i="3" s="1"/>
  <c r="M916" i="3"/>
  <c r="N916" i="3" s="1"/>
  <c r="V916" i="3"/>
  <c r="A917" i="3"/>
  <c r="B917" i="3" s="1"/>
  <c r="W916" i="3" l="1"/>
  <c r="AC917" i="3"/>
  <c r="AA917" i="3"/>
  <c r="Z917" i="3"/>
  <c r="P917" i="3"/>
  <c r="Q917" i="3" s="1"/>
  <c r="R917" i="3" s="1"/>
  <c r="S917" i="3" s="1"/>
  <c r="L916" i="3"/>
  <c r="T917" i="3" l="1"/>
  <c r="AH917" i="3" s="1"/>
  <c r="U916" i="3"/>
  <c r="Y915" i="3"/>
  <c r="AG917" i="3" l="1"/>
  <c r="D917" i="3"/>
  <c r="G917" i="3" s="1"/>
  <c r="E917" i="3"/>
  <c r="H917" i="3" s="1"/>
  <c r="K917" i="3" s="1"/>
  <c r="AE917" i="3" s="1"/>
  <c r="F917" i="3" l="1"/>
  <c r="I917" i="3"/>
  <c r="J917" i="3"/>
  <c r="AD917" i="3" s="1"/>
  <c r="M917" i="3"/>
  <c r="N917" i="3" s="1"/>
  <c r="V917" i="3"/>
  <c r="A918" i="3"/>
  <c r="B918" i="3" s="1"/>
  <c r="W917" i="3" l="1"/>
  <c r="AA918" i="3"/>
  <c r="AC918" i="3"/>
  <c r="P918" i="3"/>
  <c r="Q918" i="3" s="1"/>
  <c r="R918" i="3" s="1"/>
  <c r="S918" i="3" s="1"/>
  <c r="Z918" i="3"/>
  <c r="L917" i="3"/>
  <c r="T918" i="3" l="1"/>
  <c r="AG918" i="3" s="1"/>
  <c r="U917" i="3"/>
  <c r="Y916" i="3"/>
  <c r="E918" i="3" l="1"/>
  <c r="H918" i="3" s="1"/>
  <c r="K918" i="3" s="1"/>
  <c r="AE918" i="3" s="1"/>
  <c r="AH918" i="3"/>
  <c r="D918" i="3"/>
  <c r="F918" i="3" l="1"/>
  <c r="G918" i="3"/>
  <c r="I918" i="3" s="1"/>
  <c r="V918" i="3"/>
  <c r="A919" i="3"/>
  <c r="B919" i="3" s="1"/>
  <c r="M918" i="3" l="1"/>
  <c r="N918" i="3" s="1"/>
  <c r="J918" i="3"/>
  <c r="AA919" i="3"/>
  <c r="AC919" i="3"/>
  <c r="P919" i="3"/>
  <c r="Q919" i="3" s="1"/>
  <c r="R919" i="3" s="1"/>
  <c r="S919" i="3" s="1"/>
  <c r="Z919" i="3"/>
  <c r="W918" i="3"/>
  <c r="L918" i="3" l="1"/>
  <c r="U918" i="3" s="1"/>
  <c r="AD918" i="3"/>
  <c r="T919" i="3"/>
  <c r="Y917" i="3" l="1"/>
  <c r="AG919" i="3"/>
  <c r="AH919" i="3"/>
  <c r="E919" i="3"/>
  <c r="H919" i="3" s="1"/>
  <c r="K919" i="3" s="1"/>
  <c r="AE919" i="3" s="1"/>
  <c r="D919" i="3"/>
  <c r="G919" i="3" s="1"/>
  <c r="F919" i="3" l="1"/>
  <c r="I919" i="3"/>
  <c r="J919" i="3"/>
  <c r="AD919" i="3" s="1"/>
  <c r="M919" i="3"/>
  <c r="N919" i="3" s="1"/>
  <c r="V919" i="3"/>
  <c r="A920" i="3"/>
  <c r="B920" i="3" s="1"/>
  <c r="W919" i="3" l="1"/>
  <c r="AA920" i="3"/>
  <c r="P920" i="3"/>
  <c r="Q920" i="3" s="1"/>
  <c r="R920" i="3" s="1"/>
  <c r="S920" i="3" s="1"/>
  <c r="Z920" i="3"/>
  <c r="AC920" i="3"/>
  <c r="L919" i="3"/>
  <c r="T920" i="3" l="1"/>
  <c r="AH920" i="3" s="1"/>
  <c r="U919" i="3"/>
  <c r="Y918" i="3"/>
  <c r="AG920" i="3" l="1"/>
  <c r="E920" i="3"/>
  <c r="H920" i="3" s="1"/>
  <c r="K920" i="3" s="1"/>
  <c r="AE920" i="3" s="1"/>
  <c r="D920" i="3"/>
  <c r="F920" i="3" l="1"/>
  <c r="G920" i="3"/>
  <c r="V920" i="3"/>
  <c r="A921" i="3"/>
  <c r="B921" i="3" s="1"/>
  <c r="P921" i="3" l="1"/>
  <c r="Q921" i="3" s="1"/>
  <c r="R921" i="3" s="1"/>
  <c r="S921" i="3" s="1"/>
  <c r="AA921" i="3"/>
  <c r="AC921" i="3"/>
  <c r="Z921" i="3"/>
  <c r="I920" i="3"/>
  <c r="W920" i="3" s="1"/>
  <c r="J920" i="3"/>
  <c r="AD920" i="3" s="1"/>
  <c r="M920" i="3"/>
  <c r="N920" i="3" s="1"/>
  <c r="L920" i="3" l="1"/>
  <c r="T921" i="3"/>
  <c r="AH921" i="3" l="1"/>
  <c r="U920" i="3"/>
  <c r="E921" i="3" s="1"/>
  <c r="H921" i="3" s="1"/>
  <c r="AG921" i="3"/>
  <c r="Y919" i="3"/>
  <c r="D921" i="3" l="1"/>
  <c r="F921" i="3" s="1"/>
  <c r="K921" i="3"/>
  <c r="AE921" i="3" s="1"/>
  <c r="G921" i="3" l="1"/>
  <c r="I921" i="3" s="1"/>
  <c r="V921" i="3"/>
  <c r="A922" i="3"/>
  <c r="B922" i="3" s="1"/>
  <c r="M921" i="3" l="1"/>
  <c r="N921" i="3" s="1"/>
  <c r="J921" i="3"/>
  <c r="W921" i="3"/>
  <c r="P922" i="3"/>
  <c r="Q922" i="3" s="1"/>
  <c r="R922" i="3" s="1"/>
  <c r="S922" i="3" s="1"/>
  <c r="AA922" i="3"/>
  <c r="Z922" i="3"/>
  <c r="AC922" i="3"/>
  <c r="L921" i="3" l="1"/>
  <c r="U921" i="3" s="1"/>
  <c r="AD921" i="3"/>
  <c r="T922" i="3"/>
  <c r="Y920" i="3" l="1"/>
  <c r="E922" i="3"/>
  <c r="H922" i="3" s="1"/>
  <c r="K922" i="3" s="1"/>
  <c r="AE922" i="3" s="1"/>
  <c r="AG922" i="3"/>
  <c r="AH922" i="3"/>
  <c r="D922" i="3"/>
  <c r="F922" i="3" l="1"/>
  <c r="G922" i="3"/>
  <c r="V922" i="3"/>
  <c r="A923" i="3"/>
  <c r="B923" i="3" s="1"/>
  <c r="P923" i="3" l="1"/>
  <c r="Q923" i="3" s="1"/>
  <c r="R923" i="3" s="1"/>
  <c r="S923" i="3" s="1"/>
  <c r="AA923" i="3"/>
  <c r="Z923" i="3"/>
  <c r="AC923" i="3"/>
  <c r="I922" i="3"/>
  <c r="W922" i="3" s="1"/>
  <c r="J922" i="3"/>
  <c r="AD922" i="3" s="1"/>
  <c r="M922" i="3"/>
  <c r="N922" i="3" s="1"/>
  <c r="L922" i="3" l="1"/>
  <c r="T923" i="3"/>
  <c r="U922" i="3" l="1"/>
  <c r="D923" i="3" s="1"/>
  <c r="AH923" i="3"/>
  <c r="AG923" i="3"/>
  <c r="Y921" i="3"/>
  <c r="E923" i="3" l="1"/>
  <c r="H923" i="3" s="1"/>
  <c r="K923" i="3" s="1"/>
  <c r="AE923" i="3" s="1"/>
  <c r="G923" i="3"/>
  <c r="F923" i="3" l="1"/>
  <c r="V923" i="3"/>
  <c r="A924" i="3"/>
  <c r="B924" i="3" s="1"/>
  <c r="I923" i="3"/>
  <c r="J923" i="3"/>
  <c r="AD923" i="3" s="1"/>
  <c r="M923" i="3"/>
  <c r="N923" i="3" s="1"/>
  <c r="W923" i="3" l="1"/>
  <c r="L923" i="3"/>
  <c r="AC924" i="3"/>
  <c r="P924" i="3"/>
  <c r="Q924" i="3" s="1"/>
  <c r="R924" i="3" s="1"/>
  <c r="S924" i="3" s="1"/>
  <c r="AA924" i="3"/>
  <c r="Z924" i="3"/>
  <c r="T924" i="3" l="1"/>
  <c r="U923" i="3"/>
  <c r="Y922" i="3"/>
  <c r="E924" i="3" l="1"/>
  <c r="H924" i="3" s="1"/>
  <c r="K924" i="3" s="1"/>
  <c r="AE924" i="3" s="1"/>
  <c r="AG924" i="3"/>
  <c r="D924" i="3"/>
  <c r="AH924" i="3"/>
  <c r="F924" i="3" l="1"/>
  <c r="G924" i="3"/>
  <c r="J924" i="3" s="1"/>
  <c r="AD924" i="3" s="1"/>
  <c r="V924" i="3"/>
  <c r="A925" i="3"/>
  <c r="B925" i="3" s="1"/>
  <c r="M924" i="3" l="1"/>
  <c r="N924" i="3" s="1"/>
  <c r="I924" i="3"/>
  <c r="W924" i="3" s="1"/>
  <c r="Z925" i="3"/>
  <c r="AC925" i="3"/>
  <c r="P925" i="3"/>
  <c r="Q925" i="3" s="1"/>
  <c r="R925" i="3" s="1"/>
  <c r="S925" i="3" s="1"/>
  <c r="AA925" i="3"/>
  <c r="L924" i="3"/>
  <c r="T925" i="3" l="1"/>
  <c r="AG925" i="3" s="1"/>
  <c r="U924" i="3"/>
  <c r="Y923" i="3"/>
  <c r="E925" i="3" l="1"/>
  <c r="H925" i="3" s="1"/>
  <c r="K925" i="3" s="1"/>
  <c r="AE925" i="3" s="1"/>
  <c r="AH925" i="3"/>
  <c r="D925" i="3"/>
  <c r="F925" i="3" l="1"/>
  <c r="G925" i="3"/>
  <c r="I925" i="3" s="1"/>
  <c r="V925" i="3"/>
  <c r="A926" i="3"/>
  <c r="B926" i="3" s="1"/>
  <c r="W925" i="3" l="1"/>
  <c r="J925" i="3"/>
  <c r="M925" i="3"/>
  <c r="N925" i="3" s="1"/>
  <c r="P926" i="3"/>
  <c r="Q926" i="3" s="1"/>
  <c r="R926" i="3" s="1"/>
  <c r="S926" i="3" s="1"/>
  <c r="AC926" i="3"/>
  <c r="Z926" i="3"/>
  <c r="AA926" i="3"/>
  <c r="L925" i="3" l="1"/>
  <c r="U925" i="3" s="1"/>
  <c r="AD925" i="3"/>
  <c r="T926" i="3"/>
  <c r="Y924" i="3" l="1"/>
  <c r="AH926" i="3"/>
  <c r="E926" i="3"/>
  <c r="H926" i="3" s="1"/>
  <c r="K926" i="3" s="1"/>
  <c r="AE926" i="3" s="1"/>
  <c r="AG926" i="3"/>
  <c r="D926" i="3"/>
  <c r="G926" i="3" s="1"/>
  <c r="F926" i="3" l="1"/>
  <c r="I926" i="3"/>
  <c r="J926" i="3"/>
  <c r="AD926" i="3" s="1"/>
  <c r="M926" i="3"/>
  <c r="N926" i="3" s="1"/>
  <c r="V926" i="3"/>
  <c r="A927" i="3"/>
  <c r="B927" i="3" s="1"/>
  <c r="W926" i="3" l="1"/>
  <c r="AA927" i="3"/>
  <c r="AC927" i="3"/>
  <c r="Z927" i="3"/>
  <c r="P927" i="3"/>
  <c r="Q927" i="3" s="1"/>
  <c r="R927" i="3" s="1"/>
  <c r="S927" i="3" s="1"/>
  <c r="L926" i="3"/>
  <c r="T927" i="3" l="1"/>
  <c r="AG927" i="3" s="1"/>
  <c r="U926" i="3"/>
  <c r="Y925" i="3"/>
  <c r="E927" i="3" l="1"/>
  <c r="H927" i="3" s="1"/>
  <c r="K927" i="3" s="1"/>
  <c r="AE927" i="3" s="1"/>
  <c r="AH927" i="3"/>
  <c r="D927" i="3"/>
  <c r="F927" i="3" l="1"/>
  <c r="G927" i="3"/>
  <c r="J927" i="3" s="1"/>
  <c r="AD927" i="3" s="1"/>
  <c r="V927" i="3"/>
  <c r="A928" i="3"/>
  <c r="B928" i="3" s="1"/>
  <c r="M927" i="3" l="1"/>
  <c r="N927" i="3" s="1"/>
  <c r="I927" i="3"/>
  <c r="W927" i="3" s="1"/>
  <c r="L927" i="3"/>
  <c r="AC928" i="3"/>
  <c r="P928" i="3"/>
  <c r="Q928" i="3" s="1"/>
  <c r="R928" i="3" s="1"/>
  <c r="S928" i="3" s="1"/>
  <c r="AA928" i="3"/>
  <c r="Z928" i="3"/>
  <c r="T928" i="3" l="1"/>
  <c r="AH928" i="3" s="1"/>
  <c r="U927" i="3"/>
  <c r="Y926" i="3"/>
  <c r="E928" i="3" l="1"/>
  <c r="H928" i="3" s="1"/>
  <c r="K928" i="3" s="1"/>
  <c r="AE928" i="3" s="1"/>
  <c r="AG928" i="3"/>
  <c r="D928" i="3"/>
  <c r="F928" i="3" l="1"/>
  <c r="G928" i="3"/>
  <c r="J928" i="3" s="1"/>
  <c r="AD928" i="3" s="1"/>
  <c r="V928" i="3"/>
  <c r="A929" i="3"/>
  <c r="B929" i="3" s="1"/>
  <c r="M928" i="3" l="1"/>
  <c r="N928" i="3" s="1"/>
  <c r="I928" i="3"/>
  <c r="W928" i="3" s="1"/>
  <c r="AC929" i="3"/>
  <c r="Z929" i="3"/>
  <c r="P929" i="3"/>
  <c r="Q929" i="3" s="1"/>
  <c r="R929" i="3" s="1"/>
  <c r="S929" i="3" s="1"/>
  <c r="AA929" i="3"/>
  <c r="L928" i="3"/>
  <c r="T929" i="3" l="1"/>
  <c r="AH929" i="3" s="1"/>
  <c r="U928" i="3"/>
  <c r="Y927" i="3"/>
  <c r="E929" i="3" l="1"/>
  <c r="H929" i="3" s="1"/>
  <c r="K929" i="3" s="1"/>
  <c r="AE929" i="3" s="1"/>
  <c r="D929" i="3"/>
  <c r="AG929" i="3"/>
  <c r="F929" i="3" l="1"/>
  <c r="G929" i="3"/>
  <c r="I929" i="3" s="1"/>
  <c r="V929" i="3"/>
  <c r="A930" i="3"/>
  <c r="B930" i="3" s="1"/>
  <c r="M929" i="3" l="1"/>
  <c r="N929" i="3" s="1"/>
  <c r="J929" i="3"/>
  <c r="W929" i="3"/>
  <c r="AA930" i="3"/>
  <c r="P930" i="3"/>
  <c r="Q930" i="3" s="1"/>
  <c r="R930" i="3" s="1"/>
  <c r="S930" i="3" s="1"/>
  <c r="Z930" i="3"/>
  <c r="AC930" i="3"/>
  <c r="L929" i="3" l="1"/>
  <c r="U929" i="3" s="1"/>
  <c r="AD929" i="3"/>
  <c r="T930" i="3"/>
  <c r="AH930" i="3" l="1"/>
  <c r="Y928" i="3"/>
  <c r="AG930" i="3"/>
  <c r="D930" i="3"/>
  <c r="E930" i="3"/>
  <c r="H930" i="3" s="1"/>
  <c r="K930" i="3" s="1"/>
  <c r="AE930" i="3" s="1"/>
  <c r="F930" i="3" l="1"/>
  <c r="G930" i="3"/>
  <c r="M930" i="3" s="1"/>
  <c r="N930" i="3" s="1"/>
  <c r="V930" i="3"/>
  <c r="A931" i="3"/>
  <c r="B931" i="3" s="1"/>
  <c r="J930" i="3" l="1"/>
  <c r="AD930" i="3" s="1"/>
  <c r="I930" i="3"/>
  <c r="W930" i="3" s="1"/>
  <c r="AC931" i="3"/>
  <c r="AA931" i="3"/>
  <c r="Z931" i="3"/>
  <c r="P931" i="3"/>
  <c r="Q931" i="3" s="1"/>
  <c r="R931" i="3" s="1"/>
  <c r="S931" i="3" s="1"/>
  <c r="L930" i="3" l="1"/>
  <c r="U930" i="3" s="1"/>
  <c r="T931" i="3"/>
  <c r="Y929" i="3" l="1"/>
  <c r="AH931" i="3"/>
  <c r="AG931" i="3"/>
  <c r="E931" i="3"/>
  <c r="H931" i="3" s="1"/>
  <c r="K931" i="3" s="1"/>
  <c r="AE931" i="3" s="1"/>
  <c r="D931" i="3"/>
  <c r="F931" i="3" l="1"/>
  <c r="G931" i="3"/>
  <c r="I931" i="3" s="1"/>
  <c r="V931" i="3"/>
  <c r="A932" i="3"/>
  <c r="B932" i="3" s="1"/>
  <c r="M931" i="3" l="1"/>
  <c r="N931" i="3" s="1"/>
  <c r="J931" i="3"/>
  <c r="AC932" i="3"/>
  <c r="P932" i="3"/>
  <c r="Q932" i="3" s="1"/>
  <c r="R932" i="3" s="1"/>
  <c r="S932" i="3" s="1"/>
  <c r="AA932" i="3"/>
  <c r="Z932" i="3"/>
  <c r="W931" i="3"/>
  <c r="L931" i="3" l="1"/>
  <c r="U931" i="3" s="1"/>
  <c r="AD931" i="3"/>
  <c r="T932" i="3"/>
  <c r="Y930" i="3" l="1"/>
  <c r="AG932" i="3"/>
  <c r="AH932" i="3"/>
  <c r="E932" i="3"/>
  <c r="H932" i="3" s="1"/>
  <c r="K932" i="3" s="1"/>
  <c r="AE932" i="3" s="1"/>
  <c r="D932" i="3"/>
  <c r="F932" i="3" l="1"/>
  <c r="G932" i="3"/>
  <c r="I932" i="3" s="1"/>
  <c r="V932" i="3"/>
  <c r="A933" i="3"/>
  <c r="B933" i="3" s="1"/>
  <c r="M932" i="3" l="1"/>
  <c r="N932" i="3" s="1"/>
  <c r="J932" i="3"/>
  <c r="W932" i="3"/>
  <c r="P933" i="3"/>
  <c r="Q933" i="3" s="1"/>
  <c r="R933" i="3" s="1"/>
  <c r="S933" i="3" s="1"/>
  <c r="AC933" i="3"/>
  <c r="AA933" i="3"/>
  <c r="Z933" i="3"/>
  <c r="L932" i="3" l="1"/>
  <c r="U932" i="3" s="1"/>
  <c r="AD932" i="3"/>
  <c r="T933" i="3"/>
  <c r="AG933" i="3" l="1"/>
  <c r="Y931" i="3"/>
  <c r="D933" i="3"/>
  <c r="G933" i="3" s="1"/>
  <c r="AH933" i="3"/>
  <c r="E933" i="3"/>
  <c r="H933" i="3" s="1"/>
  <c r="K933" i="3" s="1"/>
  <c r="AE933" i="3" s="1"/>
  <c r="F933" i="3" l="1"/>
  <c r="I933" i="3"/>
  <c r="J933" i="3"/>
  <c r="AD933" i="3" s="1"/>
  <c r="M933" i="3"/>
  <c r="N933" i="3" s="1"/>
  <c r="V933" i="3"/>
  <c r="A934" i="3"/>
  <c r="B934" i="3" s="1"/>
  <c r="W933" i="3" l="1"/>
  <c r="Z934" i="3"/>
  <c r="AA934" i="3"/>
  <c r="P934" i="3"/>
  <c r="Q934" i="3" s="1"/>
  <c r="R934" i="3" s="1"/>
  <c r="S934" i="3" s="1"/>
  <c r="AC934" i="3"/>
  <c r="L933" i="3"/>
  <c r="T934" i="3" l="1"/>
  <c r="AH934" i="3" s="1"/>
  <c r="U933" i="3"/>
  <c r="Y932" i="3"/>
  <c r="AG934" i="3" l="1"/>
  <c r="D934" i="3"/>
  <c r="E934" i="3"/>
  <c r="H934" i="3" s="1"/>
  <c r="K934" i="3" s="1"/>
  <c r="AE934" i="3" s="1"/>
  <c r="F934" i="3" l="1"/>
  <c r="G934" i="3"/>
  <c r="I934" i="3" s="1"/>
  <c r="V934" i="3"/>
  <c r="A935" i="3"/>
  <c r="B935" i="3" s="1"/>
  <c r="M934" i="3" l="1"/>
  <c r="N934" i="3" s="1"/>
  <c r="J934" i="3"/>
  <c r="AC935" i="3"/>
  <c r="P935" i="3"/>
  <c r="Q935" i="3" s="1"/>
  <c r="R935" i="3" s="1"/>
  <c r="S935" i="3" s="1"/>
  <c r="AA935" i="3"/>
  <c r="Z935" i="3"/>
  <c r="W934" i="3"/>
  <c r="L934" i="3" l="1"/>
  <c r="U934" i="3" s="1"/>
  <c r="AD934" i="3"/>
  <c r="T935" i="3"/>
  <c r="Y933" i="3" l="1"/>
  <c r="AG935" i="3"/>
  <c r="D935" i="3"/>
  <c r="G935" i="3" s="1"/>
  <c r="AH935" i="3"/>
  <c r="E935" i="3"/>
  <c r="H935" i="3" s="1"/>
  <c r="K935" i="3" s="1"/>
  <c r="AE935" i="3" s="1"/>
  <c r="F935" i="3" l="1"/>
  <c r="I935" i="3"/>
  <c r="J935" i="3"/>
  <c r="AD935" i="3" s="1"/>
  <c r="M935" i="3"/>
  <c r="N935" i="3" s="1"/>
  <c r="V935" i="3"/>
  <c r="A936" i="3"/>
  <c r="B936" i="3" s="1"/>
  <c r="W935" i="3" l="1"/>
  <c r="AA936" i="3"/>
  <c r="AC936" i="3"/>
  <c r="Z936" i="3"/>
  <c r="P936" i="3"/>
  <c r="Q936" i="3" s="1"/>
  <c r="R936" i="3" s="1"/>
  <c r="S936" i="3" s="1"/>
  <c r="L935" i="3"/>
  <c r="T936" i="3" l="1"/>
  <c r="AH936" i="3" s="1"/>
  <c r="U935" i="3"/>
  <c r="Y934" i="3"/>
  <c r="AG936" i="3" l="1"/>
  <c r="E936" i="3"/>
  <c r="H936" i="3" s="1"/>
  <c r="K936" i="3" s="1"/>
  <c r="AE936" i="3" s="1"/>
  <c r="D936" i="3"/>
  <c r="F936" i="3" l="1"/>
  <c r="G936" i="3"/>
  <c r="I936" i="3" s="1"/>
  <c r="V936" i="3"/>
  <c r="A937" i="3"/>
  <c r="B937" i="3" s="1"/>
  <c r="J936" i="3" l="1"/>
  <c r="M936" i="3"/>
  <c r="N936" i="3" s="1"/>
  <c r="W936" i="3"/>
  <c r="AC937" i="3"/>
  <c r="P937" i="3"/>
  <c r="Q937" i="3" s="1"/>
  <c r="R937" i="3" s="1"/>
  <c r="S937" i="3" s="1"/>
  <c r="AA937" i="3"/>
  <c r="Z937" i="3"/>
  <c r="L936" i="3" l="1"/>
  <c r="U936" i="3" s="1"/>
  <c r="AD936" i="3"/>
  <c r="T937" i="3"/>
  <c r="Y935" i="3" l="1"/>
  <c r="AH937" i="3"/>
  <c r="AG937" i="3"/>
  <c r="D937" i="3"/>
  <c r="G937" i="3" s="1"/>
  <c r="E937" i="3"/>
  <c r="H937" i="3" s="1"/>
  <c r="K937" i="3" l="1"/>
  <c r="AE937" i="3" s="1"/>
  <c r="I937" i="3"/>
  <c r="J937" i="3"/>
  <c r="AD937" i="3" s="1"/>
  <c r="M937" i="3"/>
  <c r="N937" i="3" s="1"/>
  <c r="F937" i="3"/>
  <c r="L937" i="3" l="1"/>
  <c r="V937" i="3"/>
  <c r="W937" i="3" s="1"/>
  <c r="A938" i="3"/>
  <c r="B938" i="3" s="1"/>
  <c r="AA938" i="3" l="1"/>
  <c r="AC938" i="3"/>
  <c r="Z938" i="3"/>
  <c r="P938" i="3"/>
  <c r="Q938" i="3" s="1"/>
  <c r="R938" i="3" s="1"/>
  <c r="S938" i="3" s="1"/>
  <c r="U937" i="3"/>
  <c r="Y936" i="3"/>
  <c r="T938" i="3" l="1"/>
  <c r="D938" i="3" s="1"/>
  <c r="E938" i="3" l="1"/>
  <c r="H938" i="3" s="1"/>
  <c r="K938" i="3" s="1"/>
  <c r="AE938" i="3" s="1"/>
  <c r="AH938" i="3"/>
  <c r="AG938" i="3"/>
  <c r="G938" i="3"/>
  <c r="F938" i="3" l="1"/>
  <c r="V938" i="3"/>
  <c r="A939" i="3"/>
  <c r="B939" i="3" s="1"/>
  <c r="I938" i="3"/>
  <c r="J938" i="3"/>
  <c r="AD938" i="3" s="1"/>
  <c r="M938" i="3"/>
  <c r="N938" i="3" s="1"/>
  <c r="L938" i="3" l="1"/>
  <c r="P939" i="3"/>
  <c r="Q939" i="3" s="1"/>
  <c r="R939" i="3" s="1"/>
  <c r="S939" i="3" s="1"/>
  <c r="AC939" i="3"/>
  <c r="AA939" i="3"/>
  <c r="Z939" i="3"/>
  <c r="W938" i="3"/>
  <c r="T939" i="3" l="1"/>
  <c r="U938" i="3"/>
  <c r="Y937" i="3"/>
  <c r="D939" i="3" l="1"/>
  <c r="G939" i="3" s="1"/>
  <c r="AG939" i="3"/>
  <c r="AH939" i="3"/>
  <c r="E939" i="3"/>
  <c r="H939" i="3" s="1"/>
  <c r="K939" i="3" s="1"/>
  <c r="AE939" i="3" s="1"/>
  <c r="F939" i="3" l="1"/>
  <c r="V939" i="3"/>
  <c r="A940" i="3"/>
  <c r="B940" i="3" s="1"/>
  <c r="I939" i="3"/>
  <c r="J939" i="3"/>
  <c r="AD939" i="3" s="1"/>
  <c r="M939" i="3"/>
  <c r="N939" i="3" s="1"/>
  <c r="Z940" i="3" l="1"/>
  <c r="P940" i="3"/>
  <c r="Q940" i="3" s="1"/>
  <c r="R940" i="3" s="1"/>
  <c r="S940" i="3" s="1"/>
  <c r="AA940" i="3"/>
  <c r="AC940" i="3"/>
  <c r="L939" i="3"/>
  <c r="W939" i="3"/>
  <c r="T940" i="3" l="1"/>
  <c r="AH940" i="3" s="1"/>
  <c r="U939" i="3"/>
  <c r="Y938" i="3"/>
  <c r="D940" i="3" l="1"/>
  <c r="G940" i="3" s="1"/>
  <c r="E940" i="3"/>
  <c r="H940" i="3" s="1"/>
  <c r="K940" i="3" s="1"/>
  <c r="AE940" i="3" s="1"/>
  <c r="AG940" i="3"/>
  <c r="F940" i="3" l="1"/>
  <c r="V940" i="3"/>
  <c r="A941" i="3"/>
  <c r="B941" i="3" s="1"/>
  <c r="I940" i="3"/>
  <c r="J940" i="3"/>
  <c r="AD940" i="3" s="1"/>
  <c r="M940" i="3"/>
  <c r="N940" i="3" s="1"/>
  <c r="AC941" i="3" l="1"/>
  <c r="P941" i="3"/>
  <c r="Q941" i="3" s="1"/>
  <c r="R941" i="3" s="1"/>
  <c r="S941" i="3" s="1"/>
  <c r="AA941" i="3"/>
  <c r="Z941" i="3"/>
  <c r="L940" i="3"/>
  <c r="W940" i="3"/>
  <c r="T941" i="3" l="1"/>
  <c r="AH941" i="3" s="1"/>
  <c r="U940" i="3"/>
  <c r="Y939" i="3"/>
  <c r="AG941" i="3" l="1"/>
  <c r="D941" i="3"/>
  <c r="G941" i="3" s="1"/>
  <c r="E941" i="3"/>
  <c r="H941" i="3" s="1"/>
  <c r="K941" i="3" s="1"/>
  <c r="AE941" i="3" s="1"/>
  <c r="F941" i="3" l="1"/>
  <c r="V941" i="3"/>
  <c r="A942" i="3"/>
  <c r="B942" i="3" s="1"/>
  <c r="I941" i="3"/>
  <c r="J941" i="3"/>
  <c r="AD941" i="3" s="1"/>
  <c r="M941" i="3"/>
  <c r="N941" i="3" s="1"/>
  <c r="L941" i="3" l="1"/>
  <c r="AA942" i="3"/>
  <c r="Z942" i="3"/>
  <c r="AC942" i="3"/>
  <c r="P942" i="3"/>
  <c r="Q942" i="3" s="1"/>
  <c r="R942" i="3" s="1"/>
  <c r="S942" i="3" s="1"/>
  <c r="W941" i="3"/>
  <c r="T942" i="3" l="1"/>
  <c r="AG942" i="3" s="1"/>
  <c r="U941" i="3"/>
  <c r="Y940" i="3"/>
  <c r="AH942" i="3" l="1"/>
  <c r="E942" i="3"/>
  <c r="H942" i="3" s="1"/>
  <c r="K942" i="3" s="1"/>
  <c r="AE942" i="3" s="1"/>
  <c r="D942" i="3"/>
  <c r="F942" i="3" l="1"/>
  <c r="G942" i="3"/>
  <c r="I942" i="3" s="1"/>
  <c r="V942" i="3"/>
  <c r="A943" i="3"/>
  <c r="B943" i="3" s="1"/>
  <c r="J942" i="3" l="1"/>
  <c r="M942" i="3"/>
  <c r="N942" i="3" s="1"/>
  <c r="AC943" i="3"/>
  <c r="P943" i="3"/>
  <c r="Q943" i="3" s="1"/>
  <c r="R943" i="3" s="1"/>
  <c r="S943" i="3" s="1"/>
  <c r="Z943" i="3"/>
  <c r="AA943" i="3"/>
  <c r="W942" i="3"/>
  <c r="L942" i="3" l="1"/>
  <c r="U942" i="3" s="1"/>
  <c r="AD942" i="3"/>
  <c r="T943" i="3"/>
  <c r="Y941" i="3" l="1"/>
  <c r="E943" i="3"/>
  <c r="H943" i="3" s="1"/>
  <c r="K943" i="3" s="1"/>
  <c r="AE943" i="3" s="1"/>
  <c r="AG943" i="3"/>
  <c r="D943" i="3"/>
  <c r="AH943" i="3"/>
  <c r="F943" i="3" l="1"/>
  <c r="G943" i="3"/>
  <c r="I943" i="3" s="1"/>
  <c r="V943" i="3"/>
  <c r="A944" i="3"/>
  <c r="B944" i="3" s="1"/>
  <c r="M943" i="3" l="1"/>
  <c r="N943" i="3" s="1"/>
  <c r="J943" i="3"/>
  <c r="Z944" i="3"/>
  <c r="P944" i="3"/>
  <c r="Q944" i="3" s="1"/>
  <c r="R944" i="3" s="1"/>
  <c r="S944" i="3" s="1"/>
  <c r="AC944" i="3"/>
  <c r="AA944" i="3"/>
  <c r="W943" i="3"/>
  <c r="L943" i="3" l="1"/>
  <c r="U943" i="3" s="1"/>
  <c r="AD943" i="3"/>
  <c r="T944" i="3"/>
  <c r="Y942" i="3" l="1"/>
  <c r="AH944" i="3"/>
  <c r="AG944" i="3"/>
  <c r="D944" i="3"/>
  <c r="G944" i="3" s="1"/>
  <c r="E944" i="3"/>
  <c r="H944" i="3" s="1"/>
  <c r="K944" i="3" s="1"/>
  <c r="AE944" i="3" s="1"/>
  <c r="F944" i="3" l="1"/>
  <c r="V944" i="3"/>
  <c r="A945" i="3"/>
  <c r="B945" i="3" s="1"/>
  <c r="I944" i="3"/>
  <c r="J944" i="3"/>
  <c r="AD944" i="3" s="1"/>
  <c r="M944" i="3"/>
  <c r="N944" i="3" s="1"/>
  <c r="Z945" i="3" l="1"/>
  <c r="AC945" i="3"/>
  <c r="P945" i="3"/>
  <c r="Q945" i="3" s="1"/>
  <c r="R945" i="3" s="1"/>
  <c r="S945" i="3" s="1"/>
  <c r="AA945" i="3"/>
  <c r="L944" i="3"/>
  <c r="W944" i="3"/>
  <c r="T945" i="3" l="1"/>
  <c r="U944" i="3"/>
  <c r="Y943" i="3"/>
  <c r="D945" i="3" l="1"/>
  <c r="G945" i="3" s="1"/>
  <c r="E945" i="3"/>
  <c r="H945" i="3" s="1"/>
  <c r="K945" i="3" s="1"/>
  <c r="AE945" i="3" s="1"/>
  <c r="AH945" i="3"/>
  <c r="AG945" i="3"/>
  <c r="F945" i="3" l="1"/>
  <c r="I945" i="3"/>
  <c r="J945" i="3"/>
  <c r="AD945" i="3" s="1"/>
  <c r="M945" i="3"/>
  <c r="N945" i="3" s="1"/>
  <c r="V945" i="3"/>
  <c r="A946" i="3"/>
  <c r="B946" i="3" s="1"/>
  <c r="W945" i="3" l="1"/>
  <c r="Z946" i="3"/>
  <c r="AC946" i="3"/>
  <c r="AA946" i="3"/>
  <c r="P946" i="3"/>
  <c r="Q946" i="3" s="1"/>
  <c r="R946" i="3" s="1"/>
  <c r="S946" i="3" s="1"/>
  <c r="L945" i="3"/>
  <c r="T946" i="3" l="1"/>
  <c r="AH946" i="3" s="1"/>
  <c r="U945" i="3"/>
  <c r="Y944" i="3"/>
  <c r="D946" i="3" l="1"/>
  <c r="G946" i="3" s="1"/>
  <c r="AG946" i="3"/>
  <c r="E946" i="3"/>
  <c r="H946" i="3" s="1"/>
  <c r="K946" i="3" s="1"/>
  <c r="AE946" i="3" s="1"/>
  <c r="F946" i="3" l="1"/>
  <c r="I946" i="3"/>
  <c r="J946" i="3"/>
  <c r="AD946" i="3" s="1"/>
  <c r="M946" i="3"/>
  <c r="N946" i="3" s="1"/>
  <c r="V946" i="3"/>
  <c r="A947" i="3"/>
  <c r="B947" i="3" s="1"/>
  <c r="W946" i="3" l="1"/>
  <c r="Z947" i="3"/>
  <c r="P947" i="3"/>
  <c r="Q947" i="3" s="1"/>
  <c r="R947" i="3" s="1"/>
  <c r="S947" i="3" s="1"/>
  <c r="AC947" i="3"/>
  <c r="AA947" i="3"/>
  <c r="L946" i="3"/>
  <c r="T947" i="3" l="1"/>
  <c r="AG947" i="3" s="1"/>
  <c r="U946" i="3"/>
  <c r="Y945" i="3"/>
  <c r="AH947" i="3" l="1"/>
  <c r="E947" i="3"/>
  <c r="H947" i="3" s="1"/>
  <c r="K947" i="3" s="1"/>
  <c r="AE947" i="3" s="1"/>
  <c r="D947" i="3"/>
  <c r="F947" i="3" l="1"/>
  <c r="G947" i="3"/>
  <c r="I947" i="3" s="1"/>
  <c r="V947" i="3"/>
  <c r="A948" i="3"/>
  <c r="B948" i="3" s="1"/>
  <c r="M947" i="3" l="1"/>
  <c r="N947" i="3" s="1"/>
  <c r="J947" i="3"/>
  <c r="AA948" i="3"/>
  <c r="Z948" i="3"/>
  <c r="AC948" i="3"/>
  <c r="P948" i="3"/>
  <c r="Q948" i="3" s="1"/>
  <c r="R948" i="3" s="1"/>
  <c r="S948" i="3" s="1"/>
  <c r="W947" i="3"/>
  <c r="L947" i="3" l="1"/>
  <c r="U947" i="3" s="1"/>
  <c r="AD947" i="3"/>
  <c r="T948" i="3"/>
  <c r="Y946" i="3" l="1"/>
  <c r="AH948" i="3"/>
  <c r="AG948" i="3"/>
  <c r="D948" i="3"/>
  <c r="G948" i="3" s="1"/>
  <c r="E948" i="3"/>
  <c r="H948" i="3" s="1"/>
  <c r="K948" i="3" s="1"/>
  <c r="AE948" i="3" s="1"/>
  <c r="F948" i="3" l="1"/>
  <c r="V948" i="3"/>
  <c r="A949" i="3"/>
  <c r="B949" i="3" s="1"/>
  <c r="I948" i="3"/>
  <c r="J948" i="3"/>
  <c r="AD948" i="3" s="1"/>
  <c r="M948" i="3"/>
  <c r="N948" i="3" s="1"/>
  <c r="W948" i="3" l="1"/>
  <c r="L948" i="3"/>
  <c r="AA949" i="3"/>
  <c r="Z949" i="3"/>
  <c r="P949" i="3"/>
  <c r="Q949" i="3" s="1"/>
  <c r="R949" i="3" s="1"/>
  <c r="S949" i="3" s="1"/>
  <c r="AC949" i="3"/>
  <c r="U948" i="3" l="1"/>
  <c r="Y947" i="3"/>
  <c r="T949" i="3"/>
  <c r="E949" i="3" l="1"/>
  <c r="H949" i="3" s="1"/>
  <c r="K949" i="3" s="1"/>
  <c r="AE949" i="3" s="1"/>
  <c r="AH949" i="3"/>
  <c r="D949" i="3"/>
  <c r="AG949" i="3"/>
  <c r="F949" i="3" l="1"/>
  <c r="G949" i="3"/>
  <c r="I949" i="3" s="1"/>
  <c r="V949" i="3"/>
  <c r="A950" i="3"/>
  <c r="B950" i="3" s="1"/>
  <c r="M949" i="3" l="1"/>
  <c r="N949" i="3" s="1"/>
  <c r="J949" i="3"/>
  <c r="W949" i="3"/>
  <c r="AC950" i="3"/>
  <c r="Z950" i="3"/>
  <c r="AA950" i="3"/>
  <c r="P950" i="3"/>
  <c r="Q950" i="3" s="1"/>
  <c r="R950" i="3" s="1"/>
  <c r="S950" i="3" s="1"/>
  <c r="L949" i="3" l="1"/>
  <c r="U949" i="3" s="1"/>
  <c r="AD949" i="3"/>
  <c r="T950" i="3"/>
  <c r="Y948" i="3" l="1"/>
  <c r="AH950" i="3"/>
  <c r="E950" i="3"/>
  <c r="H950" i="3" s="1"/>
  <c r="K950" i="3" s="1"/>
  <c r="AE950" i="3" s="1"/>
  <c r="AG950" i="3"/>
  <c r="D950" i="3"/>
  <c r="F950" i="3" l="1"/>
  <c r="G950" i="3"/>
  <c r="V950" i="3"/>
  <c r="A951" i="3"/>
  <c r="B951" i="3" s="1"/>
  <c r="AC951" i="3" l="1"/>
  <c r="AA951" i="3"/>
  <c r="Z951" i="3"/>
  <c r="P951" i="3"/>
  <c r="Q951" i="3" s="1"/>
  <c r="R951" i="3" s="1"/>
  <c r="S951" i="3" s="1"/>
  <c r="I950" i="3"/>
  <c r="W950" i="3" s="1"/>
  <c r="J950" i="3"/>
  <c r="AD950" i="3" s="1"/>
  <c r="M950" i="3"/>
  <c r="N950" i="3" s="1"/>
  <c r="T951" i="3" l="1"/>
  <c r="L950" i="3"/>
  <c r="AH951" i="3" l="1"/>
  <c r="U950" i="3"/>
  <c r="E951" i="3" s="1"/>
  <c r="H951" i="3" s="1"/>
  <c r="AG951" i="3"/>
  <c r="Y949" i="3"/>
  <c r="D951" i="3" l="1"/>
  <c r="F951" i="3" s="1"/>
  <c r="K951" i="3"/>
  <c r="AE951" i="3" s="1"/>
  <c r="G951" i="3" l="1"/>
  <c r="I951" i="3" s="1"/>
  <c r="V951" i="3"/>
  <c r="A952" i="3"/>
  <c r="B952" i="3" s="1"/>
  <c r="M951" i="3" l="1"/>
  <c r="N951" i="3" s="1"/>
  <c r="J951" i="3"/>
  <c r="AC952" i="3"/>
  <c r="Z952" i="3"/>
  <c r="AA952" i="3"/>
  <c r="P952" i="3"/>
  <c r="Q952" i="3" s="1"/>
  <c r="R952" i="3" s="1"/>
  <c r="S952" i="3" s="1"/>
  <c r="W951" i="3"/>
  <c r="L951" i="3" l="1"/>
  <c r="U951" i="3" s="1"/>
  <c r="AD951" i="3"/>
  <c r="T952" i="3"/>
  <c r="Y950" i="3" l="1"/>
  <c r="AH952" i="3"/>
  <c r="E952" i="3"/>
  <c r="H952" i="3" s="1"/>
  <c r="K952" i="3" s="1"/>
  <c r="AE952" i="3" s="1"/>
  <c r="D952" i="3"/>
  <c r="AG952" i="3"/>
  <c r="F952" i="3" l="1"/>
  <c r="G952" i="3"/>
  <c r="I952" i="3" s="1"/>
  <c r="V952" i="3"/>
  <c r="A953" i="3"/>
  <c r="B953" i="3" s="1"/>
  <c r="M952" i="3" l="1"/>
  <c r="N952" i="3" s="1"/>
  <c r="J952" i="3"/>
  <c r="W952" i="3"/>
  <c r="AC953" i="3"/>
  <c r="AA953" i="3"/>
  <c r="Z953" i="3"/>
  <c r="P953" i="3"/>
  <c r="Q953" i="3" s="1"/>
  <c r="R953" i="3" s="1"/>
  <c r="S953" i="3" s="1"/>
  <c r="L952" i="3" l="1"/>
  <c r="U952" i="3" s="1"/>
  <c r="AD952" i="3"/>
  <c r="T953" i="3"/>
  <c r="Y951" i="3" l="1"/>
  <c r="AH953" i="3"/>
  <c r="D953" i="3"/>
  <c r="G953" i="3" s="1"/>
  <c r="AG953" i="3"/>
  <c r="E953" i="3"/>
  <c r="H953" i="3" s="1"/>
  <c r="K953" i="3" s="1"/>
  <c r="AE953" i="3" s="1"/>
  <c r="F953" i="3" l="1"/>
  <c r="I953" i="3"/>
  <c r="J953" i="3"/>
  <c r="AD953" i="3" s="1"/>
  <c r="M953" i="3"/>
  <c r="N953" i="3" s="1"/>
  <c r="V953" i="3"/>
  <c r="A954" i="3"/>
  <c r="B954" i="3" s="1"/>
  <c r="W953" i="3" l="1"/>
  <c r="AC954" i="3"/>
  <c r="Z954" i="3"/>
  <c r="AA954" i="3"/>
  <c r="P954" i="3"/>
  <c r="Q954" i="3" s="1"/>
  <c r="R954" i="3" s="1"/>
  <c r="S954" i="3" s="1"/>
  <c r="L953" i="3"/>
  <c r="T954" i="3" l="1"/>
  <c r="AH954" i="3" s="1"/>
  <c r="U953" i="3"/>
  <c r="Y952" i="3"/>
  <c r="D954" i="3" l="1"/>
  <c r="G954" i="3" s="1"/>
  <c r="AG954" i="3"/>
  <c r="E954" i="3"/>
  <c r="H954" i="3" s="1"/>
  <c r="K954" i="3" l="1"/>
  <c r="AE954" i="3" s="1"/>
  <c r="I954" i="3"/>
  <c r="J954" i="3"/>
  <c r="AD954" i="3" s="1"/>
  <c r="M954" i="3"/>
  <c r="N954" i="3" s="1"/>
  <c r="F954" i="3"/>
  <c r="L954" i="3" l="1"/>
  <c r="V954" i="3"/>
  <c r="W954" i="3" s="1"/>
  <c r="A955" i="3"/>
  <c r="B955" i="3" s="1"/>
  <c r="Z955" i="3" l="1"/>
  <c r="AA955" i="3"/>
  <c r="P955" i="3"/>
  <c r="Q955" i="3" s="1"/>
  <c r="R955" i="3" s="1"/>
  <c r="S955" i="3" s="1"/>
  <c r="AC955" i="3"/>
  <c r="U954" i="3"/>
  <c r="Y953" i="3"/>
  <c r="T955" i="3" l="1"/>
  <c r="AG955" i="3" s="1"/>
  <c r="E955" i="3" l="1"/>
  <c r="H955" i="3" s="1"/>
  <c r="K955" i="3" s="1"/>
  <c r="AE955" i="3" s="1"/>
  <c r="D955" i="3"/>
  <c r="AH955" i="3"/>
  <c r="F955" i="3" l="1"/>
  <c r="G955" i="3"/>
  <c r="I955" i="3" s="1"/>
  <c r="V955" i="3"/>
  <c r="A956" i="3"/>
  <c r="B956" i="3" s="1"/>
  <c r="M955" i="3" l="1"/>
  <c r="N955" i="3" s="1"/>
  <c r="J955" i="3"/>
  <c r="AA956" i="3"/>
  <c r="Z956" i="3"/>
  <c r="P956" i="3"/>
  <c r="Q956" i="3" s="1"/>
  <c r="R956" i="3" s="1"/>
  <c r="S956" i="3" s="1"/>
  <c r="AC956" i="3"/>
  <c r="W955" i="3"/>
  <c r="L955" i="3" l="1"/>
  <c r="U955" i="3" s="1"/>
  <c r="AD955" i="3"/>
  <c r="T956" i="3"/>
  <c r="Y954" i="3" l="1"/>
  <c r="AH956" i="3"/>
  <c r="D956" i="3"/>
  <c r="G956" i="3" s="1"/>
  <c r="AG956" i="3"/>
  <c r="E956" i="3"/>
  <c r="H956" i="3" s="1"/>
  <c r="K956" i="3" s="1"/>
  <c r="AE956" i="3" s="1"/>
  <c r="F956" i="3" l="1"/>
  <c r="V956" i="3"/>
  <c r="A957" i="3"/>
  <c r="B957" i="3" s="1"/>
  <c r="I956" i="3"/>
  <c r="J956" i="3"/>
  <c r="AD956" i="3" s="1"/>
  <c r="M956" i="3"/>
  <c r="N956" i="3" s="1"/>
  <c r="L956" i="3" l="1"/>
  <c r="Z957" i="3"/>
  <c r="AA957" i="3"/>
  <c r="P957" i="3"/>
  <c r="Q957" i="3" s="1"/>
  <c r="R957" i="3" s="1"/>
  <c r="S957" i="3" s="1"/>
  <c r="AC957" i="3"/>
  <c r="W956" i="3"/>
  <c r="T957" i="3" l="1"/>
  <c r="AG957" i="3" s="1"/>
  <c r="U956" i="3"/>
  <c r="Y955" i="3"/>
  <c r="AH957" i="3" l="1"/>
  <c r="E957" i="3"/>
  <c r="H957" i="3" s="1"/>
  <c r="K957" i="3" s="1"/>
  <c r="AE957" i="3" s="1"/>
  <c r="D957" i="3"/>
  <c r="F957" i="3" l="1"/>
  <c r="G957" i="3"/>
  <c r="V957" i="3"/>
  <c r="A958" i="3"/>
  <c r="B958" i="3" s="1"/>
  <c r="P958" i="3" l="1"/>
  <c r="Q958" i="3" s="1"/>
  <c r="R958" i="3" s="1"/>
  <c r="S958" i="3" s="1"/>
  <c r="AA958" i="3"/>
  <c r="Z958" i="3"/>
  <c r="AC958" i="3"/>
  <c r="I957" i="3"/>
  <c r="W957" i="3" s="1"/>
  <c r="J957" i="3"/>
  <c r="AD957" i="3" s="1"/>
  <c r="M957" i="3"/>
  <c r="N957" i="3" s="1"/>
  <c r="L957" i="3" l="1"/>
  <c r="T958" i="3"/>
  <c r="U957" i="3" l="1"/>
  <c r="E958" i="3" s="1"/>
  <c r="H958" i="3" s="1"/>
  <c r="AG958" i="3"/>
  <c r="AH958" i="3"/>
  <c r="Y956" i="3"/>
  <c r="D958" i="3" l="1"/>
  <c r="F958" i="3" s="1"/>
  <c r="K958" i="3"/>
  <c r="AE958" i="3" s="1"/>
  <c r="G958" i="3" l="1"/>
  <c r="I958" i="3" s="1"/>
  <c r="V958" i="3"/>
  <c r="A959" i="3"/>
  <c r="B959" i="3" s="1"/>
  <c r="M958" i="3" l="1"/>
  <c r="N958" i="3" s="1"/>
  <c r="J958" i="3"/>
  <c r="AD958" i="3" s="1"/>
  <c r="P959" i="3"/>
  <c r="Q959" i="3" s="1"/>
  <c r="R959" i="3" s="1"/>
  <c r="S959" i="3" s="1"/>
  <c r="Z959" i="3"/>
  <c r="AA959" i="3"/>
  <c r="AC959" i="3"/>
  <c r="W958" i="3"/>
  <c r="L958" i="3" l="1"/>
  <c r="U958" i="3" s="1"/>
  <c r="T959" i="3"/>
  <c r="AH959" i="3" l="1"/>
  <c r="Y957" i="3"/>
  <c r="D959" i="3"/>
  <c r="E959" i="3"/>
  <c r="H959" i="3" s="1"/>
  <c r="AG959" i="3"/>
  <c r="K959" i="3" l="1"/>
  <c r="AE959" i="3" s="1"/>
  <c r="F959" i="3"/>
  <c r="G959" i="3"/>
  <c r="I959" i="3" l="1"/>
  <c r="J959" i="3"/>
  <c r="AD959" i="3" s="1"/>
  <c r="M959" i="3"/>
  <c r="N959" i="3" s="1"/>
  <c r="V959" i="3"/>
  <c r="A960" i="3"/>
  <c r="B960" i="3" s="1"/>
  <c r="W959" i="3" l="1"/>
  <c r="AC960" i="3"/>
  <c r="Z960" i="3"/>
  <c r="AA960" i="3"/>
  <c r="P960" i="3"/>
  <c r="Q960" i="3" s="1"/>
  <c r="R960" i="3" s="1"/>
  <c r="S960" i="3" s="1"/>
  <c r="L959" i="3"/>
  <c r="T960" i="3" l="1"/>
  <c r="AH960" i="3" s="1"/>
  <c r="U959" i="3"/>
  <c r="Y958" i="3"/>
  <c r="D960" i="3" l="1"/>
  <c r="G960" i="3" s="1"/>
  <c r="E960" i="3"/>
  <c r="H960" i="3" s="1"/>
  <c r="K960" i="3" s="1"/>
  <c r="AE960" i="3" s="1"/>
  <c r="AG960" i="3"/>
  <c r="F960" i="3" l="1"/>
  <c r="I960" i="3"/>
  <c r="J960" i="3"/>
  <c r="AD960" i="3" s="1"/>
  <c r="M960" i="3"/>
  <c r="N960" i="3" s="1"/>
  <c r="V960" i="3"/>
  <c r="A961" i="3"/>
  <c r="B961" i="3" s="1"/>
  <c r="W960" i="3" l="1"/>
  <c r="AC961" i="3"/>
  <c r="AA961" i="3"/>
  <c r="Z961" i="3"/>
  <c r="P961" i="3"/>
  <c r="Q961" i="3" s="1"/>
  <c r="R961" i="3" s="1"/>
  <c r="S961" i="3" s="1"/>
  <c r="L960" i="3"/>
  <c r="T961" i="3" l="1"/>
  <c r="AG961" i="3" s="1"/>
  <c r="U960" i="3"/>
  <c r="Y959" i="3"/>
  <c r="D961" i="3" l="1"/>
  <c r="G961" i="3" s="1"/>
  <c r="AH961" i="3"/>
  <c r="E961" i="3"/>
  <c r="H961" i="3" s="1"/>
  <c r="K961" i="3" s="1"/>
  <c r="AE961" i="3" s="1"/>
  <c r="F961" i="3" l="1"/>
  <c r="I961" i="3"/>
  <c r="J961" i="3"/>
  <c r="AD961" i="3" s="1"/>
  <c r="M961" i="3"/>
  <c r="N961" i="3" s="1"/>
  <c r="V961" i="3"/>
  <c r="A962" i="3"/>
  <c r="B962" i="3" s="1"/>
  <c r="W961" i="3" l="1"/>
  <c r="P962" i="3"/>
  <c r="Q962" i="3" s="1"/>
  <c r="R962" i="3" s="1"/>
  <c r="S962" i="3" s="1"/>
  <c r="AC962" i="3"/>
  <c r="AA962" i="3"/>
  <c r="Z962" i="3"/>
  <c r="L961" i="3"/>
  <c r="T962" i="3" l="1"/>
  <c r="AH962" i="3" s="1"/>
  <c r="U961" i="3"/>
  <c r="Y960" i="3"/>
  <c r="AG962" i="3" l="1"/>
  <c r="D962" i="3"/>
  <c r="G962" i="3" s="1"/>
  <c r="E962" i="3"/>
  <c r="H962" i="3" s="1"/>
  <c r="K962" i="3" s="1"/>
  <c r="AE962" i="3" s="1"/>
  <c r="F962" i="3" l="1"/>
  <c r="V962" i="3"/>
  <c r="A963" i="3"/>
  <c r="B963" i="3" s="1"/>
  <c r="I962" i="3"/>
  <c r="J962" i="3"/>
  <c r="AD962" i="3" s="1"/>
  <c r="M962" i="3"/>
  <c r="N962" i="3" s="1"/>
  <c r="L962" i="3" l="1"/>
  <c r="P963" i="3"/>
  <c r="Q963" i="3" s="1"/>
  <c r="R963" i="3" s="1"/>
  <c r="S963" i="3" s="1"/>
  <c r="AC963" i="3"/>
  <c r="AA963" i="3"/>
  <c r="Z963" i="3"/>
  <c r="W962" i="3"/>
  <c r="T963" i="3" l="1"/>
  <c r="AH963" i="3" s="1"/>
  <c r="U962" i="3"/>
  <c r="Y961" i="3"/>
  <c r="D963" i="3" l="1"/>
  <c r="G963" i="3" s="1"/>
  <c r="AG963" i="3"/>
  <c r="E963" i="3"/>
  <c r="H963" i="3" s="1"/>
  <c r="K963" i="3" s="1"/>
  <c r="AE963" i="3" s="1"/>
  <c r="F963" i="3" l="1"/>
  <c r="V963" i="3"/>
  <c r="A964" i="3"/>
  <c r="B964" i="3" s="1"/>
  <c r="I963" i="3"/>
  <c r="J963" i="3"/>
  <c r="AD963" i="3" s="1"/>
  <c r="M963" i="3"/>
  <c r="N963" i="3" s="1"/>
  <c r="L963" i="3" l="1"/>
  <c r="P964" i="3"/>
  <c r="Q964" i="3" s="1"/>
  <c r="R964" i="3" s="1"/>
  <c r="S964" i="3" s="1"/>
  <c r="AA964" i="3"/>
  <c r="Z964" i="3"/>
  <c r="AC964" i="3"/>
  <c r="W963" i="3"/>
  <c r="T964" i="3" l="1"/>
  <c r="AG964" i="3" s="1"/>
  <c r="U963" i="3"/>
  <c r="Y962" i="3"/>
  <c r="AH964" i="3" l="1"/>
  <c r="E964" i="3"/>
  <c r="H964" i="3" s="1"/>
  <c r="K964" i="3" s="1"/>
  <c r="AE964" i="3" s="1"/>
  <c r="D964" i="3"/>
  <c r="F964" i="3" l="1"/>
  <c r="G964" i="3"/>
  <c r="I964" i="3" s="1"/>
  <c r="V964" i="3"/>
  <c r="A965" i="3"/>
  <c r="B965" i="3" s="1"/>
  <c r="M964" i="3" l="1"/>
  <c r="N964" i="3" s="1"/>
  <c r="J964" i="3"/>
  <c r="Z965" i="3"/>
  <c r="AC965" i="3"/>
  <c r="P965" i="3"/>
  <c r="Q965" i="3" s="1"/>
  <c r="R965" i="3" s="1"/>
  <c r="S965" i="3" s="1"/>
  <c r="AA965" i="3"/>
  <c r="W964" i="3"/>
  <c r="L964" i="3" l="1"/>
  <c r="U964" i="3" s="1"/>
  <c r="AD964" i="3"/>
  <c r="T965" i="3"/>
  <c r="Y963" i="3" l="1"/>
  <c r="AH965" i="3"/>
  <c r="E965" i="3"/>
  <c r="H965" i="3" s="1"/>
  <c r="K965" i="3" s="1"/>
  <c r="AE965" i="3" s="1"/>
  <c r="AG965" i="3"/>
  <c r="D965" i="3"/>
  <c r="F965" i="3" l="1"/>
  <c r="G965" i="3"/>
  <c r="I965" i="3" s="1"/>
  <c r="V965" i="3"/>
  <c r="A966" i="3"/>
  <c r="B966" i="3" s="1"/>
  <c r="M965" i="3" l="1"/>
  <c r="N965" i="3" s="1"/>
  <c r="J965" i="3"/>
  <c r="W965" i="3"/>
  <c r="Z966" i="3"/>
  <c r="AC966" i="3"/>
  <c r="P966" i="3"/>
  <c r="Q966" i="3" s="1"/>
  <c r="R966" i="3" s="1"/>
  <c r="S966" i="3" s="1"/>
  <c r="AA966" i="3"/>
  <c r="L965" i="3" l="1"/>
  <c r="U965" i="3" s="1"/>
  <c r="AD965" i="3"/>
  <c r="T966" i="3"/>
  <c r="AH966" i="3" l="1"/>
  <c r="Y964" i="3"/>
  <c r="AG966" i="3"/>
  <c r="D966" i="3"/>
  <c r="G966" i="3" s="1"/>
  <c r="E966" i="3"/>
  <c r="H966" i="3" s="1"/>
  <c r="K966" i="3" s="1"/>
  <c r="AE966" i="3" s="1"/>
  <c r="F966" i="3" l="1"/>
  <c r="V966" i="3"/>
  <c r="A967" i="3"/>
  <c r="B967" i="3" s="1"/>
  <c r="I966" i="3"/>
  <c r="J966" i="3"/>
  <c r="AD966" i="3" s="1"/>
  <c r="M966" i="3"/>
  <c r="N966" i="3" s="1"/>
  <c r="L966" i="3" l="1"/>
  <c r="W966" i="3"/>
  <c r="P967" i="3"/>
  <c r="Q967" i="3" s="1"/>
  <c r="R967" i="3" s="1"/>
  <c r="S967" i="3" s="1"/>
  <c r="AA967" i="3"/>
  <c r="Z967" i="3"/>
  <c r="AC967" i="3"/>
  <c r="T967" i="3" l="1"/>
  <c r="AH967" i="3" s="1"/>
  <c r="U966" i="3"/>
  <c r="Y965" i="3"/>
  <c r="AG967" i="3" l="1"/>
  <c r="D967" i="3"/>
  <c r="G967" i="3" s="1"/>
  <c r="E967" i="3"/>
  <c r="H967" i="3" s="1"/>
  <c r="K967" i="3" s="1"/>
  <c r="AE967" i="3" s="1"/>
  <c r="F967" i="3" l="1"/>
  <c r="I967" i="3"/>
  <c r="J967" i="3"/>
  <c r="AD967" i="3" s="1"/>
  <c r="M967" i="3"/>
  <c r="N967" i="3" s="1"/>
  <c r="V967" i="3"/>
  <c r="A968" i="3"/>
  <c r="B968" i="3" s="1"/>
  <c r="W967" i="3" l="1"/>
  <c r="P968" i="3"/>
  <c r="Q968" i="3" s="1"/>
  <c r="R968" i="3" s="1"/>
  <c r="S968" i="3" s="1"/>
  <c r="Z968" i="3"/>
  <c r="AA968" i="3"/>
  <c r="AC968" i="3"/>
  <c r="L967" i="3"/>
  <c r="T968" i="3" l="1"/>
  <c r="AG968" i="3" s="1"/>
  <c r="U967" i="3"/>
  <c r="Y966" i="3"/>
  <c r="E968" i="3" l="1"/>
  <c r="H968" i="3" s="1"/>
  <c r="K968" i="3" s="1"/>
  <c r="AE968" i="3" s="1"/>
  <c r="AH968" i="3"/>
  <c r="D968" i="3"/>
  <c r="F968" i="3" l="1"/>
  <c r="G968" i="3"/>
  <c r="I968" i="3" s="1"/>
  <c r="V968" i="3"/>
  <c r="A969" i="3"/>
  <c r="B969" i="3" s="1"/>
  <c r="M968" i="3" l="1"/>
  <c r="N968" i="3" s="1"/>
  <c r="J968" i="3"/>
  <c r="AA969" i="3"/>
  <c r="P969" i="3"/>
  <c r="Q969" i="3" s="1"/>
  <c r="R969" i="3" s="1"/>
  <c r="S969" i="3" s="1"/>
  <c r="Z969" i="3"/>
  <c r="AC969" i="3"/>
  <c r="W968" i="3"/>
  <c r="L968" i="3" l="1"/>
  <c r="U968" i="3" s="1"/>
  <c r="AD968" i="3"/>
  <c r="T969" i="3"/>
  <c r="Y967" i="3" l="1"/>
  <c r="D969" i="3"/>
  <c r="G969" i="3" s="1"/>
  <c r="AH969" i="3"/>
  <c r="E969" i="3"/>
  <c r="H969" i="3" s="1"/>
  <c r="K969" i="3" s="1"/>
  <c r="AE969" i="3" s="1"/>
  <c r="AG969" i="3"/>
  <c r="F969" i="3" l="1"/>
  <c r="I969" i="3"/>
  <c r="J969" i="3"/>
  <c r="AD969" i="3" s="1"/>
  <c r="M969" i="3"/>
  <c r="N969" i="3" s="1"/>
  <c r="V969" i="3"/>
  <c r="A970" i="3"/>
  <c r="B970" i="3" s="1"/>
  <c r="W969" i="3" l="1"/>
  <c r="AC970" i="3"/>
  <c r="P970" i="3"/>
  <c r="Q970" i="3" s="1"/>
  <c r="R970" i="3" s="1"/>
  <c r="S970" i="3" s="1"/>
  <c r="AA970" i="3"/>
  <c r="Z970" i="3"/>
  <c r="L969" i="3"/>
  <c r="T970" i="3" l="1"/>
  <c r="AG970" i="3" s="1"/>
  <c r="U969" i="3"/>
  <c r="Y968" i="3"/>
  <c r="AH970" i="3" l="1"/>
  <c r="E970" i="3"/>
  <c r="H970" i="3" s="1"/>
  <c r="K970" i="3" s="1"/>
  <c r="AE970" i="3" s="1"/>
  <c r="D970" i="3"/>
  <c r="F970" i="3" l="1"/>
  <c r="G970" i="3"/>
  <c r="I970" i="3" s="1"/>
  <c r="V970" i="3"/>
  <c r="A971" i="3"/>
  <c r="B971" i="3" s="1"/>
  <c r="J970" i="3" l="1"/>
  <c r="W970" i="3"/>
  <c r="M970" i="3"/>
  <c r="N970" i="3" s="1"/>
  <c r="P971" i="3"/>
  <c r="Q971" i="3" s="1"/>
  <c r="R971" i="3" s="1"/>
  <c r="S971" i="3" s="1"/>
  <c r="Z971" i="3"/>
  <c r="AA971" i="3"/>
  <c r="AC971" i="3"/>
  <c r="L970" i="3" l="1"/>
  <c r="U970" i="3" s="1"/>
  <c r="AD970" i="3"/>
  <c r="T971" i="3"/>
  <c r="AH971" i="3" l="1"/>
  <c r="Y969" i="3"/>
  <c r="E971" i="3"/>
  <c r="H971" i="3" s="1"/>
  <c r="K971" i="3" s="1"/>
  <c r="AE971" i="3" s="1"/>
  <c r="AG971" i="3"/>
  <c r="D971" i="3"/>
  <c r="F971" i="3" l="1"/>
  <c r="G971" i="3"/>
  <c r="V971" i="3"/>
  <c r="A972" i="3"/>
  <c r="B972" i="3" s="1"/>
  <c r="P972" i="3" l="1"/>
  <c r="Q972" i="3" s="1"/>
  <c r="R972" i="3" s="1"/>
  <c r="S972" i="3" s="1"/>
  <c r="AC972" i="3"/>
  <c r="Z972" i="3"/>
  <c r="AA972" i="3"/>
  <c r="I971" i="3"/>
  <c r="W971" i="3" s="1"/>
  <c r="J971" i="3"/>
  <c r="AD971" i="3" s="1"/>
  <c r="M971" i="3"/>
  <c r="N971" i="3" s="1"/>
  <c r="L971" i="3" l="1"/>
  <c r="T972" i="3"/>
  <c r="AG972" i="3" l="1"/>
  <c r="AH972" i="3"/>
  <c r="U971" i="3"/>
  <c r="E972" i="3" s="1"/>
  <c r="H972" i="3" s="1"/>
  <c r="Y970" i="3"/>
  <c r="K972" i="3" l="1"/>
  <c r="AE972" i="3" s="1"/>
  <c r="D972" i="3"/>
  <c r="F972" i="3" l="1"/>
  <c r="G972" i="3"/>
  <c r="V972" i="3"/>
  <c r="A973" i="3"/>
  <c r="B973" i="3" s="1"/>
  <c r="AC973" i="3" l="1"/>
  <c r="Z973" i="3"/>
  <c r="P973" i="3"/>
  <c r="Q973" i="3" s="1"/>
  <c r="R973" i="3" s="1"/>
  <c r="S973" i="3" s="1"/>
  <c r="AA973" i="3"/>
  <c r="I972" i="3"/>
  <c r="W972" i="3" s="1"/>
  <c r="J972" i="3"/>
  <c r="AD972" i="3" s="1"/>
  <c r="M972" i="3"/>
  <c r="N972" i="3" s="1"/>
  <c r="L972" i="3" l="1"/>
  <c r="T973" i="3"/>
  <c r="AG973" i="3" l="1"/>
  <c r="U972" i="3"/>
  <c r="D973" i="3" s="1"/>
  <c r="AH973" i="3"/>
  <c r="Y971" i="3"/>
  <c r="E973" i="3" l="1"/>
  <c r="H973" i="3" s="1"/>
  <c r="K973" i="3" s="1"/>
  <c r="AE973" i="3" s="1"/>
  <c r="G973" i="3"/>
  <c r="F973" i="3" l="1"/>
  <c r="V973" i="3"/>
  <c r="A974" i="3"/>
  <c r="B974" i="3" s="1"/>
  <c r="I973" i="3"/>
  <c r="J973" i="3"/>
  <c r="AD973" i="3" s="1"/>
  <c r="M973" i="3"/>
  <c r="N973" i="3" s="1"/>
  <c r="P974" i="3" l="1"/>
  <c r="Q974" i="3" s="1"/>
  <c r="R974" i="3" s="1"/>
  <c r="S974" i="3" s="1"/>
  <c r="AA974" i="3"/>
  <c r="Z974" i="3"/>
  <c r="AC974" i="3"/>
  <c r="L973" i="3"/>
  <c r="W973" i="3"/>
  <c r="U973" i="3" l="1"/>
  <c r="Y972" i="3"/>
  <c r="T974" i="3"/>
  <c r="AG974" i="3" s="1"/>
  <c r="E974" i="3" l="1"/>
  <c r="H974" i="3" s="1"/>
  <c r="AH974" i="3"/>
  <c r="D974" i="3"/>
  <c r="F974" i="3" l="1"/>
  <c r="G974" i="3"/>
  <c r="K974" i="3"/>
  <c r="AE974" i="3" s="1"/>
  <c r="V974" i="3" l="1"/>
  <c r="A975" i="3"/>
  <c r="B975" i="3" s="1"/>
  <c r="I974" i="3"/>
  <c r="J974" i="3"/>
  <c r="AD974" i="3" s="1"/>
  <c r="M974" i="3"/>
  <c r="N974" i="3" s="1"/>
  <c r="AD975" i="3" l="1"/>
  <c r="P975" i="3"/>
  <c r="Q975" i="3" s="1"/>
  <c r="R975" i="3" s="1"/>
  <c r="S975" i="3" s="1"/>
  <c r="Z975" i="3"/>
  <c r="AC975" i="3"/>
  <c r="AA975" i="3"/>
  <c r="L974" i="3"/>
  <c r="W974" i="3"/>
  <c r="T975" i="3" l="1"/>
  <c r="AG975" i="3" s="1"/>
  <c r="U974" i="3"/>
  <c r="Y973" i="3"/>
  <c r="E975" i="3" l="1"/>
  <c r="H975" i="3" s="1"/>
  <c r="K975" i="3" s="1"/>
  <c r="AE975" i="3" s="1"/>
  <c r="AH975" i="3"/>
  <c r="D975" i="3"/>
  <c r="F975" i="3" l="1"/>
  <c r="G975" i="3"/>
  <c r="I975" i="3" s="1"/>
  <c r="V975" i="3"/>
  <c r="A976" i="3"/>
  <c r="B976" i="3" s="1"/>
  <c r="M975" i="3" l="1"/>
  <c r="N975" i="3" s="1"/>
  <c r="J975" i="3"/>
  <c r="L975" i="3" s="1"/>
  <c r="W975" i="3"/>
  <c r="AC976" i="3"/>
  <c r="AA976" i="3"/>
  <c r="AD976" i="3"/>
  <c r="Z976" i="3"/>
  <c r="P976" i="3"/>
  <c r="Q976" i="3" s="1"/>
  <c r="R976" i="3" s="1"/>
  <c r="S976" i="3" s="1"/>
  <c r="T976" i="3" l="1"/>
  <c r="AH976" i="3" s="1"/>
  <c r="U975" i="3"/>
  <c r="Y974" i="3"/>
  <c r="D976" i="3" l="1"/>
  <c r="G976" i="3" s="1"/>
  <c r="AG976" i="3"/>
  <c r="E976" i="3"/>
  <c r="H976" i="3" s="1"/>
  <c r="K976" i="3" s="1"/>
  <c r="AE976" i="3" s="1"/>
  <c r="F976" i="3" l="1"/>
  <c r="V976" i="3"/>
  <c r="A977" i="3"/>
  <c r="B977" i="3" s="1"/>
  <c r="I976" i="3"/>
  <c r="J976" i="3"/>
  <c r="M976" i="3"/>
  <c r="N976" i="3" s="1"/>
  <c r="Z977" i="3" l="1"/>
  <c r="P977" i="3"/>
  <c r="Q977" i="3" s="1"/>
  <c r="R977" i="3" s="1"/>
  <c r="S977" i="3" s="1"/>
  <c r="AD977" i="3"/>
  <c r="AC977" i="3"/>
  <c r="AA977" i="3"/>
  <c r="L976" i="3"/>
  <c r="W976" i="3"/>
  <c r="T977" i="3" l="1"/>
  <c r="AH977" i="3" s="1"/>
  <c r="U976" i="3"/>
  <c r="Y975" i="3"/>
  <c r="D977" i="3" l="1"/>
  <c r="G977" i="3" s="1"/>
  <c r="AG977" i="3"/>
  <c r="E977" i="3"/>
  <c r="H977" i="3" s="1"/>
  <c r="K977" i="3" s="1"/>
  <c r="AE977" i="3" s="1"/>
  <c r="F977" i="3" l="1"/>
  <c r="I977" i="3"/>
  <c r="J977" i="3"/>
  <c r="M977" i="3"/>
  <c r="N977" i="3" s="1"/>
  <c r="V977" i="3"/>
  <c r="A978" i="3"/>
  <c r="B978" i="3" s="1"/>
  <c r="W977" i="3" l="1"/>
  <c r="P978" i="3"/>
  <c r="Q978" i="3" s="1"/>
  <c r="R978" i="3" s="1"/>
  <c r="S978" i="3" s="1"/>
  <c r="Z978" i="3"/>
  <c r="AA978" i="3"/>
  <c r="AD978" i="3"/>
  <c r="AC978" i="3"/>
  <c r="L977" i="3"/>
  <c r="T978" i="3" l="1"/>
  <c r="AG978" i="3" s="1"/>
  <c r="U977" i="3"/>
  <c r="Y976" i="3"/>
  <c r="D978" i="3" l="1"/>
  <c r="G978" i="3" s="1"/>
  <c r="AH978" i="3"/>
  <c r="E978" i="3"/>
  <c r="H978" i="3" s="1"/>
  <c r="K978" i="3" l="1"/>
  <c r="AE978" i="3" s="1"/>
  <c r="I978" i="3"/>
  <c r="J978" i="3"/>
  <c r="M978" i="3"/>
  <c r="N978" i="3" s="1"/>
  <c r="F978" i="3"/>
  <c r="L978" i="3" l="1"/>
  <c r="V978" i="3"/>
  <c r="W978" i="3" s="1"/>
  <c r="A979" i="3"/>
  <c r="B979" i="3" s="1"/>
  <c r="AA979" i="3" l="1"/>
  <c r="Z979" i="3"/>
  <c r="P979" i="3"/>
  <c r="Q979" i="3" s="1"/>
  <c r="R979" i="3" s="1"/>
  <c r="S979" i="3" s="1"/>
  <c r="AD979" i="3"/>
  <c r="AC979" i="3"/>
  <c r="U978" i="3"/>
  <c r="Y977" i="3"/>
  <c r="T979" i="3" l="1"/>
  <c r="E979" i="3" s="1"/>
  <c r="H979" i="3" s="1"/>
  <c r="AH979" i="3" l="1"/>
  <c r="K979" i="3"/>
  <c r="AE979" i="3" s="1"/>
  <c r="D979" i="3"/>
  <c r="AG979" i="3"/>
  <c r="F979" i="3" l="1"/>
  <c r="G979" i="3"/>
  <c r="V979" i="3"/>
  <c r="A980" i="3"/>
  <c r="B980" i="3" s="1"/>
  <c r="AD980" i="3" l="1"/>
  <c r="Z980" i="3"/>
  <c r="AA980" i="3"/>
  <c r="P980" i="3"/>
  <c r="Q980" i="3" s="1"/>
  <c r="R980" i="3" s="1"/>
  <c r="S980" i="3" s="1"/>
  <c r="AC980" i="3"/>
  <c r="I979" i="3"/>
  <c r="W979" i="3" s="1"/>
  <c r="J979" i="3"/>
  <c r="M979" i="3"/>
  <c r="N979" i="3" s="1"/>
  <c r="T980" i="3" l="1"/>
  <c r="L979" i="3"/>
  <c r="U979" i="3" l="1"/>
  <c r="D980" i="3" s="1"/>
  <c r="AH980" i="3"/>
  <c r="AG980" i="3"/>
  <c r="Y978" i="3"/>
  <c r="E980" i="3" l="1"/>
  <c r="H980" i="3" s="1"/>
  <c r="K980" i="3" s="1"/>
  <c r="AE980" i="3" s="1"/>
  <c r="G980" i="3"/>
  <c r="F980" i="3" l="1"/>
  <c r="V980" i="3"/>
  <c r="A981" i="3"/>
  <c r="B981" i="3" s="1"/>
  <c r="I980" i="3"/>
  <c r="J980" i="3"/>
  <c r="M980" i="3"/>
  <c r="N980" i="3" s="1"/>
  <c r="L980" i="3" l="1"/>
  <c r="AD981" i="3"/>
  <c r="AA981" i="3"/>
  <c r="P981" i="3"/>
  <c r="Q981" i="3" s="1"/>
  <c r="R981" i="3" s="1"/>
  <c r="S981" i="3" s="1"/>
  <c r="AC981" i="3"/>
  <c r="Z981" i="3"/>
  <c r="W980" i="3"/>
  <c r="T981" i="3" l="1"/>
  <c r="AH981" i="3" s="1"/>
  <c r="U980" i="3"/>
  <c r="Y979" i="3"/>
  <c r="AG981" i="3" l="1"/>
  <c r="D981" i="3"/>
  <c r="G981" i="3" s="1"/>
  <c r="E981" i="3"/>
  <c r="H981" i="3" s="1"/>
  <c r="K981" i="3" s="1"/>
  <c r="AE981" i="3" s="1"/>
  <c r="F981" i="3" l="1"/>
  <c r="I981" i="3"/>
  <c r="J981" i="3"/>
  <c r="M981" i="3"/>
  <c r="N981" i="3" s="1"/>
  <c r="V981" i="3"/>
  <c r="A982" i="3"/>
  <c r="B982" i="3" s="1"/>
  <c r="W981" i="3" l="1"/>
  <c r="AC982" i="3"/>
  <c r="P982" i="3"/>
  <c r="Q982" i="3" s="1"/>
  <c r="R982" i="3" s="1"/>
  <c r="S982" i="3" s="1"/>
  <c r="AD982" i="3"/>
  <c r="Z982" i="3"/>
  <c r="AA982" i="3"/>
  <c r="L981" i="3"/>
  <c r="T982" i="3" l="1"/>
  <c r="AG982" i="3" s="1"/>
  <c r="U981" i="3"/>
  <c r="Y980" i="3"/>
  <c r="AH982" i="3" l="1"/>
  <c r="D982" i="3"/>
  <c r="G982" i="3" s="1"/>
  <c r="E982" i="3"/>
  <c r="H982" i="3" s="1"/>
  <c r="K982" i="3" s="1"/>
  <c r="AE982" i="3" s="1"/>
  <c r="F982" i="3" l="1"/>
  <c r="V982" i="3"/>
  <c r="A983" i="3"/>
  <c r="B983" i="3" s="1"/>
  <c r="I982" i="3"/>
  <c r="J982" i="3"/>
  <c r="M982" i="3"/>
  <c r="N982" i="3" s="1"/>
  <c r="L982" i="3" l="1"/>
  <c r="AC983" i="3"/>
  <c r="AD983" i="3"/>
  <c r="Z983" i="3"/>
  <c r="AA983" i="3"/>
  <c r="P983" i="3"/>
  <c r="Q983" i="3" s="1"/>
  <c r="R983" i="3" s="1"/>
  <c r="S983" i="3" s="1"/>
  <c r="W982" i="3"/>
  <c r="T983" i="3" l="1"/>
  <c r="U982" i="3"/>
  <c r="Y981" i="3"/>
  <c r="E983" i="3" l="1"/>
  <c r="H983" i="3" s="1"/>
  <c r="K983" i="3" s="1"/>
  <c r="AE983" i="3" s="1"/>
  <c r="D983" i="3"/>
  <c r="G983" i="3" s="1"/>
  <c r="AH983" i="3"/>
  <c r="AG983" i="3"/>
  <c r="F983" i="3" l="1"/>
  <c r="V983" i="3"/>
  <c r="A984" i="3"/>
  <c r="B984" i="3" s="1"/>
  <c r="I983" i="3"/>
  <c r="J983" i="3"/>
  <c r="M983" i="3"/>
  <c r="N983" i="3" s="1"/>
  <c r="P984" i="3" l="1"/>
  <c r="Q984" i="3" s="1"/>
  <c r="R984" i="3" s="1"/>
  <c r="S984" i="3" s="1"/>
  <c r="Z984" i="3"/>
  <c r="AA984" i="3"/>
  <c r="AC984" i="3"/>
  <c r="L983" i="3"/>
  <c r="W983" i="3"/>
  <c r="U983" i="3" l="1"/>
  <c r="Y982" i="3"/>
  <c r="T984" i="3"/>
  <c r="E984" i="3" l="1"/>
  <c r="H984" i="3" s="1"/>
  <c r="K984" i="3" s="1"/>
  <c r="AE984" i="3" s="1"/>
  <c r="AH984" i="3"/>
  <c r="AG984" i="3"/>
  <c r="D984" i="3"/>
  <c r="F984" i="3" l="1"/>
  <c r="G984" i="3"/>
  <c r="I984" i="3" s="1"/>
  <c r="V984" i="3"/>
  <c r="A985" i="3"/>
  <c r="B985" i="3" s="1"/>
  <c r="M984" i="3" l="1"/>
  <c r="N984" i="3" s="1"/>
  <c r="J984" i="3"/>
  <c r="W984" i="3"/>
  <c r="Z985" i="3"/>
  <c r="P985" i="3"/>
  <c r="Q985" i="3" s="1"/>
  <c r="R985" i="3" s="1"/>
  <c r="S985" i="3" s="1"/>
  <c r="AA985" i="3"/>
  <c r="AD985" i="3"/>
  <c r="AC985" i="3"/>
  <c r="L984" i="3" l="1"/>
  <c r="AD984" i="3"/>
  <c r="T985" i="3"/>
  <c r="AG985" i="3" s="1"/>
  <c r="U984" i="3"/>
  <c r="Y983" i="3"/>
  <c r="D985" i="3" l="1"/>
  <c r="G985" i="3" s="1"/>
  <c r="E985" i="3"/>
  <c r="H985" i="3" s="1"/>
  <c r="K985" i="3" s="1"/>
  <c r="AE985" i="3" s="1"/>
  <c r="AH985" i="3"/>
  <c r="F985" i="3" l="1"/>
  <c r="I985" i="3"/>
  <c r="J985" i="3"/>
  <c r="M985" i="3"/>
  <c r="N985" i="3" s="1"/>
  <c r="V985" i="3"/>
  <c r="A986" i="3"/>
  <c r="B986" i="3" s="1"/>
  <c r="W985" i="3" l="1"/>
  <c r="AC986" i="3"/>
  <c r="AA986" i="3"/>
  <c r="AD986" i="3"/>
  <c r="Z986" i="3"/>
  <c r="P986" i="3"/>
  <c r="Q986" i="3" s="1"/>
  <c r="R986" i="3" s="1"/>
  <c r="S986" i="3" s="1"/>
  <c r="L985" i="3"/>
  <c r="T986" i="3" l="1"/>
  <c r="AH986" i="3" s="1"/>
  <c r="U985" i="3"/>
  <c r="Y984" i="3"/>
  <c r="D986" i="3" l="1"/>
  <c r="G986" i="3" s="1"/>
  <c r="AG986" i="3"/>
  <c r="E986" i="3"/>
  <c r="H986" i="3" s="1"/>
  <c r="K986" i="3" s="1"/>
  <c r="AE986" i="3" s="1"/>
  <c r="F986" i="3" l="1"/>
  <c r="I986" i="3"/>
  <c r="J986" i="3"/>
  <c r="M986" i="3"/>
  <c r="N986" i="3" s="1"/>
  <c r="V986" i="3"/>
  <c r="A987" i="3"/>
  <c r="B987" i="3" s="1"/>
  <c r="W986" i="3" l="1"/>
  <c r="AD987" i="3"/>
  <c r="AA987" i="3"/>
  <c r="Z987" i="3"/>
  <c r="AC987" i="3"/>
  <c r="P987" i="3"/>
  <c r="Q987" i="3" s="1"/>
  <c r="R987" i="3" s="1"/>
  <c r="S987" i="3" s="1"/>
  <c r="L986" i="3"/>
  <c r="T987" i="3" l="1"/>
  <c r="AH987" i="3" s="1"/>
  <c r="U986" i="3"/>
  <c r="Y985" i="3"/>
  <c r="D987" i="3" l="1"/>
  <c r="G987" i="3" s="1"/>
  <c r="AG987" i="3"/>
  <c r="E987" i="3"/>
  <c r="H987" i="3" s="1"/>
  <c r="K987" i="3" s="1"/>
  <c r="AE987" i="3" s="1"/>
  <c r="F987" i="3" l="1"/>
  <c r="V987" i="3"/>
  <c r="A988" i="3"/>
  <c r="B988" i="3" s="1"/>
  <c r="I987" i="3"/>
  <c r="J987" i="3"/>
  <c r="M987" i="3"/>
  <c r="N987" i="3" s="1"/>
  <c r="L987" i="3" l="1"/>
  <c r="Z988" i="3"/>
  <c r="AD988" i="3"/>
  <c r="P988" i="3"/>
  <c r="Q988" i="3" s="1"/>
  <c r="R988" i="3" s="1"/>
  <c r="S988" i="3" s="1"/>
  <c r="AA988" i="3"/>
  <c r="AC988" i="3"/>
  <c r="W987" i="3"/>
  <c r="T988" i="3" l="1"/>
  <c r="AH988" i="3" s="1"/>
  <c r="U987" i="3"/>
  <c r="Y986" i="3"/>
  <c r="E988" i="3" l="1"/>
  <c r="H988" i="3" s="1"/>
  <c r="K988" i="3" s="1"/>
  <c r="AE988" i="3" s="1"/>
  <c r="AG988" i="3"/>
  <c r="D988" i="3"/>
  <c r="F988" i="3" l="1"/>
  <c r="G988" i="3"/>
  <c r="I988" i="3" s="1"/>
  <c r="V988" i="3"/>
  <c r="A989" i="3"/>
  <c r="B989" i="3" s="1"/>
  <c r="M988" i="3" l="1"/>
  <c r="N988" i="3" s="1"/>
  <c r="J988" i="3"/>
  <c r="L988" i="3" s="1"/>
  <c r="Z989" i="3"/>
  <c r="AA989" i="3"/>
  <c r="AD989" i="3"/>
  <c r="P989" i="3"/>
  <c r="Q989" i="3" s="1"/>
  <c r="R989" i="3" s="1"/>
  <c r="S989" i="3" s="1"/>
  <c r="AC989" i="3"/>
  <c r="W988" i="3"/>
  <c r="T989" i="3" l="1"/>
  <c r="AG989" i="3" s="1"/>
  <c r="U988" i="3"/>
  <c r="Y987" i="3"/>
  <c r="E989" i="3" l="1"/>
  <c r="H989" i="3" s="1"/>
  <c r="K989" i="3" s="1"/>
  <c r="AE989" i="3" s="1"/>
  <c r="AH989" i="3"/>
  <c r="D989" i="3"/>
  <c r="F989" i="3" l="1"/>
  <c r="G989" i="3"/>
  <c r="I989" i="3" s="1"/>
  <c r="V989" i="3"/>
  <c r="A990" i="3"/>
  <c r="B990" i="3" s="1"/>
  <c r="M989" i="3" l="1"/>
  <c r="N989" i="3" s="1"/>
  <c r="J989" i="3"/>
  <c r="L989" i="3" s="1"/>
  <c r="W989" i="3"/>
  <c r="AA990" i="3"/>
  <c r="P990" i="3"/>
  <c r="Q990" i="3" s="1"/>
  <c r="R990" i="3" s="1"/>
  <c r="S990" i="3" s="1"/>
  <c r="Z990" i="3"/>
  <c r="AD990" i="3"/>
  <c r="AC990" i="3"/>
  <c r="T990" i="3" l="1"/>
  <c r="AH990" i="3" s="1"/>
  <c r="U989" i="3"/>
  <c r="Y988" i="3"/>
  <c r="E990" i="3" l="1"/>
  <c r="H990" i="3" s="1"/>
  <c r="K990" i="3" s="1"/>
  <c r="AE990" i="3" s="1"/>
  <c r="AG990" i="3"/>
  <c r="D990" i="3"/>
  <c r="F990" i="3" l="1"/>
  <c r="G990" i="3"/>
  <c r="I990" i="3" s="1"/>
  <c r="V990" i="3"/>
  <c r="A991" i="3"/>
  <c r="B991" i="3" s="1"/>
  <c r="J990" i="3" l="1"/>
  <c r="L990" i="3" s="1"/>
  <c r="W990" i="3"/>
  <c r="M990" i="3"/>
  <c r="N990" i="3" s="1"/>
  <c r="AD991" i="3"/>
  <c r="AC991" i="3"/>
  <c r="P991" i="3"/>
  <c r="Q991" i="3" s="1"/>
  <c r="R991" i="3" s="1"/>
  <c r="S991" i="3" s="1"/>
  <c r="AA991" i="3"/>
  <c r="Z991" i="3"/>
  <c r="T991" i="3" l="1"/>
  <c r="AH991" i="3" s="1"/>
  <c r="U990" i="3"/>
  <c r="Y989" i="3"/>
  <c r="D991" i="3" l="1"/>
  <c r="G991" i="3" s="1"/>
  <c r="E991" i="3"/>
  <c r="H991" i="3" s="1"/>
  <c r="K991" i="3" s="1"/>
  <c r="AE991" i="3" s="1"/>
  <c r="AG991" i="3"/>
  <c r="F991" i="3" l="1"/>
  <c r="V991" i="3"/>
  <c r="A992" i="3"/>
  <c r="B992" i="3" s="1"/>
  <c r="I991" i="3"/>
  <c r="J991" i="3"/>
  <c r="M991" i="3"/>
  <c r="N991" i="3" s="1"/>
  <c r="L991" i="3" l="1"/>
  <c r="AC992" i="3"/>
  <c r="AA992" i="3"/>
  <c r="AD992" i="3"/>
  <c r="P992" i="3"/>
  <c r="Q992" i="3" s="1"/>
  <c r="R992" i="3" s="1"/>
  <c r="S992" i="3" s="1"/>
  <c r="Z992" i="3"/>
  <c r="W991" i="3"/>
  <c r="U991" i="3" l="1"/>
  <c r="Y990" i="3"/>
  <c r="T992" i="3"/>
  <c r="E992" i="3" l="1"/>
  <c r="H992" i="3" s="1"/>
  <c r="K992" i="3" s="1"/>
  <c r="AE992" i="3" s="1"/>
  <c r="AG992" i="3"/>
  <c r="D992" i="3"/>
  <c r="AH992" i="3"/>
  <c r="F992" i="3" l="1"/>
  <c r="G992" i="3"/>
  <c r="V992" i="3"/>
  <c r="A993" i="3"/>
  <c r="B993" i="3" s="1"/>
  <c r="AA993" i="3" l="1"/>
  <c r="AD993" i="3"/>
  <c r="Z993" i="3"/>
  <c r="AC993" i="3"/>
  <c r="P993" i="3"/>
  <c r="Q993" i="3" s="1"/>
  <c r="R993" i="3" s="1"/>
  <c r="S993" i="3" s="1"/>
  <c r="I992" i="3"/>
  <c r="W992" i="3" s="1"/>
  <c r="J992" i="3"/>
  <c r="M992" i="3"/>
  <c r="N992" i="3" s="1"/>
  <c r="L992" i="3" l="1"/>
  <c r="T993" i="3"/>
  <c r="AG993" i="3" l="1"/>
  <c r="AH993" i="3"/>
  <c r="U992" i="3"/>
  <c r="D993" i="3" s="1"/>
  <c r="Y991" i="3"/>
  <c r="E993" i="3" l="1"/>
  <c r="H993" i="3" s="1"/>
  <c r="K993" i="3" s="1"/>
  <c r="AE993" i="3" s="1"/>
  <c r="G993" i="3"/>
  <c r="F993" i="3" l="1"/>
  <c r="V993" i="3"/>
  <c r="A994" i="3"/>
  <c r="B994" i="3" s="1"/>
  <c r="I993" i="3"/>
  <c r="J993" i="3"/>
  <c r="M993" i="3"/>
  <c r="N993" i="3" s="1"/>
  <c r="L993" i="3" l="1"/>
  <c r="W993" i="3"/>
  <c r="AA994" i="3"/>
  <c r="AC994" i="3"/>
  <c r="Z994" i="3"/>
  <c r="P994" i="3"/>
  <c r="Q994" i="3" s="1"/>
  <c r="R994" i="3" s="1"/>
  <c r="S994" i="3" s="1"/>
  <c r="T994" i="3" l="1"/>
  <c r="AG994" i="3" s="1"/>
  <c r="U993" i="3"/>
  <c r="Y992" i="3"/>
  <c r="E994" i="3" l="1"/>
  <c r="H994" i="3" s="1"/>
  <c r="K994" i="3" s="1"/>
  <c r="AE994" i="3" s="1"/>
  <c r="AH994" i="3"/>
  <c r="D994" i="3"/>
  <c r="F994" i="3" l="1"/>
  <c r="G994" i="3"/>
  <c r="V994" i="3"/>
  <c r="A995" i="3"/>
  <c r="B995" i="3" s="1"/>
  <c r="AD995" i="3" l="1"/>
  <c r="AC995" i="3"/>
  <c r="AA995" i="3"/>
  <c r="Z995" i="3"/>
  <c r="P995" i="3"/>
  <c r="Q995" i="3" s="1"/>
  <c r="R995" i="3" s="1"/>
  <c r="S995" i="3" s="1"/>
  <c r="I994" i="3"/>
  <c r="W994" i="3" s="1"/>
  <c r="J994" i="3"/>
  <c r="AD994" i="3" s="1"/>
  <c r="M994" i="3"/>
  <c r="N994" i="3" s="1"/>
  <c r="T995" i="3" l="1"/>
  <c r="L994" i="3"/>
  <c r="AH995" i="3" l="1"/>
  <c r="AG995" i="3"/>
  <c r="U994" i="3"/>
  <c r="D995" i="3" s="1"/>
  <c r="Y993" i="3"/>
  <c r="G995" i="3" l="1"/>
  <c r="E995" i="3"/>
  <c r="H995" i="3" s="1"/>
  <c r="K995" i="3" l="1"/>
  <c r="AE995" i="3" s="1"/>
  <c r="I995" i="3"/>
  <c r="J995" i="3"/>
  <c r="M995" i="3"/>
  <c r="N995" i="3" s="1"/>
  <c r="F995" i="3"/>
  <c r="L995" i="3" l="1"/>
  <c r="V995" i="3"/>
  <c r="W995" i="3" s="1"/>
  <c r="A996" i="3"/>
  <c r="B996" i="3" s="1"/>
  <c r="AA996" i="3" l="1"/>
  <c r="Z996" i="3"/>
  <c r="AD996" i="3"/>
  <c r="P996" i="3"/>
  <c r="Q996" i="3" s="1"/>
  <c r="R996" i="3" s="1"/>
  <c r="S996" i="3" s="1"/>
  <c r="AC996" i="3"/>
  <c r="U995" i="3"/>
  <c r="Y994" i="3"/>
  <c r="T996" i="3" l="1"/>
  <c r="AH996" i="3" s="1"/>
  <c r="AG996" i="3" l="1"/>
  <c r="E996" i="3"/>
  <c r="H996" i="3" s="1"/>
  <c r="K996" i="3" s="1"/>
  <c r="AE996" i="3" s="1"/>
  <c r="D996" i="3"/>
  <c r="G996" i="3" s="1"/>
  <c r="F996" i="3" l="1"/>
  <c r="I996" i="3"/>
  <c r="J996" i="3"/>
  <c r="M996" i="3"/>
  <c r="N996" i="3" s="1"/>
  <c r="V996" i="3"/>
  <c r="A997" i="3"/>
  <c r="B997" i="3" s="1"/>
  <c r="W996" i="3" l="1"/>
  <c r="AD997" i="3"/>
  <c r="P997" i="3"/>
  <c r="Q997" i="3" s="1"/>
  <c r="R997" i="3" s="1"/>
  <c r="S997" i="3" s="1"/>
  <c r="AA997" i="3"/>
  <c r="Z997" i="3"/>
  <c r="AC997" i="3"/>
  <c r="L996" i="3"/>
  <c r="T997" i="3" l="1"/>
  <c r="AH997" i="3" s="1"/>
  <c r="U996" i="3"/>
  <c r="Y995" i="3"/>
  <c r="AG997" i="3" l="1"/>
  <c r="E997" i="3"/>
  <c r="H997" i="3" s="1"/>
  <c r="K997" i="3" s="1"/>
  <c r="AE997" i="3" s="1"/>
  <c r="D997" i="3"/>
  <c r="F997" i="3" l="1"/>
  <c r="G997" i="3"/>
  <c r="I997" i="3" s="1"/>
  <c r="V997" i="3"/>
  <c r="A998" i="3"/>
  <c r="B998" i="3" s="1"/>
  <c r="M997" i="3" l="1"/>
  <c r="N997" i="3" s="1"/>
  <c r="W997" i="3"/>
  <c r="J997" i="3"/>
  <c r="L997" i="3" s="1"/>
  <c r="Z998" i="3"/>
  <c r="AC998" i="3"/>
  <c r="AA998" i="3"/>
  <c r="AD998" i="3"/>
  <c r="P998" i="3"/>
  <c r="Q998" i="3" s="1"/>
  <c r="R998" i="3" s="1"/>
  <c r="S998" i="3" s="1"/>
  <c r="T998" i="3" l="1"/>
  <c r="AG998" i="3" s="1"/>
  <c r="U997" i="3"/>
  <c r="Y996" i="3"/>
  <c r="AH998" i="3" l="1"/>
  <c r="E998" i="3"/>
  <c r="H998" i="3" s="1"/>
  <c r="K998" i="3" s="1"/>
  <c r="AE998" i="3" s="1"/>
  <c r="D998" i="3"/>
  <c r="F998" i="3" l="1"/>
  <c r="G998" i="3"/>
  <c r="I998" i="3" s="1"/>
  <c r="V998" i="3"/>
  <c r="A999" i="3"/>
  <c r="B999" i="3" s="1"/>
  <c r="M998" i="3" l="1"/>
  <c r="N998" i="3" s="1"/>
  <c r="J998" i="3"/>
  <c r="L998" i="3" s="1"/>
  <c r="AC999" i="3"/>
  <c r="P999" i="3"/>
  <c r="Q999" i="3" s="1"/>
  <c r="R999" i="3" s="1"/>
  <c r="S999" i="3" s="1"/>
  <c r="AA999" i="3"/>
  <c r="Z999" i="3"/>
  <c r="AD999" i="3"/>
  <c r="W998" i="3"/>
  <c r="T999" i="3" l="1"/>
  <c r="AG999" i="3" s="1"/>
  <c r="U998" i="3"/>
  <c r="Y997" i="3"/>
  <c r="E999" i="3" l="1"/>
  <c r="H999" i="3" s="1"/>
  <c r="K999" i="3" s="1"/>
  <c r="AE999" i="3" s="1"/>
  <c r="AH999" i="3"/>
  <c r="D999" i="3"/>
  <c r="F999" i="3" l="1"/>
  <c r="G999" i="3"/>
  <c r="V999" i="3"/>
  <c r="A1000" i="3"/>
  <c r="B1000" i="3" s="1"/>
  <c r="I999" i="3" l="1"/>
  <c r="W999" i="3" s="1"/>
  <c r="J999" i="3"/>
  <c r="M999" i="3"/>
  <c r="N999" i="3" s="1"/>
  <c r="P1000" i="3"/>
  <c r="Q1000" i="3" s="1"/>
  <c r="R1000" i="3" s="1"/>
  <c r="S1000" i="3" s="1"/>
  <c r="Z1000" i="3"/>
  <c r="AC1000" i="3"/>
  <c r="AA1000" i="3"/>
  <c r="AD1000" i="3"/>
  <c r="T1000" i="3" l="1"/>
  <c r="L999" i="3"/>
  <c r="AH1000" i="3" l="1"/>
  <c r="U999" i="3"/>
  <c r="E1000" i="3" s="1"/>
  <c r="H1000" i="3" s="1"/>
  <c r="AG1000" i="3"/>
  <c r="Y998" i="3"/>
  <c r="D1000" i="3" l="1"/>
  <c r="F1000" i="3" s="1"/>
  <c r="K1000" i="3"/>
  <c r="AE1000" i="3" s="1"/>
  <c r="G1000" i="3" l="1"/>
  <c r="I1000" i="3" s="1"/>
  <c r="V1000" i="3"/>
  <c r="A1001" i="3"/>
  <c r="B1001" i="3" s="1"/>
  <c r="M1000" i="3" l="1"/>
  <c r="N1000" i="3" s="1"/>
  <c r="J1000" i="3"/>
  <c r="L1000" i="3" s="1"/>
  <c r="Z1001" i="3"/>
  <c r="AA1001" i="3"/>
  <c r="P1001" i="3"/>
  <c r="Q1001" i="3" s="1"/>
  <c r="R1001" i="3" s="1"/>
  <c r="S1001" i="3" s="1"/>
  <c r="AD1001" i="3"/>
  <c r="AC1001" i="3"/>
  <c r="W1000" i="3"/>
  <c r="T1001" i="3" l="1"/>
  <c r="AH1001" i="3" s="1"/>
  <c r="U1000" i="3"/>
  <c r="Y999" i="3"/>
  <c r="D1001" i="3" l="1"/>
  <c r="G1001" i="3" s="1"/>
  <c r="E1001" i="3"/>
  <c r="H1001" i="3" s="1"/>
  <c r="K1001" i="3" s="1"/>
  <c r="AE1001" i="3" s="1"/>
  <c r="AG1001" i="3"/>
  <c r="F1001" i="3" l="1"/>
  <c r="V1001" i="3"/>
  <c r="A1002" i="3"/>
  <c r="B1002" i="3" s="1"/>
  <c r="I1001" i="3"/>
  <c r="J1001" i="3"/>
  <c r="M1001" i="3"/>
  <c r="N1001" i="3" s="1"/>
  <c r="L1001" i="3" l="1"/>
  <c r="AD1002" i="3"/>
  <c r="P1002" i="3"/>
  <c r="Q1002" i="3" s="1"/>
  <c r="R1002" i="3" s="1"/>
  <c r="S1002" i="3" s="1"/>
  <c r="AC1002" i="3"/>
  <c r="AA1002" i="3"/>
  <c r="Z1002" i="3"/>
  <c r="W1001" i="3"/>
  <c r="T1002" i="3" l="1"/>
  <c r="AG1002" i="3" s="1"/>
  <c r="U1001" i="3"/>
  <c r="Y1000" i="3"/>
  <c r="AH1002" i="3" l="1"/>
  <c r="D1002" i="3"/>
  <c r="G1002" i="3" s="1"/>
  <c r="E1002" i="3"/>
  <c r="H1002" i="3" s="1"/>
  <c r="K1002" i="3" s="1"/>
  <c r="AE1002" i="3" s="1"/>
  <c r="F1002" i="3" l="1"/>
  <c r="V1002" i="3"/>
  <c r="A1003" i="3"/>
  <c r="B1003" i="3" s="1"/>
  <c r="I1002" i="3"/>
  <c r="J1002" i="3"/>
  <c r="M1002" i="3"/>
  <c r="N1002" i="3" s="1"/>
  <c r="AA1003" i="3" l="1"/>
  <c r="Z1003" i="3"/>
  <c r="P1003" i="3"/>
  <c r="Q1003" i="3" s="1"/>
  <c r="R1003" i="3" s="1"/>
  <c r="S1003" i="3" s="1"/>
  <c r="AC1003" i="3"/>
  <c r="AD1003" i="3"/>
  <c r="L1002" i="3"/>
  <c r="W1002" i="3"/>
  <c r="T1003" i="3" l="1"/>
  <c r="AG1003" i="3" s="1"/>
  <c r="U1002" i="3"/>
  <c r="Y1001" i="3"/>
  <c r="D1003" i="3" l="1"/>
  <c r="G1003" i="3" s="1"/>
  <c r="AH1003" i="3"/>
  <c r="E1003" i="3"/>
  <c r="H1003" i="3" s="1"/>
  <c r="K1003" i="3" s="1"/>
  <c r="AE1003" i="3" s="1"/>
  <c r="F1003" i="3" l="1"/>
  <c r="I1003" i="3"/>
  <c r="J1003" i="3"/>
  <c r="M1003" i="3"/>
  <c r="N1003" i="3" s="1"/>
  <c r="V1003" i="3"/>
  <c r="A1004" i="3"/>
  <c r="B1004" i="3" s="1"/>
  <c r="W1003" i="3" l="1"/>
  <c r="AC1004" i="3"/>
  <c r="AA1004" i="3"/>
  <c r="Z1004" i="3"/>
  <c r="P1004" i="3"/>
  <c r="Q1004" i="3" s="1"/>
  <c r="R1004" i="3" s="1"/>
  <c r="S1004" i="3" s="1"/>
  <c r="T1004" i="3" s="1"/>
  <c r="L1003" i="3"/>
  <c r="K46" i="1" l="1"/>
  <c r="I46" i="1"/>
  <c r="J27" i="1"/>
  <c r="L46" i="1"/>
  <c r="K27" i="1"/>
  <c r="I27" i="1"/>
  <c r="M46" i="1"/>
  <c r="J46" i="1"/>
  <c r="AG1004" i="3"/>
  <c r="AH1004" i="3"/>
  <c r="U1003" i="3"/>
  <c r="D1004" i="3" s="1"/>
  <c r="Y1002" i="3"/>
  <c r="J48" i="1"/>
  <c r="I25" i="1"/>
  <c r="K48" i="1"/>
  <c r="L48" i="1"/>
  <c r="J25" i="1"/>
  <c r="I48" i="1"/>
  <c r="K25" i="1"/>
  <c r="M48" i="1"/>
  <c r="E1004" i="3" l="1"/>
  <c r="H1004" i="3" s="1"/>
  <c r="K1004" i="3" s="1"/>
  <c r="AE1004" i="3" s="1"/>
  <c r="G1004" i="3"/>
  <c r="C122" i="1"/>
  <c r="C155" i="1"/>
  <c r="C129" i="1"/>
  <c r="C130" i="1" s="1"/>
  <c r="C126" i="1"/>
  <c r="C121" i="1"/>
  <c r="C31" i="1"/>
  <c r="C33" i="1"/>
  <c r="J47" i="1" s="1"/>
  <c r="C124" i="1"/>
  <c r="H72" i="7"/>
  <c r="H73" i="7" s="1"/>
  <c r="M27" i="1"/>
  <c r="H70" i="7"/>
  <c r="M25" i="1"/>
  <c r="I72" i="7"/>
  <c r="I73" i="7" s="1"/>
  <c r="I70" i="7"/>
  <c r="B125" i="1"/>
  <c r="B123" i="1"/>
  <c r="B127" i="1"/>
  <c r="B128" i="1"/>
  <c r="B124" i="1"/>
  <c r="D155" i="1"/>
  <c r="B126" i="1"/>
  <c r="B129" i="1"/>
  <c r="D33" i="1"/>
  <c r="J49" i="1" s="1"/>
  <c r="D31" i="1"/>
  <c r="F1004" i="3" l="1"/>
  <c r="H47" i="1"/>
  <c r="C32" i="1"/>
  <c r="E31" i="7"/>
  <c r="I1004" i="3"/>
  <c r="J1004" i="3"/>
  <c r="M1004" i="3"/>
  <c r="N1004" i="3" s="1"/>
  <c r="V1004" i="3"/>
  <c r="D32" i="1"/>
  <c r="H49" i="1"/>
  <c r="L42" i="1"/>
  <c r="L24" i="1"/>
  <c r="L1004" i="3" l="1"/>
  <c r="Y1004" i="3" s="1"/>
  <c r="AD1004" i="3"/>
  <c r="W1004" i="3"/>
  <c r="M43" i="1"/>
  <c r="L43" i="1"/>
  <c r="H43" i="1"/>
  <c r="H41" i="1"/>
  <c r="M41" i="1"/>
  <c r="K41" i="1"/>
  <c r="K43" i="1"/>
  <c r="I43" i="1"/>
  <c r="I41" i="1"/>
  <c r="M44" i="1"/>
  <c r="J45" i="1"/>
  <c r="L44" i="1"/>
  <c r="J43" i="1"/>
  <c r="K44" i="1"/>
  <c r="U1004" i="3"/>
  <c r="Y1003" i="3"/>
  <c r="L41" i="1" s="1"/>
  <c r="E120" i="7"/>
  <c r="F120" i="7" s="1"/>
  <c r="E62" i="7"/>
  <c r="F62" i="7" s="1"/>
  <c r="E119" i="7"/>
  <c r="F119" i="7" s="1"/>
  <c r="E133" i="7"/>
  <c r="L31" i="7"/>
  <c r="H117" i="7"/>
  <c r="E65" i="7"/>
  <c r="F65" i="7" s="1"/>
  <c r="E63" i="7"/>
  <c r="F63" i="7" s="1"/>
  <c r="H59" i="7"/>
  <c r="K42" i="1"/>
  <c r="K24" i="1"/>
  <c r="B135" i="1"/>
  <c r="B133" i="1"/>
  <c r="B132" i="1" s="1"/>
  <c r="F133" i="1"/>
  <c r="B137" i="1"/>
  <c r="F134" i="1"/>
  <c r="C133" i="1"/>
  <c r="C135" i="1"/>
  <c r="K26" i="1" l="1"/>
  <c r="H55" i="7" s="1"/>
  <c r="H45" i="1"/>
  <c r="H44" i="1"/>
  <c r="M45" i="1"/>
  <c r="I26" i="1"/>
  <c r="B192" i="1" s="1"/>
  <c r="L45" i="1"/>
  <c r="I44" i="1"/>
  <c r="H28" i="1"/>
  <c r="F132" i="1" s="1"/>
  <c r="J28" i="1"/>
  <c r="H19" i="7" s="1"/>
  <c r="H26" i="1"/>
  <c r="J41" i="1"/>
  <c r="J44" i="1"/>
  <c r="K23" i="1"/>
  <c r="F21" i="1" s="1"/>
  <c r="K45" i="1"/>
  <c r="K28" i="1" s="1"/>
  <c r="M28" i="1" s="1"/>
  <c r="J26" i="1"/>
  <c r="D181" i="1" s="1"/>
  <c r="H58" i="7"/>
  <c r="M31" i="7"/>
  <c r="E121" i="7"/>
  <c r="F121" i="7" s="1"/>
  <c r="H116" i="7"/>
  <c r="E64" i="7"/>
  <c r="F64" i="7" s="1"/>
  <c r="H114" i="7" l="1"/>
  <c r="E128" i="7"/>
  <c r="E129" i="7" s="1"/>
  <c r="F129" i="7" s="1"/>
  <c r="K31" i="7"/>
  <c r="B158" i="1"/>
  <c r="H31" i="7"/>
  <c r="B161" i="1"/>
  <c r="B199" i="1"/>
  <c r="B164" i="1"/>
  <c r="H54" i="7"/>
  <c r="B180" i="1"/>
  <c r="B183" i="1"/>
  <c r="B187" i="1"/>
  <c r="B168" i="1"/>
  <c r="B173" i="1"/>
  <c r="B169" i="1"/>
  <c r="C118" i="1"/>
  <c r="B195" i="1"/>
  <c r="B163" i="1"/>
  <c r="B174" i="1"/>
  <c r="B179" i="1"/>
  <c r="B198" i="1"/>
  <c r="B171" i="1"/>
  <c r="B190" i="1"/>
  <c r="H113" i="7"/>
  <c r="B172" i="1"/>
  <c r="B193" i="1"/>
  <c r="B186" i="1"/>
  <c r="B120" i="1"/>
  <c r="B166" i="1"/>
  <c r="C156" i="1"/>
  <c r="B188" i="1"/>
  <c r="B167" i="1"/>
  <c r="B182" i="1"/>
  <c r="B194" i="1"/>
  <c r="B185" i="1"/>
  <c r="B176" i="1"/>
  <c r="B165" i="1"/>
  <c r="B170" i="1"/>
  <c r="S26" i="6"/>
  <c r="B162" i="1"/>
  <c r="B181" i="1"/>
  <c r="B175" i="1"/>
  <c r="B184" i="1"/>
  <c r="B191" i="1"/>
  <c r="B196" i="1"/>
  <c r="B197" i="1"/>
  <c r="B189" i="1"/>
  <c r="F150" i="1"/>
  <c r="F151" i="1"/>
  <c r="H112" i="7"/>
  <c r="S25" i="6"/>
  <c r="H44" i="7"/>
  <c r="P29" i="1"/>
  <c r="H57" i="7"/>
  <c r="P32" i="1"/>
  <c r="D31" i="7"/>
  <c r="H53" i="7"/>
  <c r="H115" i="7"/>
  <c r="H56" i="7"/>
  <c r="P31" i="1"/>
  <c r="I67" i="7"/>
  <c r="J31" i="7"/>
  <c r="F184" i="1"/>
  <c r="F196" i="1"/>
  <c r="D177" i="1"/>
  <c r="D160" i="1"/>
  <c r="F181" i="1"/>
  <c r="H11" i="7"/>
  <c r="D182" i="1"/>
  <c r="P30" i="1"/>
  <c r="F172" i="1"/>
  <c r="D172" i="1"/>
  <c r="D166" i="1"/>
  <c r="D167" i="1"/>
  <c r="D184" i="1"/>
  <c r="D168" i="1"/>
  <c r="F190" i="1"/>
  <c r="D164" i="1"/>
  <c r="D156" i="1"/>
  <c r="D194" i="1"/>
  <c r="D185" i="1"/>
  <c r="D179" i="1"/>
  <c r="D195" i="1"/>
  <c r="D170" i="1"/>
  <c r="F178" i="1"/>
  <c r="D188" i="1"/>
  <c r="F189" i="1"/>
  <c r="F182" i="1"/>
  <c r="F169" i="1"/>
  <c r="F186" i="1"/>
  <c r="F159" i="1"/>
  <c r="F185" i="1"/>
  <c r="D183" i="1"/>
  <c r="D180" i="1"/>
  <c r="D197" i="1"/>
  <c r="F187" i="1"/>
  <c r="F161" i="1"/>
  <c r="F168" i="1"/>
  <c r="D159" i="1"/>
  <c r="D174" i="1"/>
  <c r="F174" i="1"/>
  <c r="D169" i="1"/>
  <c r="D189" i="1"/>
  <c r="D173" i="1"/>
  <c r="F166" i="1"/>
  <c r="D165" i="1"/>
  <c r="D191" i="1"/>
  <c r="F177" i="1"/>
  <c r="F173" i="1"/>
  <c r="F160" i="1"/>
  <c r="D162" i="1"/>
  <c r="F179" i="1"/>
  <c r="D161" i="1"/>
  <c r="D187" i="1"/>
  <c r="F167" i="1"/>
  <c r="D163" i="1"/>
  <c r="F164" i="1"/>
  <c r="F162" i="1"/>
  <c r="F194" i="1"/>
  <c r="F197" i="1"/>
  <c r="F171" i="1"/>
  <c r="D196" i="1"/>
  <c r="D171" i="1"/>
  <c r="D190" i="1"/>
  <c r="F191" i="1"/>
  <c r="D193" i="1"/>
  <c r="F193" i="1"/>
  <c r="D186" i="1"/>
  <c r="F165" i="1"/>
  <c r="D178" i="1"/>
  <c r="F183" i="1"/>
  <c r="F180" i="1"/>
  <c r="D192" i="1"/>
  <c r="F195" i="1"/>
  <c r="F188" i="1"/>
  <c r="F163" i="1"/>
  <c r="F192" i="1"/>
  <c r="F170" i="1"/>
  <c r="C134" i="1"/>
  <c r="B134" i="1"/>
  <c r="C132" i="1"/>
  <c r="B136" i="1"/>
  <c r="F128" i="7" l="1"/>
  <c r="D129" i="6"/>
  <c r="D130" i="6" s="1"/>
  <c r="E130" i="6" s="1"/>
  <c r="U20" i="7"/>
  <c r="K23" i="7"/>
  <c r="J92" i="7"/>
  <c r="M24" i="6"/>
  <c r="K26" i="7"/>
  <c r="H31" i="6" l="1"/>
  <c r="I31" i="6"/>
  <c r="D128" i="6"/>
  <c r="E128" i="6" s="1"/>
  <c r="E129" i="6"/>
  <c r="C129" i="6"/>
  <c r="J86" i="7"/>
  <c r="U13" i="7"/>
  <c r="C128" i="6"/>
  <c r="C153" i="6" l="1"/>
  <c r="B192" i="6"/>
  <c r="B191" i="6"/>
  <c r="C154" i="6"/>
  <c r="I29" i="6"/>
  <c r="C157" i="6"/>
  <c r="C156" i="6" s="1"/>
  <c r="C151" i="6"/>
  <c r="H32" i="6"/>
  <c r="H29" i="6"/>
  <c r="B193" i="6"/>
  <c r="C152" i="6"/>
  <c r="I32" i="6"/>
  <c r="I30" i="6" l="1"/>
  <c r="I14" i="7"/>
  <c r="I47" i="7"/>
  <c r="S29" i="6"/>
  <c r="B194" i="6"/>
  <c r="H14" i="7"/>
  <c r="H30" i="6"/>
  <c r="H47" i="7"/>
  <c r="B190" i="6"/>
  <c r="H48" i="7" l="1"/>
  <c r="H15" i="7"/>
  <c r="S30" i="6"/>
  <c r="H33" i="6"/>
  <c r="I15" i="7"/>
  <c r="I4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M363040</author>
    <author>Léo Côme</author>
    <author>collectif</author>
  </authors>
  <commentList>
    <comment ref="M5" authorId="0" shapeId="0" xr:uid="{C00A2927-28AD-A644-9363-AEB0698AAD35}">
      <text>
        <r>
          <rPr>
            <sz val="8"/>
            <color rgb="FF000000"/>
            <rFont val="Tahoma"/>
            <family val="2"/>
          </rPr>
          <t xml:space="preserve">Définir les propriétés du 1er changement de diamètre.
</t>
        </r>
        <r>
          <rPr>
            <sz val="8"/>
            <color rgb="FF000000"/>
            <rFont val="Tahoma"/>
            <family val="2"/>
          </rPr>
          <t xml:space="preserve">Laisser cette colonne vide si la fusée n'a pas de Jupe ou Rétreint.
</t>
        </r>
        <r>
          <rPr>
            <i/>
            <sz val="8"/>
            <color rgb="FF000000"/>
            <rFont val="Tahoma"/>
            <family val="2"/>
          </rPr>
          <t xml:space="preserve">Set properties of the 1st diameter transition.
</t>
        </r>
        <r>
          <rPr>
            <i/>
            <sz val="8"/>
            <color rgb="FF000000"/>
            <rFont val="Tahoma"/>
            <family val="2"/>
          </rPr>
          <t>Leave this column blank if no skirt/shrink on the rocket.</t>
        </r>
      </text>
    </comment>
    <comment ref="O5" authorId="0" shapeId="0" xr:uid="{A6AA1789-92C0-7140-B69E-1B383ED6F936}">
      <text>
        <r>
          <rPr>
            <sz val="8"/>
            <color rgb="FF000000"/>
            <rFont val="Tahoma"/>
            <family val="2"/>
          </rPr>
          <t xml:space="preserve">Définir les propriétés du 2e changement de diamètre.
</t>
        </r>
        <r>
          <rPr>
            <sz val="8"/>
            <color rgb="FF000000"/>
            <rFont val="Tahoma"/>
            <family val="2"/>
          </rPr>
          <t xml:space="preserve">Laisser cette colonne vide si la fusée n'a pas de 2e Jupe ou Rétreint.
</t>
        </r>
        <r>
          <rPr>
            <i/>
            <sz val="8"/>
            <color rgb="FF000000"/>
            <rFont val="Tahoma"/>
            <family val="2"/>
          </rPr>
          <t xml:space="preserve">Set properties of the 2nd diameter transition.
</t>
        </r>
        <r>
          <rPr>
            <i/>
            <sz val="8"/>
            <color rgb="FF000000"/>
            <rFont val="Tahoma"/>
            <family val="2"/>
          </rPr>
          <t>Leave this column blank if no 2nd skirt/shrink on the rocket.</t>
        </r>
      </text>
    </comment>
    <comment ref="L6" authorId="1" shapeId="0" xr:uid="{9494616D-946E-B442-8557-DC8A1986DF1E}">
      <text>
        <r>
          <rPr>
            <b/>
            <sz val="8"/>
            <color indexed="8"/>
            <rFont val="Tahoma"/>
            <family val="2"/>
          </rPr>
          <t>Hauteur</t>
        </r>
        <r>
          <rPr>
            <sz val="8"/>
            <color indexed="8"/>
            <rFont val="Tahoma"/>
            <family val="2"/>
          </rPr>
          <t xml:space="preserve"> du changement de diamètre (cf. schéma sur fond bleu).
</t>
        </r>
        <r>
          <rPr>
            <i/>
            <sz val="8"/>
            <color indexed="8"/>
            <rFont val="Tahoma"/>
            <family val="2"/>
          </rPr>
          <t>Height of the tronconical transition (cf. blue schematic).</t>
        </r>
      </text>
    </comment>
    <comment ref="L7" authorId="1" shapeId="0" xr:uid="{BF1BE417-36BC-4F4F-93BB-8FE992761D7B}">
      <text>
        <r>
          <rPr>
            <sz val="8"/>
            <color indexed="8"/>
            <rFont val="Tahoma"/>
            <family val="2"/>
          </rPr>
          <t xml:space="preserve">Diamètre de la partie située </t>
        </r>
        <r>
          <rPr>
            <b/>
            <sz val="8"/>
            <color indexed="8"/>
            <rFont val="Tahoma"/>
            <family val="2"/>
          </rPr>
          <t>au dessus</t>
        </r>
        <r>
          <rPr>
            <sz val="8"/>
            <color indexed="8"/>
            <rFont val="Tahoma"/>
            <family val="2"/>
          </rPr>
          <t xml:space="preserve"> du changement de diamètre.
</t>
        </r>
        <r>
          <rPr>
            <i/>
            <sz val="8"/>
            <color indexed="8"/>
            <rFont val="Tahoma"/>
            <family val="2"/>
          </rPr>
          <t>Upper Diameter (cf. blue schematic).</t>
        </r>
      </text>
    </comment>
    <comment ref="L8" authorId="1" shapeId="0" xr:uid="{5DEDB60A-839F-2942-8F3B-65DF0E627593}">
      <text>
        <r>
          <rPr>
            <sz val="8"/>
            <color rgb="FF000000"/>
            <rFont val="Tahoma"/>
            <family val="2"/>
          </rPr>
          <t xml:space="preserve">Diamètre de la partie située </t>
        </r>
        <r>
          <rPr>
            <b/>
            <sz val="8"/>
            <color rgb="FF000000"/>
            <rFont val="Tahoma"/>
            <family val="2"/>
          </rPr>
          <t>en dessous</t>
        </r>
        <r>
          <rPr>
            <sz val="8"/>
            <color rgb="FF000000"/>
            <rFont val="Tahoma"/>
            <family val="2"/>
          </rPr>
          <t xml:space="preserve"> du changement de diamètre.
</t>
        </r>
        <r>
          <rPr>
            <i/>
            <sz val="8"/>
            <color rgb="FF000000"/>
            <rFont val="Tahoma"/>
            <family val="2"/>
          </rPr>
          <t>Lower Diameter (cf. blue schematic).</t>
        </r>
      </text>
    </comment>
    <comment ref="L9" authorId="0" shapeId="0" xr:uid="{B9E21278-845F-DB49-AFD0-8873114166F8}">
      <text>
        <r>
          <rPr>
            <sz val="8"/>
            <color rgb="FF000000"/>
            <rFont val="Tahoma"/>
            <family val="2"/>
          </rPr>
          <t xml:space="preserve">Distance entre la pointe de l'ogive et le haut du changement de diamètre.
</t>
        </r>
        <r>
          <rPr>
            <i/>
            <sz val="8"/>
            <color rgb="FF000000"/>
            <rFont val="Tahoma"/>
            <family val="2"/>
          </rPr>
          <t>Distance betwenn the tip of the nose cone and the top of the skirt/shrink.</t>
        </r>
      </text>
    </comment>
    <comment ref="B12" authorId="0" shapeId="0" xr:uid="{93B9D8F2-F1D4-754A-9B86-D9F96E761342}">
      <text>
        <r>
          <rPr>
            <sz val="8"/>
            <color indexed="8"/>
            <rFont val="Tahoma"/>
            <family val="2"/>
          </rPr>
          <t xml:space="preserve">Position du </t>
        </r>
        <r>
          <rPr>
            <b/>
            <sz val="8"/>
            <color indexed="8"/>
            <rFont val="Tahoma"/>
            <family val="2"/>
          </rPr>
          <t>Centre de Masse</t>
        </r>
        <r>
          <rPr>
            <sz val="8"/>
            <color indexed="8"/>
            <rFont val="Tahoma"/>
            <family val="2"/>
          </rPr>
          <t xml:space="preserve"> (CdG) par rapport à la pointe de l'ogive,
à mesurer ou estimer sur votre fusée.
</t>
        </r>
        <r>
          <rPr>
            <i/>
            <sz val="8"/>
            <color indexed="8"/>
            <rFont val="Tahoma"/>
            <family val="2"/>
          </rPr>
          <t>Position of Center of Mass (CoG) from the top of the nose cone.</t>
        </r>
      </text>
    </comment>
    <comment ref="S12" authorId="0" shapeId="0" xr:uid="{17012B0E-EF1A-9843-B1DF-359F94FF382D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haut</t>
        </r>
        <r>
          <rPr>
            <sz val="8"/>
            <color indexed="8"/>
            <rFont val="Tahoma"/>
            <family val="2"/>
          </rPr>
          <t xml:space="preserve"> du propulseur (hors ergot).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 xml:space="preserve">top </t>
        </r>
        <r>
          <rPr>
            <i/>
            <sz val="8"/>
            <color indexed="8"/>
            <rFont val="Tahoma"/>
            <family val="2"/>
          </rPr>
          <t>of the motor.</t>
        </r>
      </text>
    </comment>
    <comment ref="B13" authorId="0" shapeId="0" xr:uid="{4FA49E7D-56BC-9E43-806C-1BF8906AB4D4}">
      <text>
        <r>
          <rPr>
            <sz val="8"/>
            <color indexed="8"/>
            <rFont val="Tahoma"/>
            <family val="2"/>
          </rPr>
          <t xml:space="preserve">Longueur totale du fuselage avec l'ogive,
hors propu hors antenne hors ailerons.
</t>
        </r>
        <r>
          <rPr>
            <i/>
            <sz val="8"/>
            <color indexed="8"/>
            <rFont val="Tahoma"/>
            <family val="2"/>
          </rPr>
          <t>Total length of the body including nose cone.</t>
        </r>
      </text>
    </comment>
    <comment ref="L13" authorId="1" shapeId="0" xr:uid="{5F8F3942-F445-174F-8439-91838071B84C}">
      <text>
        <r>
          <rPr>
            <sz val="8"/>
            <color rgb="FF000000"/>
            <rFont val="Tahoma"/>
            <family val="2"/>
          </rPr>
          <t xml:space="preserve">Centre de Masse du propulseur par rapport au haut du propulseur.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Motor Center of Mass, mesured from top of motor.</t>
        </r>
      </text>
    </comment>
    <comment ref="B14" authorId="0" shapeId="0" xr:uid="{E33CA8B8-F7AC-FA44-ACFD-A3B88E56CBAD}">
      <text>
        <r>
          <rPr>
            <sz val="8"/>
            <color indexed="8"/>
            <rFont val="Tahoma"/>
            <family val="2"/>
          </rPr>
          <t xml:space="preserve">Diamètre de référence, utilisé pour calculer : Cnα, Finesse, Marge Statique.
Par défaut D_réf = D_ogive ; on peux écraser avec le diamètre "principal".
</t>
        </r>
        <r>
          <rPr>
            <i/>
            <sz val="8"/>
            <color indexed="8"/>
            <rFont val="Tahoma"/>
            <family val="2"/>
          </rPr>
          <t>Reference Diameter, used to compute: Cnα, Finesse, Static Margin.
By default D_ref = D_ogive ; one can overwrtie with the "main" diameter.</t>
        </r>
      </text>
    </comment>
    <comment ref="S14" authorId="0" shapeId="0" xr:uid="{9771AE04-BCAA-1843-84E4-3E93B936876B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bas</t>
        </r>
        <r>
          <rPr>
            <sz val="8"/>
            <color indexed="8"/>
            <rFont val="Tahoma"/>
            <family val="2"/>
          </rPr>
          <t xml:space="preserve"> du propulseur (hors tuyère).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>bottom</t>
        </r>
        <r>
          <rPr>
            <i/>
            <sz val="8"/>
            <color indexed="8"/>
            <rFont val="Tahoma"/>
            <family val="2"/>
          </rPr>
          <t xml:space="preserve"> of the motor.</t>
        </r>
      </text>
    </comment>
    <comment ref="L15" authorId="1" shapeId="0" xr:uid="{77FB2265-16FD-E24C-8FB2-555066695152}">
      <text>
        <r>
          <rPr>
            <sz val="8"/>
            <color indexed="8"/>
            <rFont val="Tahoma"/>
            <family val="2"/>
          </rPr>
          <t xml:space="preserve">Les positions des </t>
        </r>
        <r>
          <rPr>
            <sz val="8"/>
            <color indexed="12"/>
            <rFont val="Tahoma"/>
            <family val="2"/>
          </rPr>
          <t>Centres de Masse</t>
        </r>
        <r>
          <rPr>
            <sz val="8"/>
            <color indexed="8"/>
            <rFont val="Tahoma"/>
            <family val="2"/>
          </rPr>
          <t xml:space="preserve"> de la fusée avec propulseur plein et vide
sont représentées sur le schéma de la fusée par un </t>
        </r>
        <r>
          <rPr>
            <sz val="8"/>
            <color indexed="12"/>
            <rFont val="Tahoma"/>
            <family val="2"/>
          </rPr>
          <t>segment vertical bleu</t>
        </r>
        <r>
          <rPr>
            <sz val="8"/>
            <color indexed="8"/>
            <rFont val="Tahoma"/>
            <family val="2"/>
          </rPr>
          <t xml:space="preserve">.
</t>
        </r>
        <r>
          <rPr>
            <i/>
            <sz val="8"/>
            <color indexed="8"/>
            <rFont val="Tahoma"/>
            <family val="2"/>
          </rPr>
          <t xml:space="preserve">Rocket Center of Mass are shown whith a </t>
        </r>
        <r>
          <rPr>
            <i/>
            <sz val="8"/>
            <color indexed="12"/>
            <rFont val="Tahoma"/>
            <family val="2"/>
          </rPr>
          <t>blue segment</t>
        </r>
        <r>
          <rPr>
            <i/>
            <sz val="8"/>
            <color indexed="8"/>
            <rFont val="Tahoma"/>
            <family val="2"/>
          </rPr>
          <t xml:space="preserve"> in Rocket schematic.</t>
        </r>
      </text>
    </comment>
    <comment ref="S17" authorId="0" shapeId="0" xr:uid="{A3B3DE31-4F01-D643-9CA1-CB4088A49390}">
      <text>
        <r>
          <rPr>
            <sz val="8"/>
            <color indexed="8"/>
            <rFont val="Tahoma"/>
            <family val="2"/>
          </rPr>
          <t xml:space="preserve">Distance entre la pointe de l'ogive et le point </t>
        </r>
        <r>
          <rPr>
            <b/>
            <sz val="8"/>
            <color indexed="8"/>
            <rFont val="Tahoma"/>
            <family val="2"/>
          </rPr>
          <t>supérieur</t>
        </r>
        <r>
          <rPr>
            <sz val="8"/>
            <color indexed="8"/>
            <rFont val="Tahoma"/>
            <family val="2"/>
          </rPr>
          <t xml:space="preserve"> de l'encastrement des ailerons.
</t>
        </r>
        <r>
          <rPr>
            <i/>
            <sz val="8"/>
            <color indexed="8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indexed="8"/>
            <rFont val="Tahoma"/>
            <family val="2"/>
          </rPr>
          <t>upper</t>
        </r>
        <r>
          <rPr>
            <i/>
            <sz val="8"/>
            <color indexed="8"/>
            <rFont val="Tahoma"/>
            <family val="2"/>
          </rPr>
          <t xml:space="preserve"> point of fins attachment on the rocket.</t>
        </r>
      </text>
    </comment>
    <comment ref="B18" authorId="0" shapeId="0" xr:uid="{0F920BCD-C82D-954A-94F1-2361D22729B0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bas</t>
        </r>
        <r>
          <rPr>
            <sz val="8"/>
            <color indexed="8"/>
            <rFont val="Tahoma"/>
            <family val="2"/>
          </rPr>
          <t xml:space="preserve"> du propulseur (hors tuyère).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>bottom</t>
        </r>
        <r>
          <rPr>
            <i/>
            <sz val="8"/>
            <color indexed="8"/>
            <rFont val="Tahoma"/>
            <family val="2"/>
          </rPr>
          <t xml:space="preserve"> of the motor.</t>
        </r>
      </text>
    </comment>
    <comment ref="S18" authorId="1" shapeId="0" xr:uid="{5F2A6216-87B8-0542-B5F8-A4032ADCA197}">
      <text>
        <r>
          <rPr>
            <sz val="8"/>
            <color indexed="8"/>
            <rFont val="Tahoma"/>
            <family val="2"/>
          </rPr>
          <t>Longueur de l'</t>
        </r>
        <r>
          <rPr>
            <b/>
            <sz val="8"/>
            <color indexed="8"/>
            <rFont val="Tahoma"/>
            <family val="2"/>
          </rPr>
          <t>e</t>
        </r>
        <r>
          <rPr>
            <b/>
            <u/>
            <sz val="8"/>
            <color indexed="8"/>
            <rFont val="Tahoma"/>
            <family val="2"/>
          </rPr>
          <t>m</t>
        </r>
        <r>
          <rPr>
            <b/>
            <sz val="8"/>
            <color indexed="8"/>
            <rFont val="Tahoma"/>
            <family val="2"/>
          </rPr>
          <t>planture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Root edge length of one fin.</t>
        </r>
      </text>
    </comment>
    <comment ref="S19" authorId="0" shapeId="0" xr:uid="{8941FE23-B4BF-C949-9C68-31E6A55C4E9B}">
      <text>
        <r>
          <rPr>
            <sz val="8"/>
            <color indexed="8"/>
            <rFont val="Tahoma"/>
            <family val="2"/>
          </rPr>
          <t xml:space="preserve">Distance entre la pointe de l'ogive et le point </t>
        </r>
        <r>
          <rPr>
            <b/>
            <sz val="8"/>
            <color indexed="8"/>
            <rFont val="Tahoma"/>
            <family val="2"/>
          </rPr>
          <t>inférieur</t>
        </r>
        <r>
          <rPr>
            <sz val="8"/>
            <color indexed="8"/>
            <rFont val="Tahoma"/>
            <family val="2"/>
          </rPr>
          <t xml:space="preserve"> de l'encastrement des ailerons.
</t>
        </r>
        <r>
          <rPr>
            <i/>
            <sz val="8"/>
            <color indexed="8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indexed="8"/>
            <rFont val="Tahoma"/>
            <family val="2"/>
          </rPr>
          <t>lower</t>
        </r>
        <r>
          <rPr>
            <i/>
            <sz val="8"/>
            <color indexed="8"/>
            <rFont val="Tahoma"/>
            <family val="2"/>
          </rPr>
          <t xml:space="preserve"> point of fins attachment on the rocket.</t>
        </r>
      </text>
    </comment>
    <comment ref="B23" authorId="0" shapeId="0" xr:uid="{2D96FE34-E224-E445-81B5-AD90567BAB2C}">
      <text>
        <r>
          <rPr>
            <sz val="8"/>
            <color indexed="8"/>
            <rFont val="Tahoma"/>
            <family val="2"/>
          </rPr>
          <t xml:space="preserve">Diamètre à la base de l'ogive.
</t>
        </r>
        <r>
          <rPr>
            <i/>
            <sz val="8"/>
            <color indexed="8"/>
            <rFont val="Tahoma"/>
            <family val="2"/>
          </rPr>
          <t>Diameter at the basement of the nose cone.</t>
        </r>
      </text>
    </comment>
    <comment ref="E25" authorId="1" shapeId="0" xr:uid="{25D7A4C6-52B4-4442-9436-BD0007416A30}">
      <text>
        <r>
          <rPr>
            <sz val="8"/>
            <color rgb="FF000000"/>
            <rFont val="Tahoma"/>
            <family val="2"/>
          </rPr>
          <t xml:space="preserve">Les parties masquées des ailerons du bas sont représentées 
</t>
        </r>
        <r>
          <rPr>
            <sz val="8"/>
            <color rgb="FF000000"/>
            <rFont val="Tahoma"/>
            <family val="2"/>
          </rPr>
          <t xml:space="preserve">sur le schéma de la fusée par des </t>
        </r>
        <r>
          <rPr>
            <sz val="8"/>
            <color rgb="FFFF0000"/>
            <rFont val="Tahoma"/>
            <family val="2"/>
          </rPr>
          <t>zones en rouge</t>
        </r>
        <r>
          <rPr>
            <sz val="8"/>
            <color rgb="FF000000"/>
            <rFont val="Tahoma"/>
            <family val="2"/>
          </rPr>
          <t xml:space="preserve">.
</t>
        </r>
        <r>
          <rPr>
            <sz val="8"/>
            <color rgb="FF000000"/>
            <rFont val="Tahoma"/>
            <family val="2"/>
          </rPr>
          <t xml:space="preserve">Ce sont les parties situées juste en dessous des ailerons du haut.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The fin-fin interaction zone is located just below the upper fins,
</t>
        </r>
        <r>
          <rPr>
            <i/>
            <sz val="8"/>
            <color rgb="FF000000"/>
            <rFont val="Tahoma"/>
            <family val="2"/>
          </rPr>
          <t xml:space="preserve">shown in </t>
        </r>
        <r>
          <rPr>
            <i/>
            <sz val="8"/>
            <color rgb="FFFF0000"/>
            <rFont val="Tahoma"/>
            <family val="2"/>
          </rPr>
          <t>red</t>
        </r>
        <r>
          <rPr>
            <i/>
            <sz val="8"/>
            <color rgb="FF000000"/>
            <rFont val="Tahoma"/>
            <family val="2"/>
          </rPr>
          <t xml:space="preserve"> in the Rocket schematic.</t>
        </r>
      </text>
    </comment>
    <comment ref="B27" authorId="1" shapeId="0" xr:uid="{7A7DBE3F-C2FD-834A-8083-DB54344A9435}">
      <text>
        <r>
          <rPr>
            <sz val="8"/>
            <color indexed="8"/>
            <rFont val="Tahoma"/>
            <family val="2"/>
          </rPr>
          <t>Longueur de l'</t>
        </r>
        <r>
          <rPr>
            <b/>
            <sz val="8"/>
            <color indexed="8"/>
            <rFont val="Tahoma"/>
            <family val="2"/>
          </rPr>
          <t>e</t>
        </r>
        <r>
          <rPr>
            <b/>
            <u/>
            <sz val="8"/>
            <color indexed="8"/>
            <rFont val="Tahoma"/>
            <family val="2"/>
          </rPr>
          <t>m</t>
        </r>
        <r>
          <rPr>
            <b/>
            <sz val="8"/>
            <color indexed="8"/>
            <rFont val="Tahoma"/>
            <family val="2"/>
          </rPr>
          <t>planture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Root edge length of one fin.</t>
        </r>
      </text>
    </comment>
    <comment ref="F27" authorId="0" shapeId="0" xr:uid="{96020000-14E1-FC4A-90AC-E9CB315AF809}">
      <text>
        <r>
          <rPr>
            <sz val="8"/>
            <color rgb="FF000000"/>
            <rFont val="Tahoma"/>
            <family val="2"/>
          </rPr>
          <t xml:space="preserve">La </t>
        </r>
        <r>
          <rPr>
            <b/>
            <sz val="8"/>
            <color rgb="FF000000"/>
            <rFont val="Tahoma"/>
            <family val="2"/>
          </rPr>
          <t>Finesse</t>
        </r>
        <r>
          <rPr>
            <sz val="8"/>
            <color rgb="FF000000"/>
            <rFont val="Tahoma"/>
            <family val="2"/>
          </rPr>
          <t xml:space="preserve"> représente l'allongement de la fusée, rapport Longueur/Diamètre.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Finesse represents the relative length of the rocket. Finesse = L/D</t>
        </r>
      </text>
    </comment>
    <comment ref="B28" authorId="1" shapeId="0" xr:uid="{40659EAD-CC7E-5F49-830F-D98AC90E82BB}">
      <text>
        <r>
          <rPr>
            <sz val="8"/>
            <color indexed="8"/>
            <rFont val="Tahoma"/>
            <family val="2"/>
          </rPr>
          <t xml:space="preserve">Longueur du </t>
        </r>
        <r>
          <rPr>
            <b/>
            <sz val="8"/>
            <color indexed="8"/>
            <rFont val="Tahoma"/>
            <family val="2"/>
          </rPr>
          <t>saumo</t>
        </r>
        <r>
          <rPr>
            <b/>
            <u/>
            <sz val="8"/>
            <color indexed="8"/>
            <rFont val="Tahoma"/>
            <family val="2"/>
          </rPr>
          <t>n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Tip edge length of one fin.</t>
        </r>
      </text>
    </comment>
    <comment ref="F28" authorId="0" shapeId="0" xr:uid="{D8B8A397-00D3-5C49-A28E-C9173F1C4ADF}">
      <text>
        <r>
          <rPr>
            <sz val="8"/>
            <color rgb="FF000000"/>
            <rFont val="Tahoma"/>
            <family val="2"/>
          </rPr>
          <t xml:space="preserve">Le gradient de </t>
        </r>
        <r>
          <rPr>
            <b/>
            <sz val="8"/>
            <color rgb="FF800000"/>
            <rFont val="Tahoma"/>
            <family val="2"/>
          </rPr>
          <t>Portance</t>
        </r>
        <r>
          <rPr>
            <sz val="8"/>
            <color rgb="FF000000"/>
            <rFont val="Tahoma"/>
            <family val="2"/>
          </rPr>
          <t xml:space="preserve"> Cnα indique l'efficacité des ailerons.
</t>
        </r>
        <r>
          <rPr>
            <sz val="8"/>
            <color rgb="FF000000"/>
            <rFont val="Tahoma"/>
            <family val="2"/>
          </rPr>
          <t xml:space="preserve">Pour l'augmenter, il faut augmenter la taille des ailerons, et inversement.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800000"/>
            <rFont val="Tahoma"/>
            <family val="2"/>
          </rPr>
          <t>Lift</t>
        </r>
        <r>
          <rPr>
            <i/>
            <sz val="8"/>
            <color rgb="FF000000"/>
            <rFont val="Tahoma"/>
            <family val="2"/>
          </rPr>
          <t xml:space="preserve"> gradient, Cnα, represents the fins efficiency. 
</t>
        </r>
        <r>
          <rPr>
            <i/>
            <sz val="8"/>
            <color rgb="FF000000"/>
            <rFont val="Tahoma"/>
            <family val="2"/>
          </rPr>
          <t>To increase it, one must increase the size of the fins, and conversely.</t>
        </r>
      </text>
    </comment>
    <comment ref="B29" authorId="1" shapeId="0" xr:uid="{07155E5E-E112-FE41-A781-560BEF48D273}">
      <text>
        <r>
          <rPr>
            <b/>
            <sz val="8"/>
            <color indexed="8"/>
            <rFont val="Tahoma"/>
            <family val="2"/>
          </rPr>
          <t>Flèche</t>
        </r>
        <r>
          <rPr>
            <sz val="8"/>
            <color indexed="8"/>
            <rFont val="Tahoma"/>
            <family val="2"/>
          </rPr>
          <t xml:space="preserve"> du bord d'attaque (négatif si besoin).
</t>
        </r>
        <r>
          <rPr>
            <i/>
            <sz val="8"/>
            <color indexed="8"/>
            <rFont val="Tahoma"/>
            <family val="2"/>
          </rPr>
          <t>Offset of the Leading edge.</t>
        </r>
      </text>
    </comment>
    <comment ref="F29" authorId="0" shapeId="0" xr:uid="{2AA6E193-FECD-C543-9961-A945D610E218}">
      <text>
        <r>
          <rPr>
            <sz val="8"/>
            <color rgb="FF000000"/>
            <rFont val="Tahoma"/>
            <family val="2"/>
          </rPr>
          <t xml:space="preserve">La </t>
        </r>
        <r>
          <rPr>
            <b/>
            <sz val="8"/>
            <color rgb="FF000000"/>
            <rFont val="Tahoma"/>
            <family val="2"/>
          </rPr>
          <t>Marge Statique</t>
        </r>
        <r>
          <rPr>
            <sz val="8"/>
            <color rgb="FF000000"/>
            <rFont val="Tahoma"/>
            <family val="2"/>
          </rPr>
          <t xml:space="preserve">, MS, est la distance entre le Centre de Masse et le Centre de Pression, 
</t>
        </r>
        <r>
          <rPr>
            <sz val="8"/>
            <color rgb="FF000000"/>
            <rFont val="Tahoma"/>
            <family val="2"/>
          </rPr>
          <t xml:space="preserve">exprimée en nombre de Diamètre de Référence, pour une fusée avec propulseur plein puis vide.
</t>
        </r>
        <r>
          <rPr>
            <sz val="8"/>
            <color rgb="FF000000"/>
            <rFont val="Tahoma"/>
            <family val="2"/>
          </rPr>
          <t xml:space="preserve">Pour augmenter la MS, il faut soit :
</t>
        </r>
        <r>
          <rPr>
            <sz val="8"/>
            <color rgb="FF000000"/>
            <rFont val="Tahoma"/>
            <family val="2"/>
          </rPr>
          <t xml:space="preserve">- abaisser le Centre de Portance (position des ailerons)
</t>
        </r>
        <r>
          <rPr>
            <sz val="8"/>
            <color rgb="FF000000"/>
            <rFont val="Tahoma"/>
            <family val="2"/>
          </rPr>
          <t xml:space="preserve">- rehausser le Centre de Masse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Static Margin, MS, is the distance between the Center of Mass and the Center of Pressure, 
</t>
        </r>
        <r>
          <rPr>
            <i/>
            <sz val="8"/>
            <color rgb="FF000000"/>
            <rFont val="Tahoma"/>
            <family val="2"/>
          </rPr>
          <t xml:space="preserve">measured in number of reference diameter, for a rocket with loaded motor, then empty motor.
</t>
        </r>
        <r>
          <rPr>
            <i/>
            <sz val="8"/>
            <color rgb="FF000000"/>
            <rFont val="Tahoma"/>
            <family val="2"/>
          </rPr>
          <t xml:space="preserve">In order to increase MS, one must either:
</t>
        </r>
        <r>
          <rPr>
            <i/>
            <sz val="8"/>
            <color rgb="FF000000"/>
            <rFont val="Tahoma"/>
            <family val="2"/>
          </rPr>
          <t xml:space="preserve">- lower the Center of Pressure (position of fins)
</t>
        </r>
        <r>
          <rPr>
            <i/>
            <sz val="8"/>
            <color rgb="FF000000"/>
            <rFont val="Tahoma"/>
            <family val="2"/>
          </rPr>
          <t>- Move up the Center of Mass</t>
        </r>
      </text>
    </comment>
    <comment ref="B30" authorId="1" shapeId="0" xr:uid="{690D3A76-7707-E745-86AD-9ABB7229996E}">
      <text>
        <r>
          <rPr>
            <b/>
            <u/>
            <sz val="8"/>
            <color indexed="8"/>
            <rFont val="Tahoma"/>
            <family val="2"/>
          </rPr>
          <t>E</t>
        </r>
        <r>
          <rPr>
            <b/>
            <sz val="8"/>
            <color indexed="8"/>
            <rFont val="Tahoma"/>
            <family val="2"/>
          </rPr>
          <t>nvergure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Span of one fin.</t>
        </r>
      </text>
    </comment>
    <comment ref="F30" authorId="0" shapeId="0" xr:uid="{DB3E3AE2-0048-2A40-940A-E6C95A7BAC76}">
      <text>
        <r>
          <rPr>
            <sz val="8"/>
            <color rgb="FF000000"/>
            <rFont val="Tahoma"/>
            <family val="2"/>
          </rPr>
          <t xml:space="preserve">Le </t>
        </r>
        <r>
          <rPr>
            <b/>
            <sz val="8"/>
            <color rgb="FF000000"/>
            <rFont val="Tahoma"/>
            <family val="2"/>
          </rPr>
          <t>produit</t>
        </r>
        <r>
          <rPr>
            <sz val="8"/>
            <color rgb="FF000000"/>
            <rFont val="Tahoma"/>
            <family val="2"/>
          </rPr>
          <t xml:space="preserve"> MS*Cnα représente le </t>
        </r>
        <r>
          <rPr>
            <b/>
            <sz val="8"/>
            <color rgb="FF000000"/>
            <rFont val="Tahoma"/>
            <family val="2"/>
          </rPr>
          <t>couple</t>
        </r>
        <r>
          <rPr>
            <sz val="8"/>
            <color rgb="FF000000"/>
            <rFont val="Tahoma"/>
            <family val="2"/>
          </rPr>
          <t xml:space="preserve"> de rappel de la Portance.
</t>
        </r>
        <r>
          <rPr>
            <sz val="8"/>
            <color rgb="FF000000"/>
            <rFont val="Tahoma"/>
            <family val="2"/>
          </rPr>
          <t xml:space="preserve">Pour augmenter le produit, il faut augmenter la MS et/ou le Cnα, et inversement.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The product MS*Cnα represents the lift torque.
</t>
        </r>
        <r>
          <rPr>
            <i/>
            <sz val="8"/>
            <color rgb="FF000000"/>
            <rFont val="Tahoma"/>
            <family val="2"/>
          </rPr>
          <t>To increase it, one must increase the Static Margin and/or the Cnα, and conversely.</t>
        </r>
      </text>
    </comment>
    <comment ref="F31" authorId="0" shapeId="0" xr:uid="{2060A76E-40C6-4B44-BD75-3384A5CAABE3}">
      <text>
        <r>
          <rPr>
            <sz val="8"/>
            <color indexed="8"/>
            <rFont val="Tahoma"/>
            <family val="2"/>
          </rPr>
          <t xml:space="preserve">Le Xcp est la </t>
        </r>
        <r>
          <rPr>
            <b/>
            <sz val="8"/>
            <color indexed="16"/>
            <rFont val="Tahoma"/>
            <family val="2"/>
          </rPr>
          <t>position du Centre de Poussée Aérodynamique</t>
        </r>
        <r>
          <rPr>
            <sz val="8"/>
            <color indexed="8"/>
            <rFont val="Tahoma"/>
            <family val="2"/>
          </rPr>
          <t xml:space="preserve"> (CPA), 
aussi appelé Centre de Pression (CP), Centre Latéral de Poussée (CLP), 
ou Foyer, exprimée par rapport à la pointe de l'ogive.
</t>
        </r>
        <r>
          <rPr>
            <i/>
            <sz val="8"/>
            <color indexed="8"/>
            <rFont val="Tahoma"/>
            <family val="2"/>
          </rPr>
          <t>Xcp is the location of the Aerodynamics Center of Pressure, 
measured from the tip of the nose cone.</t>
        </r>
      </text>
    </comment>
    <comment ref="F32" authorId="2" shapeId="0" xr:uid="{A13EDA9E-DFC5-6342-82F7-D970832138FC}">
      <text>
        <r>
          <rPr>
            <sz val="8"/>
            <color rgb="FF000000"/>
            <rFont val="Tahoma"/>
            <family val="2"/>
          </rPr>
          <t xml:space="preserve">Cette Marge Statique est la distance entre le Centre de Masse et le Centre de Pression, 
</t>
        </r>
        <r>
          <rPr>
            <sz val="8"/>
            <color rgb="FF000000"/>
            <rFont val="Tahoma"/>
            <family val="2"/>
          </rPr>
          <t xml:space="preserve">exprimée en </t>
        </r>
        <r>
          <rPr>
            <b/>
            <sz val="8"/>
            <color rgb="FF000000"/>
            <rFont val="Tahoma"/>
            <family val="2"/>
          </rPr>
          <t>% de la Longueur</t>
        </r>
        <r>
          <rPr>
            <sz val="8"/>
            <color rgb="FF000000"/>
            <rFont val="Tahoma"/>
            <family val="2"/>
          </rPr>
          <t xml:space="preserve"> de la fusée, pour une fusée avec propulseur plein puis vide.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This Static Margin is the distance between the Center of Mass and the Center of Pressure, 
</t>
        </r>
        <r>
          <rPr>
            <i/>
            <sz val="8"/>
            <color rgb="FF000000"/>
            <rFont val="Tahoma"/>
            <family val="2"/>
          </rPr>
          <t>measured in % of rocket length, for a rocket with loaded motor, then empty motor.</t>
        </r>
      </text>
    </comment>
    <comment ref="B33" authorId="0" shapeId="0" xr:uid="{1D42BD02-8CA3-D84F-A862-FC9D20D1F4BA}">
      <text>
        <r>
          <rPr>
            <sz val="8"/>
            <color indexed="8"/>
            <rFont val="Tahoma"/>
            <family val="2"/>
          </rPr>
          <t xml:space="preserve">Distance entre la pointe de l'ogive et le point </t>
        </r>
        <r>
          <rPr>
            <b/>
            <sz val="8"/>
            <color indexed="8"/>
            <rFont val="Tahoma"/>
            <family val="2"/>
          </rPr>
          <t>inférieur</t>
        </r>
        <r>
          <rPr>
            <sz val="8"/>
            <color indexed="8"/>
            <rFont val="Tahoma"/>
            <family val="2"/>
          </rPr>
          <t xml:space="preserve"> de l'encastrement des ailerons.
</t>
        </r>
        <r>
          <rPr>
            <i/>
            <sz val="8"/>
            <color indexed="8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indexed="8"/>
            <rFont val="Tahoma"/>
            <family val="2"/>
          </rPr>
          <t>lower</t>
        </r>
        <r>
          <rPr>
            <i/>
            <sz val="8"/>
            <color indexed="8"/>
            <rFont val="Tahoma"/>
            <family val="2"/>
          </rPr>
          <t xml:space="preserve"> point of fins attachment on the rocket.</t>
        </r>
      </text>
    </comment>
    <comment ref="B34" authorId="0" shapeId="0" xr:uid="{A62E82D4-433C-F54F-9A80-65075C3AAD7D}">
      <text>
        <r>
          <rPr>
            <sz val="8"/>
            <color indexed="8"/>
            <rFont val="Tahoma"/>
            <family val="2"/>
          </rPr>
          <t xml:space="preserve">Diamètre du fuselage au niveau des ailerons.
</t>
        </r>
        <r>
          <rPr>
            <i/>
            <sz val="8"/>
            <color indexed="8"/>
            <rFont val="Tahoma"/>
            <family val="2"/>
          </rPr>
          <t>Diameter of the body at the level of the fins.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Léo Côme</author>
    <author>Léo</author>
    <author>Sylvain Besson</author>
    <author>collectif</author>
  </authors>
  <commentList>
    <comment ref="B10" authorId="0" shapeId="0" xr:uid="{15384CFA-AE50-EC45-8956-D4F4E799CB4F}">
      <text>
        <r>
          <rPr>
            <sz val="8"/>
            <color indexed="8"/>
            <rFont val="Tahoma"/>
            <family val="2"/>
          </rPr>
          <t xml:space="preserve">Masse au décollage, à changer dans la feuille Stabilito,
ou à l'aide des boutons (revérifiez alors la stabilité).
</t>
        </r>
        <r>
          <rPr>
            <i/>
            <sz val="8"/>
            <color indexed="8"/>
            <rFont val="Tahoma"/>
            <family val="2"/>
          </rPr>
          <t>Lift-Off mass, to be changed in Stabilito sheet,
or with the buttons (then recheck stability).</t>
        </r>
      </text>
    </comment>
    <comment ref="B11" authorId="0" shapeId="0" xr:uid="{7793ACB5-563F-C14C-AE40-D36012718F07}">
      <text>
        <r>
          <rPr>
            <sz val="8"/>
            <color indexed="8"/>
            <rFont val="Tahoma"/>
            <family val="2"/>
          </rPr>
          <t xml:space="preserve">Le propulseur doit être sélectionné dans l'onglet Stabilito.
</t>
        </r>
        <r>
          <rPr>
            <i/>
            <sz val="8"/>
            <color indexed="8"/>
            <rFont val="Tahoma"/>
            <family val="2"/>
          </rPr>
          <t>Motor must be selected in Stabilito sheet.</t>
        </r>
      </text>
    </comment>
    <comment ref="B14" authorId="1" shapeId="0" xr:uid="{45581668-9BF5-8147-A37D-825CBA28CDD3}">
      <text>
        <r>
          <rPr>
            <sz val="8"/>
            <color indexed="8"/>
            <rFont val="Tahoma"/>
            <family val="2"/>
          </rPr>
          <t xml:space="preserve">La Surface de Référence utilisée pour le calcul de la Traînée est la surface projetée dans l'axe de la fusée. Ce </t>
        </r>
        <r>
          <rPr>
            <b/>
            <sz val="8"/>
            <color indexed="8"/>
            <rFont val="Tahoma"/>
            <family val="2"/>
          </rPr>
          <t>Maître Couple</t>
        </r>
        <r>
          <rPr>
            <sz val="8"/>
            <color indexed="8"/>
            <rFont val="Tahoma"/>
            <family val="2"/>
          </rPr>
          <t xml:space="preserve"> inclut donc l'épaisseur des ailerons.
</t>
        </r>
        <r>
          <rPr>
            <i/>
            <sz val="8"/>
            <color indexed="8"/>
            <rFont val="Tahoma"/>
            <family val="2"/>
          </rPr>
          <t>Reference Surface used to compute the Drag. It includes Fin thickness.</t>
        </r>
      </text>
    </comment>
    <comment ref="B15" authorId="1" shapeId="0" xr:uid="{40FABB24-6C4E-264B-A224-46A34B8EBB76}">
      <text>
        <r>
          <rPr>
            <sz val="8"/>
            <color indexed="8"/>
            <rFont val="Tahoma"/>
            <family val="2"/>
          </rPr>
          <t xml:space="preserve">Coefficient de Traînée de la fusée. Par défaut, le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vaut 0.6. On peut ajouter ou retrancher 0.2 en fonction des aspérités de la fusée, du profilage des ailerons…
</t>
        </r>
        <r>
          <rPr>
            <i/>
            <sz val="8"/>
            <color indexed="8"/>
            <rFont val="Tahoma"/>
            <family val="2"/>
          </rPr>
          <t>Rocket Drag Coefficient is generally between 0.4 and 0.8, with a default value of 0.6.</t>
        </r>
      </text>
    </comment>
    <comment ref="B18" authorId="1" shapeId="0" xr:uid="{F6F856DB-B077-E540-8D7B-892EB7794A98}">
      <text>
        <r>
          <rPr>
            <b/>
            <sz val="8"/>
            <color indexed="8"/>
            <rFont val="Tahoma"/>
            <family val="2"/>
          </rPr>
          <t>Longueur de la rampe de lancement.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i/>
            <sz val="8"/>
            <color indexed="8"/>
            <rFont val="Tahoma"/>
            <family val="2"/>
          </rPr>
          <t xml:space="preserve">                                          Length of the launch pad.</t>
        </r>
        <r>
          <rPr>
            <sz val="8"/>
            <color indexed="8"/>
            <rFont val="Tahoma"/>
            <family val="2"/>
          </rPr>
          <t xml:space="preserve">
Valeurs courantes :                  </t>
        </r>
        <r>
          <rPr>
            <i/>
            <sz val="8"/>
            <color indexed="8"/>
            <rFont val="Tahoma"/>
            <family val="2"/>
          </rPr>
          <t>Average values :</t>
        </r>
        <r>
          <rPr>
            <sz val="8"/>
            <color indexed="8"/>
            <rFont val="Tahoma"/>
            <family val="2"/>
          </rPr>
          <t xml:space="preserve">
MicroFusée                  : 1m  :    </t>
        </r>
        <r>
          <rPr>
            <i/>
            <sz val="8"/>
            <color indexed="8"/>
            <rFont val="Tahoma"/>
            <family val="2"/>
          </rPr>
          <t>Micro-rocket</t>
        </r>
        <r>
          <rPr>
            <sz val="8"/>
            <color indexed="8"/>
            <rFont val="Tahoma"/>
            <family val="2"/>
          </rPr>
          <t xml:space="preserve">
MiniFusée                    : 2m5:   </t>
        </r>
        <r>
          <rPr>
            <i/>
            <sz val="8"/>
            <color indexed="8"/>
            <rFont val="Tahoma"/>
            <family val="2"/>
          </rPr>
          <t xml:space="preserve"> Mini-rocket
Rocketry Challenge    </t>
        </r>
        <r>
          <rPr>
            <sz val="8"/>
            <color indexed="8"/>
            <rFont val="Tahoma"/>
            <family val="2"/>
          </rPr>
          <t xml:space="preserve">: 3m
Fusée Expérimentale  : 4m  :   </t>
        </r>
        <r>
          <rPr>
            <i/>
            <sz val="8"/>
            <color indexed="8"/>
            <rFont val="Tahoma"/>
            <family val="2"/>
          </rPr>
          <t>Experimental Rocket</t>
        </r>
      </text>
    </comment>
    <comment ref="B19" authorId="1" shapeId="0" xr:uid="{410EB2A1-05D7-0C44-A8E3-5AD1648CAEAD}">
      <text>
        <r>
          <rPr>
            <sz val="8"/>
            <color indexed="8"/>
            <rFont val="Tahoma"/>
            <family val="2"/>
          </rPr>
          <t xml:space="preserve">Elévation de la rampe, angle par rapport à l'horizontale, "site" de la rampe, par défaut cet angle est à 80°.
</t>
        </r>
        <r>
          <rPr>
            <i/>
            <sz val="8"/>
            <color indexed="8"/>
            <rFont val="Tahoma"/>
            <family val="2"/>
          </rPr>
          <t>Angle of the lauch pad versus horizontal.</t>
        </r>
      </text>
    </comment>
    <comment ref="B20" authorId="1" shapeId="0" xr:uid="{CACCC701-E118-1344-8D11-6F899D4B1E33}">
      <text>
        <r>
          <rPr>
            <sz val="8"/>
            <color indexed="8"/>
            <rFont val="Tahoma"/>
            <family val="2"/>
          </rPr>
          <t xml:space="preserve">L'Altitude de la rampe est utilisée pour calculer la densité de l'air.
</t>
        </r>
        <r>
          <rPr>
            <i/>
            <sz val="8"/>
            <color indexed="8"/>
            <rFont val="Tahoma"/>
            <family val="2"/>
          </rPr>
          <t>Launch Pad Altitude is used to compute the air density.</t>
        </r>
      </text>
    </comment>
    <comment ref="D23" authorId="2" shapeId="0" xr:uid="{B18CBBCB-629E-3D4F-81A4-B315A4BC536B}">
      <text>
        <r>
          <rPr>
            <b/>
            <sz val="8"/>
            <color indexed="8"/>
            <rFont val="Tahoma"/>
            <family val="2"/>
          </rPr>
          <t>Objet largué</t>
        </r>
        <r>
          <rPr>
            <sz val="8"/>
            <color indexed="8"/>
            <rFont val="Tahoma"/>
            <family val="2"/>
          </rPr>
          <t xml:space="preserve"> (CanSat, quasi-satellite, partie contenant l'œuf...)
</t>
        </r>
        <r>
          <rPr>
            <i/>
            <sz val="8"/>
            <color indexed="8"/>
            <rFont val="Tahoma"/>
            <family val="2"/>
          </rPr>
          <t>Separated object (CanSat, quasi-satellite, payload/egg...)</t>
        </r>
      </text>
    </comment>
    <comment ref="K23" authorId="1" shapeId="0" xr:uid="{5D3388C4-0B4A-304D-916C-2A9A38115A36}">
      <text>
        <r>
          <rPr>
            <sz val="8"/>
            <color rgb="FF000000"/>
            <rFont val="Tahoma"/>
            <family val="2"/>
          </rPr>
          <t xml:space="preserve">La Vitesse en Sortie de Rampe doit être supérieure à 18m/s (MiniFusée) ou 20m/s (Fusée Exp.).
</t>
        </r>
        <r>
          <rPr>
            <sz val="8"/>
            <color rgb="FF000000"/>
            <rFont val="Tahoma"/>
            <family val="2"/>
          </rPr>
          <t xml:space="preserve">Alléger la fusée ou choisir un propu plus puissant.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Speed at Launch Pad Exit must by higher than 18m/s (mini-rocket) or 20m/s (experimental rocket).
</t>
        </r>
        <r>
          <rPr>
            <i/>
            <sz val="8"/>
            <color rgb="FF000000"/>
            <rFont val="Tahoma"/>
            <family val="2"/>
          </rPr>
          <t>Lighten the rocket or choose a bigger motor.</t>
        </r>
      </text>
    </comment>
    <comment ref="C24" authorId="2" shapeId="0" xr:uid="{83A39B17-3C6C-F54C-B142-67AFDE99C6BD}">
      <text>
        <r>
          <rPr>
            <sz val="8"/>
            <color indexed="8"/>
            <rFont val="Tahoma"/>
            <family val="2"/>
          </rPr>
          <t xml:space="preserve">Masse de la fusée (sans satellite) sous parachute.
</t>
        </r>
        <r>
          <rPr>
            <i/>
            <sz val="8"/>
            <color indexed="8"/>
            <rFont val="Tahoma"/>
            <family val="2"/>
          </rPr>
          <t>Mass of the rocket (w/o sat) when it fall with a parachute.</t>
        </r>
      </text>
    </comment>
    <comment ref="M27" authorId="3" shapeId="0" xr:uid="{F98FD256-335A-884D-892A-C0FC5DB698E0}">
      <text>
        <r>
          <rPr>
            <sz val="8"/>
            <color indexed="81"/>
            <rFont val="Tahoma"/>
            <family val="2"/>
          </rPr>
          <t xml:space="preserve">Efforts sur les fixations du parachute lors de sont ouverture.
</t>
        </r>
        <r>
          <rPr>
            <i/>
            <sz val="8"/>
            <color indexed="81"/>
            <rFont val="Tahoma"/>
            <family val="2"/>
          </rPr>
          <t>Stress on the parachute's bindings when it opened.</t>
        </r>
      </text>
    </comment>
    <comment ref="B28" authorId="1" shapeId="0" xr:uid="{DA1E166D-9ACD-E643-BBB1-901B2DECE888}">
      <text>
        <r>
          <rPr>
            <sz val="8"/>
            <color indexed="8"/>
            <rFont val="Tahoma"/>
            <family val="2"/>
          </rPr>
          <t xml:space="preserve">Le Coefficient de Traînée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(ou Cd) d'un parachute est généralement compris entre 0.7 et 1.4 (1 par défaut).
</t>
        </r>
        <r>
          <rPr>
            <i/>
            <sz val="8"/>
            <color indexed="8"/>
            <rFont val="Tahoma"/>
            <family val="2"/>
          </rPr>
          <t xml:space="preserve">Parachute Drag Coefficient </t>
        </r>
        <r>
          <rPr>
            <b/>
            <i/>
            <sz val="8"/>
            <color indexed="8"/>
            <rFont val="Tahoma"/>
            <family val="2"/>
          </rPr>
          <t>Cx</t>
        </r>
        <r>
          <rPr>
            <i/>
            <sz val="8"/>
            <color indexed="8"/>
            <rFont val="Tahoma"/>
            <family val="2"/>
          </rPr>
          <t xml:space="preserve"> (or Cd) should be between 0.7 and 1.4, with a default value of 1.</t>
        </r>
      </text>
    </comment>
    <comment ref="M28" authorId="3" shapeId="0" xr:uid="{958539F3-7D38-6E4B-BF35-69D4D724398E}">
      <text>
        <r>
          <rPr>
            <sz val="8"/>
            <color indexed="81"/>
            <rFont val="Tahoma"/>
            <family val="2"/>
          </rPr>
          <t>Energie libérée lors de l'impact balistique.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i/>
            <sz val="8"/>
            <color indexed="81"/>
            <rFont val="Tahoma"/>
            <family val="2"/>
          </rPr>
          <t>Balistic impact energy</t>
        </r>
      </text>
    </comment>
    <comment ref="B30" authorId="4" shapeId="0" xr:uid="{14989AF1-08E3-8F4C-A76E-1CA69A50E176}">
      <text>
        <r>
          <rPr>
            <sz val="8"/>
            <color rgb="FF000000"/>
            <rFont val="Tahoma"/>
            <family val="2"/>
          </rPr>
          <t xml:space="preserve">La Vitesse de descente sous parachute doit être comprise entre 5 &amp; 15m/s.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Fall Velocity with parachute must be between 5 &amp; 15 m/s.</t>
        </r>
      </text>
    </comment>
    <comment ref="B33" authorId="0" shapeId="0" xr:uid="{99C5B9B1-DACD-4949-8E82-0494050894FB}">
      <text>
        <r>
          <rPr>
            <sz val="8"/>
            <color indexed="8"/>
            <rFont val="Tahoma"/>
            <family val="2"/>
          </rPr>
          <t xml:space="preserve">Déviation due au vent lors de la descente sous parachute.
</t>
        </r>
        <r>
          <rPr>
            <i/>
            <sz val="8"/>
            <color indexed="8"/>
            <rFont val="Tahoma"/>
            <family val="2"/>
          </rPr>
          <t>Deviation due to wind during the fall over parachute.</t>
        </r>
      </text>
    </comment>
    <comment ref="F40" authorId="1" shapeId="0" xr:uid="{4C5983D3-8ABD-124E-915B-4E877960845F}">
      <text>
        <r>
          <rPr>
            <sz val="8"/>
            <color indexed="8"/>
            <rFont val="Tahoma"/>
            <family val="2"/>
          </rPr>
          <t xml:space="preserve">Les Conditions Initiales permettent de simuler le 2e boost des fusée bi-étage ou des fusées larguant une masse (CanSat, bi-inerte). Laisser à 0 dans les autres cas.
</t>
        </r>
        <r>
          <rPr>
            <i/>
            <sz val="8"/>
            <color indexed="8"/>
            <rFont val="Tahoma"/>
            <family val="2"/>
          </rPr>
          <t>Initial Conditions can be used to simulate the 2nd boost of 2-stages rockets, or rocket releasing mass (Quasi-Satellites). Set them to 0 otherwise.</t>
        </r>
      </text>
    </comment>
    <comment ref="I40" authorId="1" shapeId="0" xr:uid="{01589978-EDDE-3741-BF57-74E8E94DE07A}">
      <text>
        <r>
          <rPr>
            <sz val="8"/>
            <color indexed="8"/>
            <rFont val="Tahoma"/>
            <family val="2"/>
          </rPr>
          <t xml:space="preserve">Altitude par rapport à la rampe, par rapport au sol.
</t>
        </r>
        <r>
          <rPr>
            <i/>
            <sz val="8"/>
            <color indexed="8"/>
            <rFont val="Tahoma"/>
            <family val="2"/>
          </rPr>
          <t>Altitude with respect to the earth surface.</t>
        </r>
      </text>
    </comment>
    <comment ref="K40" authorId="1" shapeId="0" xr:uid="{7D4F787C-8E9D-AD4B-B98C-DFC41DE06DE4}">
      <text>
        <r>
          <rPr>
            <sz val="8"/>
            <color indexed="8"/>
            <rFont val="Tahoma"/>
            <family val="2"/>
          </rPr>
          <t xml:space="preserve">La vitesse initiale doit être non-nulle dans le cas d'un 2e boost (allumage hors de la rampe, Portée et Altitude non-nulles).
</t>
        </r>
        <r>
          <rPr>
            <i/>
            <sz val="8"/>
            <color indexed="8"/>
            <rFont val="Tahoma"/>
            <family val="2"/>
          </rPr>
          <t>Initial Velocity must be non-zero in case of 2nd boost (ignition without launch pad, non-zero Range and Altitude).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M363040</author>
    <author>Léo Côme</author>
  </authors>
  <commentList>
    <comment ref="B10" authorId="0" shapeId="0" xr:uid="{DECAEDCA-6867-B442-8EF7-18D10A7D4512}">
      <text>
        <r>
          <rPr>
            <sz val="8"/>
            <color indexed="8"/>
            <rFont val="Tahoma"/>
            <family val="2"/>
          </rPr>
          <t xml:space="preserve">Masse sans propu, à changer dans la feuille Stabilito,
ou à l'aide des boutons (revérifiez alors la stabilité).
</t>
        </r>
        <r>
          <rPr>
            <i/>
            <sz val="8"/>
            <color indexed="8"/>
            <rFont val="Tahoma"/>
            <family val="2"/>
          </rPr>
          <t>Rocket mass without motor, to be changed in Stabilito sheet,
or with the buttons (then recheck stability).</t>
        </r>
      </text>
    </comment>
    <comment ref="B11" authorId="0" shapeId="0" xr:uid="{6DE15895-CF3A-B04B-9924-780E2F0470E3}">
      <text>
        <r>
          <rPr>
            <sz val="8"/>
            <color indexed="8"/>
            <rFont val="Tahoma"/>
            <family val="2"/>
          </rPr>
          <t>Masse totale, à changer dans la feuille Stabilito,
ou à l'aide des boutons (revérifiez alors la stabilité).
Rocket total mass, to be changed in Stabilito sheet,
or with the buttons (then recheck stability).</t>
        </r>
      </text>
    </comment>
    <comment ref="B12" authorId="0" shapeId="0" xr:uid="{FC517C5B-575E-C442-96EF-03A0E0636F81}">
      <text>
        <r>
          <rPr>
            <sz val="8"/>
            <color indexed="8"/>
            <rFont val="Tahoma"/>
            <family val="2"/>
          </rPr>
          <t xml:space="preserve">Le propulseur doit être sélectionné dans l'onglet Stabilito.
</t>
        </r>
        <r>
          <rPr>
            <i/>
            <sz val="8"/>
            <color indexed="8"/>
            <rFont val="Tahoma"/>
            <family val="2"/>
          </rPr>
          <t>Motor must be selected in Stabilito sheet.</t>
        </r>
      </text>
    </comment>
    <comment ref="B15" authorId="1" shapeId="0" xr:uid="{17E33935-8B9F-6541-A3BE-C2438CE92052}">
      <text>
        <r>
          <rPr>
            <sz val="8"/>
            <color indexed="8"/>
            <rFont val="Tahoma"/>
            <family val="2"/>
          </rPr>
          <t xml:space="preserve">Diamètre de référence. D_réf = D_ogive ou le diamètre "principal".
</t>
        </r>
        <r>
          <rPr>
            <i/>
            <sz val="8"/>
            <color indexed="8"/>
            <rFont val="Tahoma"/>
            <family val="2"/>
          </rPr>
          <t>Reference Diameter. D_ref = D_ogive or the "main" diameter.</t>
        </r>
      </text>
    </comment>
    <comment ref="B16" authorId="2" shapeId="0" xr:uid="{E172DD01-C068-EB46-9363-E08B5F91D3F8}">
      <text>
        <r>
          <rPr>
            <sz val="8"/>
            <color indexed="8"/>
            <rFont val="Tahoma"/>
            <family val="2"/>
          </rPr>
          <t xml:space="preserve">Coefficient de Traînée de la fusée. Par défaut, le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vaut 0.6. On peut ajouter ou retrancher 0.2 en fonction des aspérités de la fusée, du profilage des ailerons…
</t>
        </r>
        <r>
          <rPr>
            <i/>
            <sz val="8"/>
            <color indexed="8"/>
            <rFont val="Tahoma"/>
            <family val="2"/>
          </rPr>
          <t>Rocket Drag Coefficient is generally between 0.4 and 0.8, with a default value of 0.6.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Léo</author>
  </authors>
  <commentList>
    <comment ref="E52" authorId="0" shapeId="0" xr:uid="{F64DC3FF-91A3-DF48-911C-0D7848EFC6BB}">
      <text>
        <r>
          <rPr>
            <sz val="8"/>
            <color indexed="81"/>
            <rFont val="Tahoma"/>
            <family val="2"/>
          </rPr>
          <t xml:space="preserve">Masse volumique de l'air (ρ) à P=1013,25hPa &amp; T=15°C.
Utilisée tel quel pour la descente sous parachute,
utilisée comme référence (z=0) pour le calcul de ρ en fonction de l'altitude dans le calcul de la trajectoire pas à pas.
Idéalement, valeur à adapter aux conditions atmosphériques au moment du lancement.
</t>
        </r>
        <r>
          <rPr>
            <i/>
            <sz val="8"/>
            <color indexed="81"/>
            <rFont val="Tahoma"/>
            <family val="2"/>
          </rPr>
          <t>Air density (ρ) at P=1013,25hPa &amp; T=15°C.</t>
        </r>
      </text>
    </comment>
  </commentList>
</comments>
</file>

<file path=xl/sharedStrings.xml><?xml version="1.0" encoding="utf-8"?>
<sst xmlns="http://schemas.openxmlformats.org/spreadsheetml/2006/main" count="1674" uniqueCount="556">
  <si>
    <t>TRAJECTO</t>
  </si>
  <si>
    <t>Français</t>
  </si>
  <si>
    <t>t</t>
  </si>
  <si>
    <t>x</t>
  </si>
  <si>
    <t>Club</t>
  </si>
  <si>
    <t>Cx</t>
  </si>
  <si>
    <t>Altitude</t>
  </si>
  <si>
    <t>m/s²</t>
  </si>
  <si>
    <t>kg/m3</t>
  </si>
  <si>
    <t>Surface para</t>
  </si>
  <si>
    <t>Cx parachute</t>
  </si>
  <si>
    <t>Temps</t>
  </si>
  <si>
    <t>Altitude z</t>
  </si>
  <si>
    <t>Accélération</t>
  </si>
  <si>
    <t>-</t>
  </si>
  <si>
    <t>Culmination, Apogée</t>
  </si>
  <si>
    <t>~0</t>
  </si>
  <si>
    <t>Forces</t>
  </si>
  <si>
    <t>Accélération longitudinale</t>
  </si>
  <si>
    <t>pas</t>
  </si>
  <si>
    <t>Beta</t>
  </si>
  <si>
    <t>BetaD</t>
  </si>
  <si>
    <t>Débit</t>
  </si>
  <si>
    <t>Trainée</t>
  </si>
  <si>
    <t>Rho</t>
  </si>
  <si>
    <t>Poussée</t>
  </si>
  <si>
    <t>i_P</t>
  </si>
  <si>
    <t>Poids</t>
  </si>
  <si>
    <t>R_rampe</t>
  </si>
  <si>
    <t>z</t>
  </si>
  <si>
    <t>non-gravit.</t>
  </si>
  <si>
    <t>gravitationnelle</t>
  </si>
  <si>
    <t>Ligne</t>
  </si>
  <si>
    <t>Temps (en s)</t>
  </si>
  <si>
    <t>Poussée (en N)</t>
  </si>
  <si>
    <t>Isard</t>
  </si>
  <si>
    <t>Chamois</t>
  </si>
  <si>
    <t>Pro75-2G</t>
  </si>
  <si>
    <t>espace@planete-sciences.org</t>
  </si>
  <si>
    <t>m</t>
  </si>
  <si>
    <t>http://www.planete-sciences.org/espace/basedoc/</t>
  </si>
  <si>
    <t>Surface Réf.</t>
  </si>
  <si>
    <t>Angle</t>
  </si>
  <si>
    <t>Léo Côme</t>
  </si>
  <si>
    <t>Notes :</t>
  </si>
  <si>
    <t>Barasinga (Pro54-5G)</t>
  </si>
  <si>
    <t>Orignal (Pro75-3G)</t>
  </si>
  <si>
    <t>Aucun (2e ét. inerte)</t>
  </si>
  <si>
    <t>z para</t>
  </si>
  <si>
    <t>z sat</t>
  </si>
  <si>
    <t>xz max</t>
  </si>
  <si>
    <t>t para</t>
  </si>
  <si>
    <t>x para</t>
  </si>
  <si>
    <t>t sat</t>
  </si>
  <si>
    <t>x sat</t>
  </si>
  <si>
    <t>Moteurs Rocketry-Challenge, bug Surface_parachute, Satellite, bug Ooo</t>
  </si>
  <si>
    <t>STABILITO</t>
  </si>
  <si>
    <t>Type</t>
  </si>
  <si>
    <t>XCp</t>
  </si>
  <si>
    <t>MpropuPlein</t>
  </si>
  <si>
    <t>XpropuPlein</t>
  </si>
  <si>
    <t>MpropuVide</t>
  </si>
  <si>
    <t>XpropuVide</t>
  </si>
  <si>
    <t>Longueur</t>
  </si>
  <si>
    <t>Diamètre</t>
  </si>
  <si>
    <t>Min</t>
  </si>
  <si>
    <t>Max</t>
  </si>
  <si>
    <t>Finesse</t>
  </si>
  <si>
    <t>Cnα</t>
  </si>
  <si>
    <t>MS /L</t>
  </si>
  <si>
    <t>English</t>
  </si>
  <si>
    <t>X longi</t>
  </si>
  <si>
    <t>Y latéral</t>
  </si>
  <si>
    <t>- Y latéral</t>
  </si>
  <si>
    <t>Pointe</t>
  </si>
  <si>
    <t>Ogive</t>
  </si>
  <si>
    <t>chmt1 pt1</t>
  </si>
  <si>
    <t>chmt1 pt2</t>
  </si>
  <si>
    <t>chmt2 pt1</t>
  </si>
  <si>
    <t>chmt2 pt2</t>
  </si>
  <si>
    <t>culot</t>
  </si>
  <si>
    <t>aileron pt1</t>
  </si>
  <si>
    <t>aileron pt2</t>
  </si>
  <si>
    <t>aileron pt3</t>
  </si>
  <si>
    <t>aileron pt4</t>
  </si>
  <si>
    <t>Xcg plein</t>
  </si>
  <si>
    <t>Xcg vide</t>
  </si>
  <si>
    <t>Xcp</t>
  </si>
  <si>
    <t>canard pt1</t>
  </si>
  <si>
    <t>canard pt2</t>
  </si>
  <si>
    <t>canard pt3</t>
  </si>
  <si>
    <t>canard pt4</t>
  </si>
  <si>
    <t>masquage pt1</t>
  </si>
  <si>
    <t>masquage pt2</t>
  </si>
  <si>
    <t>masquage pt3</t>
  </si>
  <si>
    <t>masquage pt4</t>
  </si>
  <si>
    <t>cadre</t>
  </si>
  <si>
    <t>propu pt1</t>
  </si>
  <si>
    <t>propu pt2</t>
  </si>
  <si>
    <t>propu pt3</t>
  </si>
  <si>
    <t>propu pt4</t>
  </si>
  <si>
    <t>propu pt5</t>
  </si>
  <si>
    <t>MS (X)</t>
  </si>
  <si>
    <t>Cna (Y)</t>
  </si>
  <si>
    <t>2002-2007</t>
  </si>
  <si>
    <t>Stabilito V1.x</t>
  </si>
  <si>
    <t>Stabilito V2.0</t>
  </si>
  <si>
    <t>Stabilito V2.1</t>
  </si>
  <si>
    <t>Stabilito V2.2</t>
  </si>
  <si>
    <t>Trajecto V1.x</t>
  </si>
  <si>
    <t>Trajecto V2.x</t>
  </si>
  <si>
    <t>Trajecto V2.4</t>
  </si>
  <si>
    <t>Trajecto V2.5</t>
  </si>
  <si>
    <t>OpenOffice Calc</t>
  </si>
  <si>
    <t>µ-propu A8-3</t>
  </si>
  <si>
    <t>µ-propu B4-4</t>
  </si>
  <si>
    <t>µ-propu C6-3</t>
  </si>
  <si>
    <t>ISP</t>
  </si>
  <si>
    <t>I_total</t>
  </si>
  <si>
    <t>I_total_i (en N.s)</t>
  </si>
  <si>
    <t>Micro</t>
  </si>
  <si>
    <t>Fusex</t>
  </si>
  <si>
    <t>Mini</t>
  </si>
  <si>
    <t>0 satellite</t>
  </si>
  <si>
    <t>1 satellite</t>
  </si>
  <si>
    <t>http://creativecommons.org/licenses/by-sa/3.0/</t>
  </si>
  <si>
    <t>VL4</t>
  </si>
  <si>
    <t>Vsortie de rampe (&gt; 18 m/s)</t>
  </si>
  <si>
    <t>10 &lt; finesse &lt; 20</t>
  </si>
  <si>
    <t>15 &lt; Cn &lt; 30</t>
  </si>
  <si>
    <t>30 &lt; Ms x Cn &lt; 100</t>
  </si>
  <si>
    <t>RC1</t>
  </si>
  <si>
    <t>5 &lt; Vc &lt; 15 m/s</t>
  </si>
  <si>
    <t>RC2</t>
  </si>
  <si>
    <t>Temps de retard ralentisseur</t>
  </si>
  <si>
    <t>RC5</t>
  </si>
  <si>
    <t>Portée balistique (m)</t>
  </si>
  <si>
    <t>Temps de vol avec parachute (s)</t>
  </si>
  <si>
    <t>Culmination</t>
  </si>
  <si>
    <t>Accélération max (m/s²)</t>
  </si>
  <si>
    <t>Vmax (m/s)</t>
  </si>
  <si>
    <t>Altitude (m)</t>
  </si>
  <si>
    <t>Temps (s)</t>
  </si>
  <si>
    <t>Vitesse (m/s)</t>
  </si>
  <si>
    <t>Inclinaison</t>
  </si>
  <si>
    <t>Longueur totale</t>
  </si>
  <si>
    <t>Longueur rampe</t>
  </si>
  <si>
    <t>Epaisseur ailerons</t>
  </si>
  <si>
    <t>Nombre ailerons</t>
  </si>
  <si>
    <t>Type d'ogive</t>
  </si>
  <si>
    <t>Longueur ogive "l"</t>
  </si>
  <si>
    <t>Haut du propu "Prop"</t>
  </si>
  <si>
    <t>Diamètre "D"</t>
  </si>
  <si>
    <t>Position ailerons "L"</t>
  </si>
  <si>
    <t>M</t>
  </si>
  <si>
    <t>Microsoft Excel 2003 ou +</t>
  </si>
  <si>
    <t>s</t>
  </si>
  <si>
    <t>m/s</t>
  </si>
  <si>
    <t>°</t>
  </si>
  <si>
    <t>Transition A</t>
  </si>
  <si>
    <t>Transition B</t>
  </si>
  <si>
    <t>Jaune</t>
  </si>
  <si>
    <t>conique</t>
  </si>
  <si>
    <t>ogive</t>
  </si>
  <si>
    <t>parabole</t>
  </si>
  <si>
    <t>env pt4</t>
  </si>
  <si>
    <t>flèche pt2</t>
  </si>
  <si>
    <t>saumon pt3</t>
  </si>
  <si>
    <t>flèche milieu</t>
  </si>
  <si>
    <t>env milieu</t>
  </si>
  <si>
    <t>saumon milieu</t>
  </si>
  <si>
    <t>empl milieu</t>
  </si>
  <si>
    <t>empl pt4</t>
  </si>
  <si>
    <t>MS milieu</t>
  </si>
  <si>
    <t>MS Xcp</t>
  </si>
  <si>
    <t>1s</t>
  </si>
  <si>
    <t>t/T</t>
  </si>
  <si>
    <t>z/Z</t>
  </si>
  <si>
    <t>vertical</t>
  </si>
  <si>
    <t>horizontal</t>
  </si>
  <si>
    <t>flèches</t>
  </si>
  <si>
    <t>StabTraj</t>
  </si>
  <si>
    <t>StabTraj V3.0</t>
  </si>
  <si>
    <t>Trajecto</t>
  </si>
  <si>
    <t>µ-propu</t>
  </si>
  <si>
    <t>Minif</t>
  </si>
  <si>
    <t xml:space="preserve"> </t>
  </si>
  <si>
    <t>Événements</t>
  </si>
  <si>
    <t>Sous-échantillon 1Hz</t>
  </si>
  <si>
    <t>pos_x</t>
  </si>
  <si>
    <t>pos_z</t>
  </si>
  <si>
    <t>pos_xz</t>
  </si>
  <si>
    <t>vit_x</t>
  </si>
  <si>
    <t>vit_z</t>
  </si>
  <si>
    <t>vit_xz</t>
  </si>
  <si>
    <t>acc_x</t>
  </si>
  <si>
    <t>acc_z</t>
  </si>
  <si>
    <t>acc_xz</t>
  </si>
  <si>
    <t>Donneés au format des fiches de contrôles Fusex :</t>
  </si>
  <si>
    <t>Diamètre max</t>
  </si>
  <si>
    <t>Envergure totale</t>
  </si>
  <si>
    <t>sans</t>
  </si>
  <si>
    <t>vide</t>
  </si>
  <si>
    <t>plein</t>
  </si>
  <si>
    <t>Masse</t>
  </si>
  <si>
    <t>STAB 1</t>
  </si>
  <si>
    <t>STAB 2</t>
  </si>
  <si>
    <t>STAB 3</t>
  </si>
  <si>
    <t>STAB 4</t>
  </si>
  <si>
    <t>STAB 5</t>
  </si>
  <si>
    <t>Vsortie de rampe (&gt; 20 m/s)</t>
  </si>
  <si>
    <t>10 &lt; finesse &lt; 35</t>
  </si>
  <si>
    <t>15 &lt; Portance &lt; 40</t>
  </si>
  <si>
    <t>2*D &lt; Ms &lt; 6*D</t>
  </si>
  <si>
    <t>40 &lt; Ms x Cn &lt; 100</t>
  </si>
  <si>
    <t>Maître couple (m²)</t>
  </si>
  <si>
    <t>Site</t>
  </si>
  <si>
    <t>Temps balistique (s)</t>
  </si>
  <si>
    <t>Temps culmi (s)</t>
  </si>
  <si>
    <t>Altitude culmi (m)</t>
  </si>
  <si>
    <t>Vitesse culmi (m/s)</t>
  </si>
  <si>
    <t>CdG</t>
  </si>
  <si>
    <t>Diamètre max (40à200)</t>
  </si>
  <si>
    <t>Envergure totale &lt;720</t>
  </si>
  <si>
    <t>Masse &lt;15</t>
  </si>
  <si>
    <t>Pensez à modifier l'inclinaison pour avoir les 2 valeurs.</t>
  </si>
  <si>
    <t>Resist long aileron</t>
  </si>
  <si>
    <t>Resist transv aileron</t>
  </si>
  <si>
    <t>Compression 2.Acc.M</t>
  </si>
  <si>
    <t>N</t>
  </si>
  <si>
    <t>kg</t>
  </si>
  <si>
    <t>Surface aileron (m²)</t>
  </si>
  <si>
    <t>Masse aileron (kg)</t>
  </si>
  <si>
    <t>T dépotage +/-2s /appogée</t>
  </si>
  <si>
    <t>REC 2</t>
  </si>
  <si>
    <t>SEQ 5</t>
  </si>
  <si>
    <t>CR 1</t>
  </si>
  <si>
    <t>CR 2</t>
  </si>
  <si>
    <t>MEC 3</t>
  </si>
  <si>
    <t>Vitesse à l'ouverture m/s</t>
  </si>
  <si>
    <t>Surface parachute m²</t>
  </si>
  <si>
    <t xml:space="preserve">Choc à l'ouverture   N </t>
  </si>
  <si>
    <t>Choc à l'ouverture   kg</t>
  </si>
  <si>
    <t>Compression porte</t>
  </si>
  <si>
    <t>Masse au-dessus porte</t>
  </si>
  <si>
    <t>REC 8</t>
  </si>
  <si>
    <t>rad</t>
  </si>
  <si>
    <t>kg/s</t>
  </si>
  <si>
    <t>Méthodes d'intégration maison</t>
  </si>
  <si>
    <t>Wikipedia</t>
  </si>
  <si>
    <t>Pour se limiter à 1000 lignes, pas variable (les transitions sont-elles rigoureuses ?).</t>
  </si>
  <si>
    <t>Le Vol de la Fusée</t>
  </si>
  <si>
    <t>Beeman (2nd order, explicit variant)</t>
  </si>
  <si>
    <t>Newmark-beta (with γ=1/2 &amp; β=1/4) (2nd order)</t>
  </si>
  <si>
    <t>Spécificités de notre problème (2nd order mechanical ODE) :</t>
  </si>
  <si>
    <t>Verlet (2-stage 2nd order, symplectic, explicit)</t>
  </si>
  <si>
    <t>Trajec 2.x utililse un mélange douteux de différentes méthodes :</t>
  </si>
  <si>
    <t>Méthodes d'intégration explicites officielles</t>
  </si>
  <si>
    <t>On peut anticiper la Poussée (force qui varie le +) et la masse.</t>
  </si>
  <si>
    <t>L'Acc dépend de la vitesse (et peu de la position).</t>
  </si>
  <si>
    <t>Semi-implicit Euler (1st order, symplectic) [§ "Euler modifié" dans Le Vol de La Fusée]</t>
  </si>
  <si>
    <t>Explicit Euler (1st order, non-symplectic) [RK1]</t>
  </si>
  <si>
    <t>Velocity Verlet, Leapfrog variant (2nd order, symplectic, explicit)</t>
  </si>
  <si>
    <t>Midpoint, Modified Euler (2nd order, explicit) [§ "RK2" dans Le Vol de La Fusée]</t>
  </si>
  <si>
    <t>Heun, Improved Euler (2-stage 2nd-order, explicit, predictor-corrector) [Trapezoidal] [RK2]</t>
  </si>
  <si>
    <t>Les méthodes symplectic (conserve l'énergie) gardent-elles leur avantage quand la masse varie (ph propu) ?</t>
  </si>
  <si>
    <t>Sous Excel, on a les pas précédent (linear multistep possible), mais ordre élevé ou implicite sont à exclure.</t>
  </si>
  <si>
    <t>Multi{sub}step (RK), linear multi{previous}step (ADAMS), predictor-corrector, implicit …</t>
  </si>
  <si>
    <t>Dynamique de la fusée (repère sol)</t>
  </si>
  <si>
    <t>Brun/Orange…</t>
  </si>
  <si>
    <t>Rouge…</t>
  </si>
  <si>
    <t>Trajecto/StabTraj corrige l'erreur de Trajec sur Xn+1 en utilisant la vitesse moyenne :</t>
  </si>
  <si>
    <t>Idéalement, il serait préférable de tout calculer à n+0.5 (m, V, β, ρ).</t>
  </si>
  <si>
    <t>Checksum :</t>
  </si>
  <si>
    <t>M_éjecté</t>
  </si>
  <si>
    <t>M_burnout</t>
  </si>
  <si>
    <t>m_poudre</t>
  </si>
  <si>
    <t>Wapiti</t>
  </si>
  <si>
    <t>Cariacou</t>
  </si>
  <si>
    <t>H2O</t>
  </si>
  <si>
    <t>H2O 2.0L 400g 6bar</t>
  </si>
  <si>
    <t>H2O 2.0L 600g 6bar</t>
  </si>
  <si>
    <t>H2O 2.0L 800g 6bar</t>
  </si>
  <si>
    <t>H2O 2.0L 1000g 6bar</t>
  </si>
  <si>
    <t>ABACO</t>
  </si>
  <si>
    <t>Masse totale</t>
  </si>
  <si>
    <t>Traînée prop</t>
  </si>
  <si>
    <t>Traînée bal</t>
  </si>
  <si>
    <t>1/2.ρ.S.Cx</t>
  </si>
  <si>
    <t>M ph prop</t>
  </si>
  <si>
    <t>M ph bal</t>
  </si>
  <si>
    <t>alt_prop</t>
  </si>
  <si>
    <t>V_prop</t>
  </si>
  <si>
    <t>t_culmi</t>
  </si>
  <si>
    <t>D_var</t>
  </si>
  <si>
    <t>Q_var</t>
  </si>
  <si>
    <t>m_var</t>
  </si>
  <si>
    <t>m_prop</t>
  </si>
  <si>
    <t>m_bal</t>
  </si>
  <si>
    <t>a_prop</t>
  </si>
  <si>
    <t>b_prop</t>
  </si>
  <si>
    <t>b_bal</t>
  </si>
  <si>
    <t>Alt prop</t>
  </si>
  <si>
    <t>V max</t>
  </si>
  <si>
    <t>LibreOffice Calc 3.4 ou +</t>
  </si>
  <si>
    <t>alt_culmi</t>
  </si>
  <si>
    <t>x_triomphe</t>
  </si>
  <si>
    <t>z_triomphe</t>
  </si>
  <si>
    <t>Arc de triomphe</t>
  </si>
  <si>
    <t>z_Eiffel</t>
  </si>
  <si>
    <t>x_Eiffel</t>
  </si>
  <si>
    <t>Tour Eiffel</t>
  </si>
  <si>
    <t>H2O 1.5L 300g 6bar</t>
  </si>
  <si>
    <t>H2O 1.5L 450g 6bar</t>
  </si>
  <si>
    <t>H2O 1.5L 600g 6bar</t>
  </si>
  <si>
    <t>H2O 1.5L 750g 6bar</t>
  </si>
  <si>
    <t>FUSEX</t>
  </si>
  <si>
    <t>MINIF PRO29-1G</t>
  </si>
  <si>
    <t>MINIF PRO24-3G</t>
  </si>
  <si>
    <t>MINIF PRO29-2G</t>
  </si>
  <si>
    <t>MINIF PRO24-1G</t>
  </si>
  <si>
    <t>Pro98-2G WT</t>
  </si>
  <si>
    <t>Pro98-3G WT</t>
  </si>
  <si>
    <t>p24-1G 24E22</t>
  </si>
  <si>
    <t>p24-1G 26E31</t>
  </si>
  <si>
    <t>p24-3G 60F50</t>
  </si>
  <si>
    <t>p24-3G 68F79</t>
  </si>
  <si>
    <t>p24-3G 68F240</t>
  </si>
  <si>
    <t>p24-3G 73F30</t>
  </si>
  <si>
    <t>p24-3G 74F85</t>
  </si>
  <si>
    <t>p24-3G 75F51</t>
  </si>
  <si>
    <t>StabTraj V3.1</t>
  </si>
  <si>
    <t>StabTraj V3.2</t>
  </si>
  <si>
    <t>µ-propu C6-3 x2</t>
  </si>
  <si>
    <t>µ-propu C6-3 x3</t>
  </si>
  <si>
    <t>Propu : +RC &amp; +Tintin 2013 : 3 p24-1G, p24-3G 75F51 &amp; 60F50, Pro98-2G &amp; 3G WT</t>
  </si>
  <si>
    <t>Propu : +multi-µ-fu, -Wapiti, warning Cariacou, "Rufina"</t>
  </si>
  <si>
    <t>Donneés au format des fiches de lancement Fusex :</t>
  </si>
  <si>
    <t>Projet</t>
  </si>
  <si>
    <t>Chef de projet</t>
  </si>
  <si>
    <t>Date</t>
  </si>
  <si>
    <t>Moteur</t>
  </si>
  <si>
    <t>Virole</t>
  </si>
  <si>
    <t>MECANIQUE</t>
  </si>
  <si>
    <t xml:space="preserve">l = </t>
  </si>
  <si>
    <t xml:space="preserve">D = </t>
  </si>
  <si>
    <t>Dj =</t>
  </si>
  <si>
    <t xml:space="preserve">Dr = </t>
  </si>
  <si>
    <t xml:space="preserve">m = </t>
  </si>
  <si>
    <t>Epaisseur :</t>
  </si>
  <si>
    <t>Nb Aileron</t>
  </si>
  <si>
    <t>Type ogive</t>
  </si>
  <si>
    <t>ogivale</t>
  </si>
  <si>
    <t>parabolique</t>
  </si>
  <si>
    <t>X_plaque de poussée</t>
  </si>
  <si>
    <t>Masse fusée</t>
  </si>
  <si>
    <t>X_CdG</t>
  </si>
  <si>
    <t>Propu plein</t>
  </si>
  <si>
    <t>Sans propu</t>
  </si>
  <si>
    <t>Masse avec propu vide</t>
  </si>
  <si>
    <t>Simulation de vol</t>
  </si>
  <si>
    <t>Tenue mécanique</t>
  </si>
  <si>
    <t>masse d'un aileron</t>
  </si>
  <si>
    <t>superficie d'un aileron</t>
  </si>
  <si>
    <t>fleche acceptable(mm)</t>
  </si>
  <si>
    <t>compression</t>
  </si>
  <si>
    <t>Resistance longitudinale d'un aileron</t>
  </si>
  <si>
    <t>Resistance transversale d'un aileron</t>
  </si>
  <si>
    <t>Récupération</t>
  </si>
  <si>
    <t>Ralentisseur</t>
  </si>
  <si>
    <t>nombre de suspentes</t>
  </si>
  <si>
    <t>surface parachute</t>
  </si>
  <si>
    <t>force à tester totale</t>
  </si>
  <si>
    <t>force sur suspente</t>
  </si>
  <si>
    <t>Séparation latérale</t>
  </si>
  <si>
    <t>masse au dessus case para</t>
  </si>
  <si>
    <t>Force de compression</t>
  </si>
  <si>
    <t>MINIF PRO24-6G</t>
  </si>
  <si>
    <t>MINIF PRO38-1G</t>
  </si>
  <si>
    <t>p29-2G 84G88</t>
  </si>
  <si>
    <t>p29-2G 93G80</t>
  </si>
  <si>
    <t>p29-2G 110G250</t>
  </si>
  <si>
    <t>p29-2G 116G126</t>
  </si>
  <si>
    <t>p38-1G 137G58</t>
  </si>
  <si>
    <t>p38-1G 128G185</t>
  </si>
  <si>
    <t>p29-1G 41F36</t>
  </si>
  <si>
    <t>p29-1G 51F36</t>
  </si>
  <si>
    <t>p29-1G 55F29</t>
  </si>
  <si>
    <t>p29-1G 56F120</t>
  </si>
  <si>
    <t>p29-1G 57F59</t>
  </si>
  <si>
    <t>MINIF PRO29-3G</t>
  </si>
  <si>
    <t>p29-3G 125G131</t>
  </si>
  <si>
    <t>p38-1G 141G78</t>
  </si>
  <si>
    <t>MINIF PRO24-2G</t>
  </si>
  <si>
    <t>p24-2G 50E51</t>
  </si>
  <si>
    <t>p24-1G 53E70</t>
  </si>
  <si>
    <t>p29-3G 159G125</t>
  </si>
  <si>
    <t>Dépotage</t>
  </si>
  <si>
    <t>Combustion</t>
  </si>
  <si>
    <t>Sylvain Besson</t>
  </si>
  <si>
    <t>Minif Test</t>
  </si>
  <si>
    <t>Rocketry Challenge</t>
  </si>
  <si>
    <t>,Minif Tests</t>
  </si>
  <si>
    <t>MiniR</t>
  </si>
  <si>
    <t>MiniRN</t>
  </si>
  <si>
    <t>MiniN</t>
  </si>
  <si>
    <t>H20</t>
  </si>
  <si>
    <t>micro</t>
  </si>
  <si>
    <t>minif N</t>
  </si>
  <si>
    <t>Verification moteur</t>
  </si>
  <si>
    <t>Minif RC</t>
  </si>
  <si>
    <t>N/A</t>
  </si>
  <si>
    <t>T_para =</t>
  </si>
  <si>
    <t>-9</t>
  </si>
  <si>
    <t>-7</t>
  </si>
  <si>
    <t>-5</t>
  </si>
  <si>
    <t>-3</t>
  </si>
  <si>
    <t>-0</t>
  </si>
  <si>
    <t>Délais dépotage</t>
  </si>
  <si>
    <t>Propu : +ProX, Stabilito : séparation minif/RC, Trajecto : dépotage +rampe RC 3m</t>
  </si>
  <si>
    <t>StabTraj V3.3a</t>
  </si>
  <si>
    <t>p24-1G 25E75 (Rufina)</t>
  </si>
  <si>
    <t>Modification des alertes, +Effort subit par les parachutes</t>
  </si>
  <si>
    <t>Pour prendre en compte plsu de moteurs, il faut changer les variables "menu_type" et "liste"propu" dans le gestionnaire de noms.</t>
  </si>
  <si>
    <t>StabTraj V3.3e</t>
  </si>
  <si>
    <t>Efforts</t>
  </si>
  <si>
    <t>Xcp0</t>
  </si>
  <si>
    <t>sans propu</t>
  </si>
  <si>
    <t>Mono-empennage</t>
  </si>
  <si>
    <t>Bi-empennage</t>
  </si>
  <si>
    <t>Portée balistique &lt; 200 m</t>
  </si>
  <si>
    <t>Indication dépotage lanceur</t>
  </si>
  <si>
    <t>~0 m</t>
  </si>
  <si>
    <t>Données au format des fiches de contrôles minif :</t>
  </si>
  <si>
    <t xml:space="preserve">n = </t>
  </si>
  <si>
    <t xml:space="preserve">E = </t>
  </si>
  <si>
    <t xml:space="preserve">p = </t>
  </si>
  <si>
    <t>1,5.D &lt; Ms &lt; 6.D</t>
  </si>
  <si>
    <t xml:space="preserve">ailrons haut </t>
  </si>
  <si>
    <t>nombre</t>
  </si>
  <si>
    <t xml:space="preserve">ep = </t>
  </si>
  <si>
    <t>Fusée</t>
  </si>
  <si>
    <t>D</t>
  </si>
  <si>
    <t>L ogive</t>
  </si>
  <si>
    <t>L tot</t>
  </si>
  <si>
    <t>X prop</t>
  </si>
  <si>
    <t>Ailerons</t>
  </si>
  <si>
    <t>n</t>
  </si>
  <si>
    <t>p</t>
  </si>
  <si>
    <t>E</t>
  </si>
  <si>
    <t>X ail</t>
  </si>
  <si>
    <t>Bi empennage</t>
  </si>
  <si>
    <t>L</t>
  </si>
  <si>
    <t>D 1</t>
  </si>
  <si>
    <t>D 2</t>
  </si>
  <si>
    <t>X</t>
  </si>
  <si>
    <t>X cg (sans)</t>
  </si>
  <si>
    <t>(mm)</t>
  </si>
  <si>
    <t>Masse sans propu (kg)</t>
  </si>
  <si>
    <t>Couleur de la fusée</t>
  </si>
  <si>
    <t>Type d'éjection du para.</t>
  </si>
  <si>
    <t>Couleur du ralentisseur</t>
  </si>
  <si>
    <t>Surface ralentisseur (m²)</t>
  </si>
  <si>
    <t>Masse sans prop. (kg)</t>
  </si>
  <si>
    <t>Diamètre max (mm)</t>
  </si>
  <si>
    <t>Longeur de la rampe (m)</t>
  </si>
  <si>
    <t>Propulseur</t>
  </si>
  <si>
    <t>module rocket(){</t>
  </si>
  <si>
    <t>}</t>
  </si>
  <si>
    <t>//--------------------------------coiffe</t>
  </si>
  <si>
    <t>if (coiffe_type   == "conique"){</t>
  </si>
  <si>
    <t>//--------------------------------corps</t>
  </si>
  <si>
    <t>if (plusieur_diametres == false){</t>
  </si>
  <si>
    <t>} else {</t>
  </si>
  <si>
    <t>//--------------------------------ailerons</t>
  </si>
  <si>
    <t>aileron(coiffe_diametre, aileron_m_emplature,</t>
  </si>
  <si>
    <t xml:space="preserve"> aileron_position_bas);</t>
  </si>
  <si>
    <t>if (bi_empennage == true){</t>
  </si>
  <si>
    <t xml:space="preserve"> aileron_sup_nombre,</t>
  </si>
  <si>
    <t>rocket();</t>
  </si>
  <si>
    <t xml:space="preserve">	module aileron(diam, m, n, p, e, ep, nb, pos, masque = true){</t>
  </si>
  <si>
    <t xml:space="preserve"> 		depha =   masque ? 0 : 45 ;</t>
  </si>
  <si>
    <t xml:space="preserve">		for (angle = [0 : 360/nb : 360] ){</t>
  </si>
  <si>
    <t xml:space="preserve">			translate ([-diam*sin(angle+depha), diam*cos(angle+depha), pos-m]) {</t>
  </si>
  <si>
    <t xml:space="preserve">				rotate( [0, 0, angle+depha] ){</t>
  </si>
  <si>
    <t xml:space="preserve">	</t>
  </si>
  <si>
    <t xml:space="preserve">					polyhedron</t>
  </si>
  <si>
    <t xml:space="preserve">						(points = [</t>
  </si>
  <si>
    <t xml:space="preserve">							[+ep, 0, 0], [+ep, 0, m], [+ep, e, p+n],  [+ep, e, p],</t>
  </si>
  <si>
    <t xml:space="preserve">							[-ep, 0, 0], [-ep, 0, m], [-ep, e, p+n],  [-ep, e, p]</t>
  </si>
  <si>
    <t xml:space="preserve">							],</t>
  </si>
  <si>
    <t xml:space="preserve">						triangles = [</t>
  </si>
  <si>
    <t xml:space="preserve">							[0, 2, 1], [0, 2, 3], //carre +</t>
  </si>
  <si>
    <t xml:space="preserve">							[4, 6, 5], [4, 6, 7], //carre -</t>
  </si>
  <si>
    <t xml:space="preserve">							[0, 5, 1], [0, 5, 4],</t>
  </si>
  <si>
    <t xml:space="preserve">							[1, 6, 2], [1, 6, 5],</t>
  </si>
  <si>
    <t xml:space="preserve">							[2, 7, 3], [2, 7, 6],</t>
  </si>
  <si>
    <t xml:space="preserve">							[0, 7, 3], [0, 7, 4]</t>
  </si>
  <si>
    <t xml:space="preserve">							]</t>
  </si>
  <si>
    <t xml:space="preserve">						);</t>
  </si>
  <si>
    <t xml:space="preserve">				}</t>
  </si>
  <si>
    <t xml:space="preserve">			}</t>
  </si>
  <si>
    <t xml:space="preserve">		}</t>
  </si>
  <si>
    <t xml:space="preserve">	}	</t>
  </si>
  <si>
    <t xml:space="preserve">	module coiffe(diam, hauteur, resolution = 20.0){</t>
  </si>
  <si>
    <t xml:space="preserve">		pas = hauteur/resolution;</t>
  </si>
  <si>
    <t xml:space="preserve">		for (x = [0: pas : hauteur] ){</t>
  </si>
  <si>
    <t xml:space="preserve">			translate( [0, 0, x+pas] ){</t>
  </si>
  <si>
    <t xml:space="preserve">				cylinder(pas, pow(x, 1.0/2.0), pow(x+pas, 1.0/2.0), false);</t>
  </si>
  <si>
    <t xml:space="preserve">	}</t>
  </si>
  <si>
    <t xml:space="preserve">	cylinder(coiffe_hauteur, 0, coiffe_diametre, false);</t>
  </si>
  <si>
    <t xml:space="preserve">	translate ([0, 0, coiffe_hauteur]) {</t>
  </si>
  <si>
    <t xml:space="preserve">		cylinder(longeur_total-coiffe_hauteur, coiffe_diametre, coiffe_diametre, false);</t>
  </si>
  <si>
    <t xml:space="preserve">	//Premier cylindre</t>
  </si>
  <si>
    <t xml:space="preserve">		cylinder(diam_A_X_implantation-coiffe_hauteur, coiffe_diametre, coiffe_diametre, false);</t>
  </si>
  <si>
    <t xml:space="preserve">	//Premier chanvrin</t>
  </si>
  <si>
    <t xml:space="preserve">	translate ([0, 0, diam_A_X_implantation]) {</t>
  </si>
  <si>
    <t xml:space="preserve">		cylinder(diam_A_L_longeur, diam_A_D1_diametre, diam_A_D2_diametre, false);</t>
  </si>
  <si>
    <t xml:space="preserve">		</t>
  </si>
  <si>
    <t xml:space="preserve">	//Second cylindre</t>
  </si>
  <si>
    <t xml:space="preserve">	translate ([0, 0, diam_A_X_implantation+diam_A_L_longeur]) {</t>
  </si>
  <si>
    <t xml:space="preserve">		cylinder(diam_B_X_implantation-(diam_A_X_implantation+diam_A_L_longeur), diam_A_D2_diametre, diam_B_D1_diametre, false);</t>
  </si>
  <si>
    <t xml:space="preserve">	//Second chanvrin</t>
  </si>
  <si>
    <t xml:space="preserve">	translate ([0, 0, diam_B_X_implantation]) {</t>
  </si>
  <si>
    <t xml:space="preserve">		cylinder(diam_B_L_longeur, diam_B_D1_diametre, diam_B_D2_diametre, false);</t>
  </si>
  <si>
    <t xml:space="preserve">	//Troisieme cylindre</t>
  </si>
  <si>
    <t xml:space="preserve">	translate ([0, 0, diam_B_X_implantation + diam_B_L_longeur]) {</t>
  </si>
  <si>
    <t xml:space="preserve">		cylinder(longeur_total-(diam_B_X_implantation + diam_B_L_longeur), diam_B_D2_diametre, diam_B_D2_diametre, false);</t>
  </si>
  <si>
    <t xml:space="preserve">	 aileron_n_saumon, </t>
  </si>
  <si>
    <t xml:space="preserve">	 aileron_p_fleche,</t>
  </si>
  <si>
    <t xml:space="preserve">	 aileron_e_envergure,</t>
  </si>
  <si>
    <t xml:space="preserve">	 aileron_epaisseur,</t>
  </si>
  <si>
    <t xml:space="preserve">	 aileron_nombre,</t>
  </si>
  <si>
    <t xml:space="preserve">	aileron(coiffe_diametre, aileron_sup_m_emplature,</t>
  </si>
  <si>
    <t xml:space="preserve">	 aileron_sup_n_saumon,</t>
  </si>
  <si>
    <t xml:space="preserve">	 aileron_sup_p_fleche,</t>
  </si>
  <si>
    <t xml:space="preserve">	 aileron_sup_e_envergure,</t>
  </si>
  <si>
    <t xml:space="preserve">	 aileron_sup_epaisseur,</t>
  </si>
  <si>
    <t xml:space="preserve">	 aileron_sup_position_bas,</t>
  </si>
  <si>
    <t xml:space="preserve">	 aileron_sup_masque);</t>
  </si>
  <si>
    <t>p24-6G 140G145 PK</t>
  </si>
  <si>
    <t>p24-6G 139G107 DT</t>
  </si>
  <si>
    <t>p24-6G 142G117 WT</t>
  </si>
  <si>
    <t>Klima D9-7 x2</t>
  </si>
  <si>
    <t>Klima D9-7 x3</t>
  </si>
  <si>
    <t>Klima D9-7</t>
  </si>
  <si>
    <t>autre</t>
  </si>
  <si>
    <t>Pandora</t>
  </si>
  <si>
    <t>StabTraj V3.4</t>
  </si>
  <si>
    <t>Propu : +Pandora</t>
  </si>
  <si>
    <t>v3.4</t>
  </si>
  <si>
    <t>Conique (droite)</t>
  </si>
  <si>
    <t>Plusieurs diamètres.</t>
  </si>
  <si>
    <t>l'AéroIPSA</t>
  </si>
  <si>
    <t>Minifusée</t>
  </si>
  <si>
    <t>SP-02-beta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</si>
</sst>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164" formatCode="General&quot; kg&quot;"/>
    <numFmt numFmtId="165" formatCode="0.0"/>
    <numFmt numFmtId="166" formatCode="0.000000&quot; m²&quot;"/>
    <numFmt numFmtId="167" formatCode="General&quot; m&quot;"/>
    <numFmt numFmtId="168" formatCode="General&quot; °&quot;"/>
    <numFmt numFmtId="169" formatCode="0.000"/>
    <numFmt numFmtId="170" formatCode="General&quot; s&quot;"/>
    <numFmt numFmtId="171" formatCode="General&quot; m²&quot;"/>
    <numFmt numFmtId="172" formatCode="0&quot; m/s&quot;"/>
    <numFmt numFmtId="173" formatCode="0&quot; s&quot;"/>
    <numFmt numFmtId="174" formatCode="General&quot; m/s&quot;"/>
    <numFmt numFmtId="175" formatCode="0&quot; m&quot;"/>
    <numFmt numFmtId="176" formatCode="General\ &quot;kg&quot;"/>
    <numFmt numFmtId="177" formatCode="General\ &quot;mm&quot;"/>
    <numFmt numFmtId="178" formatCode="0&quot; mm&quot;"/>
    <numFmt numFmtId="179" formatCode="General\ &quot;D&quot;"/>
    <numFmt numFmtId="180" formatCode="0.00&quot; D&quot;"/>
    <numFmt numFmtId="181" formatCode="0&quot;% L&quot;"/>
    <numFmt numFmtId="182" formatCode="General\°"/>
    <numFmt numFmtId="183" formatCode="0.#"/>
    <numFmt numFmtId="184" formatCode="0.0&quot; N.s&quot;"/>
    <numFmt numFmtId="185" formatCode="\±\ 0&quot; m&quot;"/>
    <numFmt numFmtId="186" formatCode="0.0&quot; s&quot;"/>
    <numFmt numFmtId="187" formatCode="0.0&quot; m/s&quot;"/>
    <numFmt numFmtId="188" formatCode="0&quot; m/s²&quot;"/>
    <numFmt numFmtId="189" formatCode="0.00&quot; m²&quot;"/>
    <numFmt numFmtId="190" formatCode="General\ &quot;g&quot;"/>
    <numFmt numFmtId="191" formatCode="#,##0.0\ [$ N]"/>
    <numFmt numFmtId="192" formatCode="#,##0.000\ [$KG]"/>
    <numFmt numFmtId="193" formatCode="0.0&quot; mm&quot;"/>
    <numFmt numFmtId="194" formatCode="General&quot; kg ±100%&quot;"/>
    <numFmt numFmtId="195" formatCode="0&quot; mm ±50%&quot;"/>
    <numFmt numFmtId="196" formatCode="General\ &quot;m/s²&quot;"/>
    <numFmt numFmtId="197" formatCode="&quot;Ø = &quot;0&quot; mm&quot;"/>
    <numFmt numFmtId="198" formatCode="#,##0\ [$ mm²]"/>
    <numFmt numFmtId="199" formatCode="#,#00\ [$ mm]"/>
    <numFmt numFmtId="200" formatCode="#,##0\ [$mm]"/>
    <numFmt numFmtId="201" formatCode="#,##0.00000\ [$ m²]"/>
    <numFmt numFmtId="202" formatCode="#,##0.0\ [$ kg]"/>
    <numFmt numFmtId="203" formatCode="0.00&quot; s&quot;"/>
    <numFmt numFmtId="204" formatCode="0.0&quot; N&quot;"/>
    <numFmt numFmtId="205" formatCode="0&quot; J&quot;"/>
    <numFmt numFmtId="206" formatCode="0&quot; G&quot;"/>
  </numFmts>
  <fonts count="5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b/>
      <sz val="12"/>
      <name val="Times New Roman"/>
      <family val="1"/>
    </font>
    <font>
      <b/>
      <sz val="9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8"/>
      <name val="Arial"/>
      <family val="2"/>
    </font>
    <font>
      <b/>
      <sz val="10"/>
      <color indexed="58"/>
      <name val="Arial"/>
      <family val="2"/>
    </font>
    <font>
      <b/>
      <sz val="10"/>
      <color indexed="17"/>
      <name val="Arial"/>
      <family val="2"/>
    </font>
    <font>
      <b/>
      <sz val="10"/>
      <color indexed="23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sz val="8"/>
      <color indexed="8"/>
      <name val="Tahoma"/>
      <family val="2"/>
    </font>
    <font>
      <i/>
      <sz val="8"/>
      <color indexed="8"/>
      <name val="Tahoma"/>
      <family val="2"/>
    </font>
    <font>
      <b/>
      <sz val="8"/>
      <color indexed="8"/>
      <name val="Tahoma"/>
      <family val="2"/>
    </font>
    <font>
      <b/>
      <u/>
      <sz val="8"/>
      <color indexed="8"/>
      <name val="Tahoma"/>
      <family val="2"/>
    </font>
    <font>
      <b/>
      <sz val="8"/>
      <color indexed="16"/>
      <name val="Tahoma"/>
      <family val="2"/>
    </font>
    <font>
      <strike/>
      <sz val="10"/>
      <name val="Arial"/>
      <family val="2"/>
    </font>
    <font>
      <b/>
      <i/>
      <sz val="8"/>
      <color indexed="8"/>
      <name val="Tahoma"/>
      <family val="2"/>
    </font>
    <font>
      <b/>
      <sz val="10"/>
      <color indexed="23"/>
      <name val="Arial"/>
      <family val="2"/>
    </font>
    <font>
      <b/>
      <sz val="6"/>
      <name val="Arial"/>
      <family val="2"/>
    </font>
    <font>
      <sz val="8"/>
      <color indexed="23"/>
      <name val="Arial"/>
      <family val="2"/>
    </font>
    <font>
      <b/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Tahoma"/>
      <family val="2"/>
    </font>
    <font>
      <i/>
      <sz val="8"/>
      <color indexed="12"/>
      <name val="Tahoma"/>
      <family val="2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10"/>
      <color indexed="53"/>
      <name val="Arial"/>
      <family val="2"/>
    </font>
    <font>
      <b/>
      <u/>
      <sz val="12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rgb="FF808080"/>
      <name val="Arial"/>
      <family val="2"/>
    </font>
    <font>
      <sz val="10"/>
      <color rgb="FF808080"/>
      <name val="Arial"/>
      <family val="2"/>
    </font>
    <font>
      <sz val="8"/>
      <color rgb="FF808080"/>
      <name val="Arial"/>
      <family val="2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i/>
      <sz val="8"/>
      <color rgb="FF000000"/>
      <name val="Tahoma"/>
      <family val="2"/>
    </font>
    <font>
      <sz val="8"/>
      <color rgb="FFFF0000"/>
      <name val="Tahoma"/>
      <family val="2"/>
    </font>
    <font>
      <i/>
      <sz val="8"/>
      <color rgb="FFFF0000"/>
      <name val="Tahoma"/>
      <family val="2"/>
    </font>
    <font>
      <b/>
      <sz val="8"/>
      <color rgb="FF800000"/>
      <name val="Tahoma"/>
      <family val="2"/>
    </font>
    <font>
      <i/>
      <sz val="8"/>
      <color rgb="FF8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3"/>
        <b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27"/>
      </patternFill>
    </fill>
    <fill>
      <patternFill patternType="solid">
        <fgColor indexed="44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27"/>
      </patternFill>
    </fill>
    <fill>
      <patternFill patternType="solid">
        <fgColor indexed="47"/>
        <bgColor indexed="4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44"/>
      </patternFill>
    </fill>
    <fill>
      <patternFill patternType="solid">
        <fgColor indexed="26"/>
        <bgColor indexed="41"/>
      </patternFill>
    </fill>
    <fill>
      <patternFill patternType="solid">
        <fgColor indexed="42"/>
        <bgColor indexed="41"/>
      </patternFill>
    </fill>
    <fill>
      <patternFill patternType="solid">
        <fgColor indexed="43"/>
        <bgColor indexed="41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rgb="FFCCFFFF"/>
        <bgColor indexed="41"/>
      </patternFill>
    </fill>
    <fill>
      <patternFill patternType="solid">
        <fgColor rgb="FF99CCFF"/>
        <bgColor indexed="31"/>
      </patternFill>
    </fill>
    <fill>
      <patternFill patternType="solid">
        <fgColor rgb="FFCCFFFF"/>
        <bgColor indexed="42"/>
      </patternFill>
    </fill>
    <fill>
      <patternFill patternType="solid">
        <fgColor rgb="FFCCFFCC"/>
        <bgColor indexed="42"/>
      </patternFill>
    </fill>
    <fill>
      <patternFill patternType="solid">
        <fgColor rgb="FFCCFFCC"/>
        <bgColor indexed="41"/>
      </patternFill>
    </fill>
    <fill>
      <patternFill patternType="solid">
        <fgColor rgb="FFFFCC99"/>
        <bgColor indexed="31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42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42"/>
      </patternFill>
    </fill>
  </fills>
  <borders count="103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ck">
        <color indexed="11"/>
      </bottom>
      <diagonal/>
    </border>
    <border>
      <left style="thick">
        <color indexed="11"/>
      </left>
      <right style="thick">
        <color indexed="57"/>
      </right>
      <top style="thick">
        <color indexed="57"/>
      </top>
      <bottom style="thick">
        <color indexed="57"/>
      </bottom>
      <diagonal/>
    </border>
    <border>
      <left style="thick">
        <color indexed="57"/>
      </left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20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ck">
        <color indexed="18"/>
      </left>
      <right/>
      <top style="thick">
        <color indexed="18"/>
      </top>
      <bottom style="thick">
        <color indexed="18"/>
      </bottom>
      <diagonal/>
    </border>
    <border>
      <left/>
      <right style="thick">
        <color indexed="18"/>
      </right>
      <top style="thick">
        <color indexed="18"/>
      </top>
      <bottom style="thick">
        <color indexed="18"/>
      </bottom>
      <diagonal/>
    </border>
    <border>
      <left style="thick">
        <color indexed="14"/>
      </left>
      <right style="thin">
        <color indexed="64"/>
      </right>
      <top style="thick">
        <color indexed="14"/>
      </top>
      <bottom style="thick">
        <color indexed="14"/>
      </bottom>
      <diagonal/>
    </border>
    <border>
      <left style="thin">
        <color indexed="64"/>
      </left>
      <right style="thick">
        <color indexed="14"/>
      </right>
      <top style="thick">
        <color indexed="14"/>
      </top>
      <bottom style="thick">
        <color indexed="1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23"/>
      </top>
      <bottom style="thin">
        <color indexed="8"/>
      </bottom>
      <diagonal/>
    </border>
    <border>
      <left/>
      <right style="thin">
        <color indexed="8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23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" fillId="0" borderId="0"/>
  </cellStyleXfs>
  <cellXfs count="67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9" fillId="0" borderId="0" xfId="0" applyFont="1"/>
    <xf numFmtId="0" fontId="10" fillId="0" borderId="0" xfId="1" applyNumberFormat="1" applyFill="1" applyBorder="1" applyAlignment="1" applyProtection="1"/>
    <xf numFmtId="14" fontId="0" fillId="0" borderId="0" xfId="0" applyNumberFormat="1" applyAlignment="1">
      <alignment horizontal="left"/>
    </xf>
    <xf numFmtId="171" fontId="2" fillId="3" borderId="2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>
      <alignment vertical="center"/>
    </xf>
    <xf numFmtId="0" fontId="2" fillId="0" borderId="3" xfId="2" applyFont="1" applyBorder="1"/>
    <xf numFmtId="0" fontId="2" fillId="0" borderId="4" xfId="2" applyFont="1" applyBorder="1"/>
    <xf numFmtId="0" fontId="2" fillId="0" borderId="4" xfId="2" applyFont="1" applyBorder="1" applyAlignment="1">
      <alignment horizontal="center"/>
    </xf>
    <xf numFmtId="0" fontId="15" fillId="0" borderId="4" xfId="2" applyFont="1" applyBorder="1" applyProtection="1">
      <protection hidden="1"/>
    </xf>
    <xf numFmtId="0" fontId="1" fillId="0" borderId="5" xfId="2" applyBorder="1"/>
    <xf numFmtId="0" fontId="2" fillId="0" borderId="0" xfId="2" applyFont="1"/>
    <xf numFmtId="0" fontId="2" fillId="0" borderId="6" xfId="2" applyFont="1" applyBorder="1"/>
    <xf numFmtId="0" fontId="15" fillId="0" borderId="0" xfId="2" applyFont="1" applyProtection="1">
      <protection hidden="1"/>
    </xf>
    <xf numFmtId="0" fontId="1" fillId="0" borderId="7" xfId="2" applyBorder="1"/>
    <xf numFmtId="0" fontId="4" fillId="0" borderId="0" xfId="2" applyFont="1"/>
    <xf numFmtId="0" fontId="2" fillId="0" borderId="7" xfId="2" applyFont="1" applyBorder="1"/>
    <xf numFmtId="0" fontId="2" fillId="0" borderId="0" xfId="2" applyFont="1" applyAlignment="1" applyProtection="1">
      <alignment horizontal="center"/>
      <protection hidden="1"/>
    </xf>
    <xf numFmtId="0" fontId="2" fillId="0" borderId="0" xfId="2" applyFont="1" applyAlignment="1">
      <alignment horizontal="center"/>
    </xf>
    <xf numFmtId="0" fontId="16" fillId="0" borderId="0" xfId="2" applyFont="1"/>
    <xf numFmtId="0" fontId="2" fillId="0" borderId="0" xfId="2" applyFont="1" applyProtection="1">
      <protection hidden="1"/>
    </xf>
    <xf numFmtId="0" fontId="15" fillId="4" borderId="8" xfId="2" applyFont="1" applyFill="1" applyBorder="1" applyAlignment="1" applyProtection="1">
      <alignment horizontal="center"/>
      <protection locked="0"/>
    </xf>
    <xf numFmtId="177" fontId="2" fillId="4" borderId="2" xfId="2" applyNumberFormat="1" applyFont="1" applyFill="1" applyBorder="1" applyAlignment="1" applyProtection="1">
      <alignment horizontal="center"/>
      <protection locked="0"/>
    </xf>
    <xf numFmtId="0" fontId="2" fillId="4" borderId="2" xfId="2" applyFont="1" applyFill="1" applyBorder="1" applyAlignment="1" applyProtection="1">
      <alignment horizontal="center"/>
      <protection locked="0"/>
    </xf>
    <xf numFmtId="0" fontId="16" fillId="0" borderId="0" xfId="2" applyFont="1" applyProtection="1">
      <protection hidden="1"/>
    </xf>
    <xf numFmtId="0" fontId="15" fillId="0" borderId="0" xfId="2" applyFont="1"/>
    <xf numFmtId="14" fontId="15" fillId="0" borderId="0" xfId="2" applyNumberFormat="1" applyFont="1" applyAlignment="1" applyProtection="1">
      <alignment horizontal="center"/>
      <protection hidden="1"/>
    </xf>
    <xf numFmtId="0" fontId="2" fillId="0" borderId="9" xfId="2" applyFont="1" applyBorder="1"/>
    <xf numFmtId="0" fontId="2" fillId="0" borderId="10" xfId="2" applyFont="1" applyBorder="1" applyAlignment="1" applyProtection="1">
      <alignment horizontal="center"/>
      <protection locked="0"/>
    </xf>
    <xf numFmtId="0" fontId="2" fillId="0" borderId="10" xfId="2" applyFont="1" applyBorder="1" applyProtection="1">
      <protection locked="0"/>
    </xf>
    <xf numFmtId="0" fontId="2" fillId="0" borderId="0" xfId="2" applyFont="1" applyProtection="1">
      <protection locked="0"/>
    </xf>
    <xf numFmtId="0" fontId="2" fillId="0" borderId="0" xfId="2" applyFont="1" applyAlignment="1" applyProtection="1">
      <alignment horizontal="center"/>
      <protection locked="0"/>
    </xf>
    <xf numFmtId="0" fontId="15" fillId="0" borderId="0" xfId="2" applyFont="1" applyAlignment="1" applyProtection="1">
      <alignment horizontal="center"/>
      <protection hidden="1"/>
    </xf>
    <xf numFmtId="1" fontId="15" fillId="0" borderId="0" xfId="2" applyNumberFormat="1" applyFont="1" applyAlignment="1" applyProtection="1">
      <alignment horizontal="center"/>
      <protection hidden="1"/>
    </xf>
    <xf numFmtId="0" fontId="0" fillId="0" borderId="0" xfId="0" applyAlignment="1">
      <alignment horizontal="left"/>
    </xf>
    <xf numFmtId="0" fontId="15" fillId="0" borderId="0" xfId="0" applyFont="1"/>
    <xf numFmtId="0" fontId="23" fillId="0" borderId="0" xfId="0" applyFont="1"/>
    <xf numFmtId="14" fontId="0" fillId="0" borderId="0" xfId="0" applyNumberFormat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6" xfId="0" applyFont="1" applyBorder="1"/>
    <xf numFmtId="0" fontId="2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hidden="1"/>
    </xf>
    <xf numFmtId="169" fontId="0" fillId="0" borderId="0" xfId="0" applyNumberFormat="1" applyAlignment="1" applyProtection="1">
      <alignment vertical="center"/>
      <protection hidden="1"/>
    </xf>
    <xf numFmtId="164" fontId="0" fillId="3" borderId="11" xfId="0" applyNumberFormat="1" applyFill="1" applyBorder="1" applyAlignment="1">
      <alignment horizontal="center"/>
    </xf>
    <xf numFmtId="178" fontId="0" fillId="3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5" fillId="0" borderId="10" xfId="2" applyFont="1" applyBorder="1" applyProtection="1">
      <protection locked="0"/>
    </xf>
    <xf numFmtId="0" fontId="10" fillId="0" borderId="0" xfId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3" xfId="0" applyBorder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82" fontId="2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/>
    </xf>
    <xf numFmtId="0" fontId="0" fillId="0" borderId="0" xfId="2" applyFont="1" applyAlignment="1" applyProtection="1">
      <alignment horizontal="center"/>
      <protection hidden="1"/>
    </xf>
    <xf numFmtId="0" fontId="8" fillId="0" borderId="4" xfId="2" applyFont="1" applyBorder="1"/>
    <xf numFmtId="0" fontId="8" fillId="0" borderId="0" xfId="2" applyFont="1"/>
    <xf numFmtId="0" fontId="8" fillId="0" borderId="0" xfId="2" applyFont="1" applyProtection="1">
      <protection hidden="1"/>
    </xf>
    <xf numFmtId="0" fontId="8" fillId="0" borderId="10" xfId="2" applyFont="1" applyBorder="1" applyProtection="1">
      <protection locked="0"/>
    </xf>
    <xf numFmtId="0" fontId="8" fillId="0" borderId="0" xfId="2" applyFont="1" applyAlignment="1" applyProtection="1">
      <alignment horizontal="center"/>
      <protection hidden="1"/>
    </xf>
    <xf numFmtId="1" fontId="8" fillId="0" borderId="0" xfId="2" applyNumberFormat="1" applyFont="1" applyAlignment="1" applyProtection="1">
      <alignment horizontal="center"/>
      <protection hidden="1"/>
    </xf>
    <xf numFmtId="0" fontId="28" fillId="0" borderId="0" xfId="2" applyFont="1"/>
    <xf numFmtId="0" fontId="0" fillId="0" borderId="0" xfId="0" applyProtection="1">
      <protection locked="0"/>
    </xf>
    <xf numFmtId="165" fontId="2" fillId="5" borderId="14" xfId="2" applyNumberFormat="1" applyFont="1" applyFill="1" applyBorder="1" applyAlignment="1">
      <alignment horizontal="center"/>
    </xf>
    <xf numFmtId="180" fontId="2" fillId="5" borderId="2" xfId="2" applyNumberFormat="1" applyFont="1" applyFill="1" applyBorder="1" applyAlignment="1">
      <alignment horizontal="center"/>
    </xf>
    <xf numFmtId="180" fontId="2" fillId="5" borderId="14" xfId="2" applyNumberFormat="1" applyFont="1" applyFill="1" applyBorder="1" applyAlignment="1">
      <alignment horizontal="center"/>
    </xf>
    <xf numFmtId="165" fontId="2" fillId="5" borderId="2" xfId="2" applyNumberFormat="1" applyFont="1" applyFill="1" applyBorder="1" applyAlignment="1">
      <alignment horizontal="center"/>
    </xf>
    <xf numFmtId="181" fontId="25" fillId="5" borderId="2" xfId="2" applyNumberFormat="1" applyFont="1" applyFill="1" applyBorder="1" applyAlignment="1">
      <alignment horizontal="center"/>
    </xf>
    <xf numFmtId="181" fontId="25" fillId="5" borderId="14" xfId="2" applyNumberFormat="1" applyFont="1" applyFill="1" applyBorder="1" applyAlignment="1">
      <alignment horizontal="center"/>
    </xf>
    <xf numFmtId="0" fontId="2" fillId="5" borderId="2" xfId="2" applyFont="1" applyFill="1" applyBorder="1" applyAlignment="1" applyProtection="1">
      <alignment horizontal="center"/>
      <protection hidden="1"/>
    </xf>
    <xf numFmtId="0" fontId="25" fillId="5" borderId="2" xfId="2" applyFont="1" applyFill="1" applyBorder="1" applyAlignment="1" applyProtection="1">
      <alignment horizontal="center"/>
      <protection hidden="1"/>
    </xf>
    <xf numFmtId="0" fontId="29" fillId="5" borderId="2" xfId="2" applyFont="1" applyFill="1" applyBorder="1" applyAlignment="1" applyProtection="1">
      <alignment horizontal="center"/>
      <protection hidden="1"/>
    </xf>
    <xf numFmtId="0" fontId="2" fillId="6" borderId="2" xfId="2" applyFont="1" applyFill="1" applyBorder="1" applyAlignment="1">
      <alignment horizontal="center"/>
    </xf>
    <xf numFmtId="0" fontId="25" fillId="6" borderId="2" xfId="2" applyFont="1" applyFill="1" applyBorder="1" applyAlignment="1">
      <alignment horizontal="center"/>
    </xf>
    <xf numFmtId="0" fontId="30" fillId="0" borderId="0" xfId="2" applyFont="1"/>
    <xf numFmtId="0" fontId="30" fillId="6" borderId="2" xfId="2" applyFont="1" applyFill="1" applyBorder="1" applyAlignment="1" applyProtection="1">
      <alignment horizontal="center"/>
      <protection hidden="1"/>
    </xf>
    <xf numFmtId="176" fontId="30" fillId="5" borderId="2" xfId="2" applyNumberFormat="1" applyFont="1" applyFill="1" applyBorder="1" applyAlignment="1" applyProtection="1">
      <alignment horizontal="center"/>
      <protection hidden="1"/>
    </xf>
    <xf numFmtId="0" fontId="30" fillId="5" borderId="2" xfId="2" applyFont="1" applyFill="1" applyBorder="1" applyAlignment="1">
      <alignment horizontal="center"/>
    </xf>
    <xf numFmtId="177" fontId="30" fillId="5" borderId="2" xfId="2" applyNumberFormat="1" applyFont="1" applyFill="1" applyBorder="1" applyAlignment="1" applyProtection="1">
      <alignment horizontal="center"/>
      <protection hidden="1"/>
    </xf>
    <xf numFmtId="176" fontId="30" fillId="5" borderId="2" xfId="2" applyNumberFormat="1" applyFont="1" applyFill="1" applyBorder="1" applyAlignment="1">
      <alignment horizontal="center"/>
    </xf>
    <xf numFmtId="178" fontId="30" fillId="5" borderId="2" xfId="2" applyNumberFormat="1" applyFont="1" applyFill="1" applyBorder="1" applyAlignment="1" applyProtection="1">
      <alignment horizontal="center"/>
      <protection hidden="1"/>
    </xf>
    <xf numFmtId="0" fontId="30" fillId="0" borderId="0" xfId="2" applyFont="1" applyProtection="1">
      <protection hidden="1"/>
    </xf>
    <xf numFmtId="2" fontId="0" fillId="7" borderId="15" xfId="0" applyNumberFormat="1" applyFill="1" applyBorder="1" applyAlignment="1">
      <alignment horizontal="center" vertical="center"/>
    </xf>
    <xf numFmtId="165" fontId="0" fillId="7" borderId="15" xfId="0" applyNumberFormat="1" applyFill="1" applyBorder="1" applyAlignment="1">
      <alignment horizontal="center" vertical="center"/>
    </xf>
    <xf numFmtId="1" fontId="2" fillId="7" borderId="15" xfId="0" applyNumberFormat="1" applyFont="1" applyFill="1" applyBorder="1" applyAlignment="1">
      <alignment horizontal="center" vertical="center"/>
    </xf>
    <xf numFmtId="165" fontId="2" fillId="7" borderId="15" xfId="0" applyNumberFormat="1" applyFont="1" applyFill="1" applyBorder="1" applyAlignment="1">
      <alignment horizontal="center" vertical="center"/>
    </xf>
    <xf numFmtId="1" fontId="0" fillId="7" borderId="15" xfId="0" applyNumberFormat="1" applyFill="1" applyBorder="1" applyAlignment="1">
      <alignment horizontal="center" vertical="center"/>
    </xf>
    <xf numFmtId="1" fontId="15" fillId="7" borderId="15" xfId="0" applyNumberFormat="1" applyFont="1" applyFill="1" applyBorder="1" applyAlignment="1">
      <alignment horizontal="center" vertical="center"/>
    </xf>
    <xf numFmtId="165" fontId="15" fillId="7" borderId="15" xfId="0" applyNumberFormat="1" applyFont="1" applyFill="1" applyBorder="1" applyAlignment="1">
      <alignment horizontal="center" vertical="center"/>
    </xf>
    <xf numFmtId="165" fontId="0" fillId="7" borderId="16" xfId="0" applyNumberFormat="1" applyFill="1" applyBorder="1" applyAlignment="1">
      <alignment horizontal="center" vertical="center"/>
    </xf>
    <xf numFmtId="1" fontId="2" fillId="7" borderId="16" xfId="0" applyNumberFormat="1" applyFont="1" applyFill="1" applyBorder="1" applyAlignment="1">
      <alignment horizontal="center" vertical="center"/>
    </xf>
    <xf numFmtId="165" fontId="15" fillId="7" borderId="16" xfId="0" applyNumberFormat="1" applyFont="1" applyFill="1" applyBorder="1" applyAlignment="1">
      <alignment horizontal="center" vertical="center"/>
    </xf>
    <xf numFmtId="1" fontId="2" fillId="7" borderId="17" xfId="0" applyNumberFormat="1" applyFont="1" applyFill="1" applyBorder="1" applyAlignment="1">
      <alignment horizontal="center" vertical="center"/>
    </xf>
    <xf numFmtId="1" fontId="0" fillId="7" borderId="17" xfId="0" applyNumberForma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165" fontId="0" fillId="7" borderId="17" xfId="0" applyNumberFormat="1" applyFill="1" applyBorder="1" applyAlignment="1">
      <alignment horizontal="center" vertical="center"/>
    </xf>
    <xf numFmtId="1" fontId="15" fillId="7" borderId="16" xfId="0" applyNumberFormat="1" applyFont="1" applyFill="1" applyBorder="1" applyAlignment="1">
      <alignment horizontal="center" vertical="center"/>
    </xf>
    <xf numFmtId="1" fontId="15" fillId="7" borderId="17" xfId="0" applyNumberFormat="1" applyFont="1" applyFill="1" applyBorder="1" applyAlignment="1">
      <alignment horizontal="center" vertical="center"/>
    </xf>
    <xf numFmtId="165" fontId="2" fillId="7" borderId="17" xfId="0" applyNumberFormat="1" applyFont="1" applyFill="1" applyBorder="1" applyAlignment="1">
      <alignment horizontal="center" vertical="center"/>
    </xf>
    <xf numFmtId="173" fontId="2" fillId="7" borderId="2" xfId="0" applyNumberFormat="1" applyFont="1" applyFill="1" applyBorder="1" applyAlignment="1">
      <alignment horizontal="center" vertical="center"/>
    </xf>
    <xf numFmtId="0" fontId="2" fillId="8" borderId="18" xfId="0" applyFont="1" applyFill="1" applyBorder="1" applyAlignment="1" applyProtection="1">
      <alignment horizontal="center" vertical="center"/>
      <protection hidden="1"/>
    </xf>
    <xf numFmtId="0" fontId="2" fillId="9" borderId="15" xfId="0" applyFont="1" applyFill="1" applyBorder="1" applyAlignment="1" applyProtection="1">
      <alignment horizontal="center" vertical="center"/>
      <protection hidden="1"/>
    </xf>
    <xf numFmtId="0" fontId="5" fillId="9" borderId="15" xfId="0" applyFont="1" applyFill="1" applyBorder="1" applyAlignment="1" applyProtection="1">
      <alignment horizontal="center" vertical="center"/>
      <protection hidden="1"/>
    </xf>
    <xf numFmtId="0" fontId="0" fillId="9" borderId="15" xfId="0" applyFill="1" applyBorder="1" applyAlignment="1" applyProtection="1">
      <alignment horizontal="center" vertical="center"/>
      <protection hidden="1"/>
    </xf>
    <xf numFmtId="0" fontId="2" fillId="6" borderId="2" xfId="2" applyFont="1" applyFill="1" applyBorder="1" applyAlignment="1" applyProtection="1">
      <alignment horizontal="center"/>
      <protection hidden="1"/>
    </xf>
    <xf numFmtId="0" fontId="2" fillId="10" borderId="2" xfId="2" applyFont="1" applyFill="1" applyBorder="1" applyAlignment="1" applyProtection="1">
      <alignment horizontal="center" vertical="center"/>
      <protection hidden="1"/>
    </xf>
    <xf numFmtId="0" fontId="2" fillId="10" borderId="2" xfId="2" applyFont="1" applyFill="1" applyBorder="1" applyAlignment="1" applyProtection="1">
      <alignment horizontal="center"/>
      <protection hidden="1"/>
    </xf>
    <xf numFmtId="0" fontId="2" fillId="11" borderId="15" xfId="0" applyFont="1" applyFill="1" applyBorder="1" applyAlignment="1" applyProtection="1">
      <alignment horizontal="center" vertical="center"/>
      <protection hidden="1"/>
    </xf>
    <xf numFmtId="0" fontId="2" fillId="11" borderId="18" xfId="0" applyFont="1" applyFill="1" applyBorder="1" applyAlignment="1" applyProtection="1">
      <alignment horizontal="center" vertical="center"/>
      <protection hidden="1"/>
    </xf>
    <xf numFmtId="0" fontId="13" fillId="12" borderId="2" xfId="0" applyFont="1" applyFill="1" applyBorder="1" applyAlignment="1" applyProtection="1">
      <alignment horizontal="center"/>
      <protection hidden="1"/>
    </xf>
    <xf numFmtId="0" fontId="2" fillId="13" borderId="2" xfId="0" applyFont="1" applyFill="1" applyBorder="1" applyAlignment="1" applyProtection="1">
      <alignment horizontal="center" vertical="center"/>
      <protection locked="0"/>
    </xf>
    <xf numFmtId="174" fontId="2" fillId="13" borderId="2" xfId="0" applyNumberFormat="1" applyFont="1" applyFill="1" applyBorder="1" applyAlignment="1" applyProtection="1">
      <alignment horizontal="center" vertical="center"/>
      <protection locked="0"/>
    </xf>
    <xf numFmtId="178" fontId="14" fillId="14" borderId="2" xfId="2" applyNumberFormat="1" applyFont="1" applyFill="1" applyBorder="1" applyAlignment="1">
      <alignment horizontal="center"/>
    </xf>
    <xf numFmtId="1" fontId="27" fillId="14" borderId="2" xfId="2" applyNumberFormat="1" applyFont="1" applyFill="1" applyBorder="1" applyAlignment="1">
      <alignment horizontal="center"/>
    </xf>
    <xf numFmtId="0" fontId="2" fillId="10" borderId="2" xfId="2" applyFont="1" applyFill="1" applyBorder="1" applyAlignment="1">
      <alignment horizontal="center"/>
    </xf>
    <xf numFmtId="0" fontId="0" fillId="7" borderId="15" xfId="0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0" fillId="13" borderId="15" xfId="0" applyFill="1" applyBorder="1" applyAlignment="1" applyProtection="1">
      <alignment horizontal="center" vertical="center"/>
      <protection locked="0"/>
    </xf>
    <xf numFmtId="185" fontId="2" fillId="7" borderId="2" xfId="0" applyNumberFormat="1" applyFont="1" applyFill="1" applyBorder="1" applyAlignment="1">
      <alignment horizontal="center" vertical="center"/>
    </xf>
    <xf numFmtId="186" fontId="0" fillId="7" borderId="16" xfId="0" applyNumberFormat="1" applyFill="1" applyBorder="1" applyAlignment="1">
      <alignment horizontal="center" vertical="center"/>
    </xf>
    <xf numFmtId="186" fontId="2" fillId="7" borderId="15" xfId="0" applyNumberFormat="1" applyFont="1" applyFill="1" applyBorder="1" applyAlignment="1">
      <alignment horizontal="center" vertical="center"/>
    </xf>
    <xf numFmtId="175" fontId="15" fillId="7" borderId="16" xfId="0" applyNumberFormat="1" applyFont="1" applyFill="1" applyBorder="1" applyAlignment="1">
      <alignment horizontal="center" vertical="center"/>
    </xf>
    <xf numFmtId="175" fontId="15" fillId="7" borderId="15" xfId="0" applyNumberFormat="1" applyFont="1" applyFill="1" applyBorder="1" applyAlignment="1">
      <alignment horizontal="center" vertical="center"/>
    </xf>
    <xf numFmtId="175" fontId="2" fillId="7" borderId="16" xfId="0" applyNumberFormat="1" applyFont="1" applyFill="1" applyBorder="1" applyAlignment="1">
      <alignment horizontal="center" vertical="center"/>
    </xf>
    <xf numFmtId="175" fontId="2" fillId="7" borderId="15" xfId="0" applyNumberFormat="1" applyFont="1" applyFill="1" applyBorder="1" applyAlignment="1">
      <alignment horizontal="center" vertical="center"/>
    </xf>
    <xf numFmtId="172" fontId="2" fillId="7" borderId="15" xfId="0" applyNumberFormat="1" applyFont="1" applyFill="1" applyBorder="1" applyAlignment="1">
      <alignment horizontal="center" vertical="center"/>
    </xf>
    <xf numFmtId="172" fontId="2" fillId="7" borderId="16" xfId="0" applyNumberFormat="1" applyFont="1" applyFill="1" applyBorder="1" applyAlignment="1">
      <alignment horizontal="center" vertical="center"/>
    </xf>
    <xf numFmtId="172" fontId="15" fillId="7" borderId="15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2" fillId="11" borderId="24" xfId="0" applyFont="1" applyFill="1" applyBorder="1" applyAlignment="1" applyProtection="1">
      <alignment horizontal="center" vertical="center"/>
      <protection hidden="1"/>
    </xf>
    <xf numFmtId="178" fontId="2" fillId="3" borderId="25" xfId="0" applyNumberFormat="1" applyFont="1" applyFill="1" applyBorder="1" applyAlignment="1" applyProtection="1">
      <alignment horizontal="center" vertical="center"/>
      <protection locked="0"/>
    </xf>
    <xf numFmtId="178" fontId="2" fillId="3" borderId="26" xfId="0" applyNumberFormat="1" applyFont="1" applyFill="1" applyBorder="1" applyAlignment="1" applyProtection="1">
      <alignment horizontal="center" vertical="center"/>
      <protection locked="0"/>
    </xf>
    <xf numFmtId="0" fontId="2" fillId="8" borderId="24" xfId="0" applyFont="1" applyFill="1" applyBorder="1" applyAlignment="1" applyProtection="1">
      <alignment horizontal="center" vertical="center"/>
      <protection hidden="1"/>
    </xf>
    <xf numFmtId="0" fontId="2" fillId="9" borderId="27" xfId="0" applyFont="1" applyFill="1" applyBorder="1" applyAlignment="1" applyProtection="1">
      <alignment horizontal="center" vertical="center"/>
      <protection hidden="1"/>
    </xf>
    <xf numFmtId="0" fontId="0" fillId="9" borderId="27" xfId="0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>
      <alignment vertical="center"/>
    </xf>
    <xf numFmtId="14" fontId="0" fillId="0" borderId="23" xfId="0" applyNumberFormat="1" applyBorder="1" applyAlignment="1">
      <alignment horizontal="center" vertical="center"/>
    </xf>
    <xf numFmtId="189" fontId="2" fillId="7" borderId="25" xfId="0" applyNumberFormat="1" applyFont="1" applyFill="1" applyBorder="1" applyAlignment="1">
      <alignment horizontal="center" vertical="center"/>
    </xf>
    <xf numFmtId="0" fontId="31" fillId="6" borderId="2" xfId="2" applyFont="1" applyFill="1" applyBorder="1" applyAlignment="1" applyProtection="1">
      <alignment horizontal="center"/>
      <protection hidden="1"/>
    </xf>
    <xf numFmtId="178" fontId="31" fillId="5" borderId="2" xfId="2" applyNumberFormat="1" applyFont="1" applyFill="1" applyBorder="1" applyAlignment="1">
      <alignment horizontal="center"/>
    </xf>
    <xf numFmtId="177" fontId="2" fillId="4" borderId="25" xfId="2" applyNumberFormat="1" applyFont="1" applyFill="1" applyBorder="1" applyAlignment="1" applyProtection="1">
      <alignment horizontal="center"/>
      <protection locked="0"/>
    </xf>
    <xf numFmtId="0" fontId="2" fillId="10" borderId="28" xfId="2" applyFont="1" applyFill="1" applyBorder="1" applyAlignment="1" applyProtection="1">
      <alignment horizontal="center"/>
      <protection hidden="1"/>
    </xf>
    <xf numFmtId="0" fontId="2" fillId="10" borderId="29" xfId="2" applyFont="1" applyFill="1" applyBorder="1" applyAlignment="1" applyProtection="1">
      <alignment horizontal="center"/>
      <protection hidden="1"/>
    </xf>
    <xf numFmtId="0" fontId="33" fillId="10" borderId="30" xfId="2" applyFont="1" applyFill="1" applyBorder="1" applyAlignment="1" applyProtection="1">
      <alignment horizontal="center"/>
      <protection hidden="1"/>
    </xf>
    <xf numFmtId="0" fontId="0" fillId="0" borderId="10" xfId="0" applyBorder="1" applyAlignment="1">
      <alignment vertical="center"/>
    </xf>
    <xf numFmtId="0" fontId="15" fillId="0" borderId="10" xfId="2" applyFont="1" applyBorder="1"/>
    <xf numFmtId="0" fontId="15" fillId="0" borderId="31" xfId="2" applyFont="1" applyBorder="1" applyAlignment="1" applyProtection="1">
      <alignment horizontal="center"/>
      <protection hidden="1"/>
    </xf>
    <xf numFmtId="0" fontId="15" fillId="0" borderId="32" xfId="2" applyFont="1" applyBorder="1" applyAlignment="1">
      <alignment horizontal="center"/>
    </xf>
    <xf numFmtId="0" fontId="15" fillId="0" borderId="19" xfId="2" applyFont="1" applyBorder="1" applyAlignment="1" applyProtection="1">
      <alignment horizontal="center"/>
      <protection hidden="1"/>
    </xf>
    <xf numFmtId="0" fontId="15" fillId="0" borderId="20" xfId="2" applyFont="1" applyBorder="1" applyAlignment="1">
      <alignment horizontal="center"/>
    </xf>
    <xf numFmtId="0" fontId="15" fillId="0" borderId="21" xfId="2" applyFont="1" applyBorder="1" applyAlignment="1" applyProtection="1">
      <alignment horizontal="center"/>
      <protection hidden="1"/>
    </xf>
    <xf numFmtId="0" fontId="15" fillId="0" borderId="23" xfId="2" applyFont="1" applyBorder="1" applyAlignment="1">
      <alignment horizontal="center"/>
    </xf>
    <xf numFmtId="0" fontId="15" fillId="0" borderId="20" xfId="2" applyFont="1" applyBorder="1" applyAlignment="1" applyProtection="1">
      <alignment horizontal="center"/>
      <protection hidden="1"/>
    </xf>
    <xf numFmtId="0" fontId="15" fillId="0" borderId="23" xfId="2" applyFont="1" applyBorder="1" applyAlignment="1" applyProtection="1">
      <alignment horizontal="center"/>
      <protection hidden="1"/>
    </xf>
    <xf numFmtId="2" fontId="15" fillId="0" borderId="31" xfId="2" applyNumberFormat="1" applyFont="1" applyBorder="1" applyAlignment="1" applyProtection="1">
      <alignment horizontal="center"/>
      <protection hidden="1"/>
    </xf>
    <xf numFmtId="0" fontId="0" fillId="0" borderId="31" xfId="2" applyFont="1" applyBorder="1" applyAlignment="1" applyProtection="1">
      <alignment horizontal="center"/>
      <protection hidden="1"/>
    </xf>
    <xf numFmtId="0" fontId="0" fillId="0" borderId="33" xfId="2" applyFont="1" applyBorder="1" applyAlignment="1" applyProtection="1">
      <alignment horizontal="center"/>
      <protection hidden="1"/>
    </xf>
    <xf numFmtId="0" fontId="0" fillId="0" borderId="32" xfId="2" applyFont="1" applyBorder="1" applyAlignment="1" applyProtection="1">
      <alignment horizontal="center"/>
      <protection hidden="1"/>
    </xf>
    <xf numFmtId="0" fontId="0" fillId="0" borderId="19" xfId="2" applyFont="1" applyBorder="1" applyAlignment="1" applyProtection="1">
      <alignment horizontal="center"/>
      <protection hidden="1"/>
    </xf>
    <xf numFmtId="0" fontId="15" fillId="0" borderId="22" xfId="2" applyFont="1" applyBorder="1" applyAlignment="1" applyProtection="1">
      <alignment horizontal="center"/>
      <protection hidden="1"/>
    </xf>
    <xf numFmtId="1" fontId="15" fillId="0" borderId="33" xfId="2" applyNumberFormat="1" applyFont="1" applyBorder="1" applyAlignment="1" applyProtection="1">
      <alignment horizontal="center"/>
      <protection hidden="1"/>
    </xf>
    <xf numFmtId="1" fontId="8" fillId="0" borderId="32" xfId="2" applyNumberFormat="1" applyFont="1" applyBorder="1" applyAlignment="1" applyProtection="1">
      <alignment horizontal="center"/>
      <protection hidden="1"/>
    </xf>
    <xf numFmtId="1" fontId="8" fillId="0" borderId="20" xfId="2" applyNumberFormat="1" applyFont="1" applyBorder="1" applyAlignment="1" applyProtection="1">
      <alignment horizontal="center"/>
      <protection hidden="1"/>
    </xf>
    <xf numFmtId="1" fontId="15" fillId="0" borderId="22" xfId="2" applyNumberFormat="1" applyFont="1" applyBorder="1" applyAlignment="1" applyProtection="1">
      <alignment horizontal="center"/>
      <protection hidden="1"/>
    </xf>
    <xf numFmtId="1" fontId="8" fillId="0" borderId="23" xfId="2" applyNumberFormat="1" applyFont="1" applyBorder="1" applyAlignment="1" applyProtection="1">
      <alignment horizontal="center"/>
      <protection hidden="1"/>
    </xf>
    <xf numFmtId="0" fontId="15" fillId="0" borderId="33" xfId="2" applyFont="1" applyBorder="1" applyAlignment="1" applyProtection="1">
      <alignment horizontal="center"/>
      <protection hidden="1"/>
    </xf>
    <xf numFmtId="2" fontId="15" fillId="0" borderId="33" xfId="2" applyNumberFormat="1" applyFont="1" applyBorder="1" applyAlignment="1" applyProtection="1">
      <alignment horizontal="center"/>
      <protection hidden="1"/>
    </xf>
    <xf numFmtId="0" fontId="8" fillId="0" borderId="32" xfId="2" applyFont="1" applyBorder="1" applyAlignment="1" applyProtection="1">
      <alignment horizontal="center"/>
      <protection hidden="1"/>
    </xf>
    <xf numFmtId="0" fontId="8" fillId="0" borderId="20" xfId="2" applyFont="1" applyBorder="1" applyAlignment="1" applyProtection="1">
      <alignment horizontal="center"/>
      <protection hidden="1"/>
    </xf>
    <xf numFmtId="0" fontId="8" fillId="0" borderId="23" xfId="2" applyFont="1" applyBorder="1" applyAlignment="1" applyProtection="1">
      <alignment horizontal="center"/>
      <protection hidden="1"/>
    </xf>
    <xf numFmtId="1" fontId="15" fillId="0" borderId="32" xfId="2" applyNumberFormat="1" applyFont="1" applyBorder="1" applyAlignment="1" applyProtection="1">
      <alignment horizontal="center"/>
      <protection hidden="1"/>
    </xf>
    <xf numFmtId="1" fontId="15" fillId="0" borderId="20" xfId="2" applyNumberFormat="1" applyFont="1" applyBorder="1" applyAlignment="1" applyProtection="1">
      <alignment horizontal="center"/>
      <protection hidden="1"/>
    </xf>
    <xf numFmtId="1" fontId="15" fillId="0" borderId="23" xfId="2" applyNumberFormat="1" applyFont="1" applyBorder="1" applyAlignment="1" applyProtection="1">
      <alignment horizontal="center"/>
      <protection hidden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2" applyFont="1" applyBorder="1" applyAlignment="1" applyProtection="1">
      <alignment horizontal="center"/>
      <protection hidden="1"/>
    </xf>
    <xf numFmtId="165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4" fillId="15" borderId="8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right" vertical="center"/>
    </xf>
    <xf numFmtId="190" fontId="2" fillId="4" borderId="2" xfId="2" applyNumberFormat="1" applyFont="1" applyFill="1" applyBorder="1" applyAlignment="1" applyProtection="1">
      <alignment horizontal="center"/>
      <protection locked="0"/>
    </xf>
    <xf numFmtId="0" fontId="0" fillId="0" borderId="0" xfId="2" applyFont="1"/>
    <xf numFmtId="0" fontId="27" fillId="6" borderId="2" xfId="2" applyFont="1" applyFill="1" applyBorder="1" applyAlignment="1" applyProtection="1">
      <alignment horizontal="center"/>
      <protection hidden="1"/>
    </xf>
    <xf numFmtId="189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/>
    </xf>
    <xf numFmtId="0" fontId="2" fillId="11" borderId="18" xfId="1" applyFont="1" applyFill="1" applyBorder="1" applyAlignment="1" applyProtection="1">
      <alignment horizontal="center" vertical="center"/>
      <protection hidden="1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9" xfId="0" applyBorder="1" applyAlignment="1">
      <alignment horizontal="right" vertical="center"/>
    </xf>
    <xf numFmtId="2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right" vertical="center"/>
    </xf>
    <xf numFmtId="2" fontId="0" fillId="0" borderId="23" xfId="0" applyNumberFormat="1" applyBorder="1" applyAlignment="1">
      <alignment horizontal="center" vertical="center"/>
    </xf>
    <xf numFmtId="0" fontId="0" fillId="0" borderId="31" xfId="0" applyBorder="1" applyAlignment="1">
      <alignment horizontal="right" vertical="center"/>
    </xf>
    <xf numFmtId="2" fontId="0" fillId="0" borderId="3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2" fillId="0" borderId="33" xfId="0" applyFont="1" applyBorder="1"/>
    <xf numFmtId="165" fontId="2" fillId="0" borderId="33" xfId="0" applyNumberFormat="1" applyFont="1" applyBorder="1" applyAlignment="1">
      <alignment horizontal="center" vertical="center"/>
    </xf>
    <xf numFmtId="165" fontId="2" fillId="0" borderId="32" xfId="0" applyNumberFormat="1" applyFont="1" applyBorder="1" applyAlignment="1">
      <alignment horizontal="center" vertical="center"/>
    </xf>
    <xf numFmtId="0" fontId="2" fillId="0" borderId="20" xfId="0" applyFont="1" applyBorder="1"/>
    <xf numFmtId="165" fontId="2" fillId="0" borderId="20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/>
    </xf>
    <xf numFmtId="0" fontId="2" fillId="0" borderId="22" xfId="0" applyFont="1" applyBorder="1"/>
    <xf numFmtId="165" fontId="2" fillId="0" borderId="22" xfId="0" applyNumberFormat="1" applyFont="1" applyBorder="1" applyAlignment="1">
      <alignment horizontal="center" vertical="center"/>
    </xf>
    <xf numFmtId="165" fontId="2" fillId="0" borderId="2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left"/>
    </xf>
    <xf numFmtId="0" fontId="2" fillId="4" borderId="0" xfId="0" applyFont="1" applyFill="1" applyAlignment="1" applyProtection="1">
      <alignment horizontal="center" vertical="center"/>
      <protection locked="0"/>
    </xf>
    <xf numFmtId="0" fontId="2" fillId="0" borderId="2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0" fontId="0" fillId="0" borderId="33" xfId="0" applyBorder="1"/>
    <xf numFmtId="0" fontId="0" fillId="0" borderId="32" xfId="0" applyBorder="1"/>
    <xf numFmtId="0" fontId="0" fillId="0" borderId="20" xfId="0" applyBorder="1"/>
    <xf numFmtId="0" fontId="2" fillId="4" borderId="20" xfId="0" applyFont="1" applyFill="1" applyBorder="1" applyAlignment="1" applyProtection="1">
      <alignment horizontal="center" vertical="center"/>
      <protection locked="0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6" fillId="0" borderId="20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2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4" borderId="23" xfId="0" applyFont="1" applyFill="1" applyBorder="1" applyAlignment="1" applyProtection="1">
      <alignment horizontal="center" vertical="center"/>
      <protection locked="0"/>
    </xf>
    <xf numFmtId="1" fontId="2" fillId="0" borderId="20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0" fontId="2" fillId="0" borderId="35" xfId="0" applyFont="1" applyBorder="1"/>
    <xf numFmtId="1" fontId="2" fillId="0" borderId="35" xfId="0" applyNumberFormat="1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2" fillId="0" borderId="23" xfId="0" applyFont="1" applyBorder="1"/>
    <xf numFmtId="0" fontId="27" fillId="0" borderId="13" xfId="0" applyFont="1" applyBorder="1" applyAlignment="1">
      <alignment horizontal="right" vertical="center"/>
    </xf>
    <xf numFmtId="0" fontId="27" fillId="0" borderId="13" xfId="2" applyFont="1" applyBorder="1" applyAlignment="1">
      <alignment horizontal="right"/>
    </xf>
    <xf numFmtId="2" fontId="0" fillId="16" borderId="31" xfId="0" applyNumberFormat="1" applyFill="1" applyBorder="1" applyAlignment="1">
      <alignment horizontal="center"/>
    </xf>
    <xf numFmtId="2" fontId="0" fillId="16" borderId="33" xfId="0" applyNumberFormat="1" applyFill="1" applyBorder="1" applyAlignment="1">
      <alignment horizontal="center"/>
    </xf>
    <xf numFmtId="2" fontId="0" fillId="16" borderId="32" xfId="0" applyNumberFormat="1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/>
    </xf>
    <xf numFmtId="2" fontId="9" fillId="0" borderId="0" xfId="0" applyNumberFormat="1" applyFont="1" applyAlignment="1">
      <alignment horizontal="left"/>
    </xf>
    <xf numFmtId="2" fontId="10" fillId="0" borderId="0" xfId="1" applyNumberFormat="1" applyAlignment="1">
      <alignment horizontal="left"/>
    </xf>
    <xf numFmtId="2" fontId="10" fillId="0" borderId="0" xfId="1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21" borderId="20" xfId="0" applyNumberFormat="1" applyFill="1" applyBorder="1" applyAlignment="1">
      <alignment horizontal="center"/>
    </xf>
    <xf numFmtId="2" fontId="0" fillId="21" borderId="23" xfId="0" applyNumberFormat="1" applyFill="1" applyBorder="1" applyAlignment="1">
      <alignment horizontal="center"/>
    </xf>
    <xf numFmtId="2" fontId="0" fillId="21" borderId="19" xfId="0" applyNumberFormat="1" applyFill="1" applyBorder="1" applyAlignment="1">
      <alignment horizontal="center"/>
    </xf>
    <xf numFmtId="2" fontId="0" fillId="21" borderId="0" xfId="0" applyNumberFormat="1" applyFill="1" applyAlignment="1">
      <alignment horizontal="center"/>
    </xf>
    <xf numFmtId="2" fontId="0" fillId="21" borderId="21" xfId="0" applyNumberFormat="1" applyFill="1" applyBorder="1" applyAlignment="1">
      <alignment horizontal="center"/>
    </xf>
    <xf numFmtId="2" fontId="0" fillId="21" borderId="22" xfId="0" applyNumberFormat="1" applyFill="1" applyBorder="1" applyAlignment="1">
      <alignment horizontal="center"/>
    </xf>
    <xf numFmtId="1" fontId="0" fillId="21" borderId="19" xfId="0" applyNumberFormat="1" applyFill="1" applyBorder="1" applyAlignment="1">
      <alignment horizontal="center"/>
    </xf>
    <xf numFmtId="2" fontId="0" fillId="21" borderId="26" xfId="0" applyNumberFormat="1" applyFill="1" applyBorder="1" applyAlignment="1">
      <alignment horizontal="center"/>
    </xf>
    <xf numFmtId="1" fontId="0" fillId="21" borderId="21" xfId="0" applyNumberFormat="1" applyFill="1" applyBorder="1" applyAlignment="1">
      <alignment horizontal="center"/>
    </xf>
    <xf numFmtId="2" fontId="0" fillId="21" borderId="25" xfId="0" applyNumberFormat="1" applyFill="1" applyBorder="1" applyAlignment="1">
      <alignment horizontal="center"/>
    </xf>
    <xf numFmtId="0" fontId="0" fillId="21" borderId="19" xfId="0" applyFill="1" applyBorder="1"/>
    <xf numFmtId="0" fontId="0" fillId="21" borderId="0" xfId="0" applyFill="1"/>
    <xf numFmtId="0" fontId="0" fillId="21" borderId="20" xfId="0" applyFill="1" applyBorder="1" applyAlignment="1">
      <alignment horizontal="center"/>
    </xf>
    <xf numFmtId="0" fontId="0" fillId="21" borderId="21" xfId="0" applyFill="1" applyBorder="1"/>
    <xf numFmtId="0" fontId="0" fillId="21" borderId="22" xfId="0" applyFill="1" applyBorder="1"/>
    <xf numFmtId="0" fontId="0" fillId="21" borderId="23" xfId="0" applyFill="1" applyBorder="1" applyAlignment="1">
      <alignment horizontal="center"/>
    </xf>
    <xf numFmtId="1" fontId="0" fillId="21" borderId="31" xfId="0" applyNumberFormat="1" applyFill="1" applyBorder="1" applyAlignment="1">
      <alignment horizontal="center"/>
    </xf>
    <xf numFmtId="1" fontId="0" fillId="21" borderId="33" xfId="0" applyNumberFormat="1" applyFill="1" applyBorder="1" applyAlignment="1">
      <alignment horizontal="center"/>
    </xf>
    <xf numFmtId="1" fontId="0" fillId="21" borderId="32" xfId="0" applyNumberFormat="1" applyFill="1" applyBorder="1" applyAlignment="1">
      <alignment horizontal="center"/>
    </xf>
    <xf numFmtId="1" fontId="0" fillId="21" borderId="0" xfId="0" applyNumberFormat="1" applyFill="1" applyAlignment="1">
      <alignment horizontal="center"/>
    </xf>
    <xf numFmtId="1" fontId="0" fillId="21" borderId="20" xfId="0" applyNumberFormat="1" applyFill="1" applyBorder="1" applyAlignment="1">
      <alignment horizontal="center"/>
    </xf>
    <xf numFmtId="1" fontId="0" fillId="21" borderId="22" xfId="0" applyNumberFormat="1" applyFill="1" applyBorder="1" applyAlignment="1">
      <alignment horizontal="center"/>
    </xf>
    <xf numFmtId="1" fontId="0" fillId="21" borderId="23" xfId="0" applyNumberFormat="1" applyFill="1" applyBorder="1" applyAlignment="1">
      <alignment horizontal="center"/>
    </xf>
    <xf numFmtId="2" fontId="0" fillId="21" borderId="32" xfId="0" applyNumberFormat="1" applyFill="1" applyBorder="1" applyAlignment="1">
      <alignment horizontal="center"/>
    </xf>
    <xf numFmtId="2" fontId="0" fillId="21" borderId="24" xfId="0" applyNumberFormat="1" applyFill="1" applyBorder="1" applyAlignment="1">
      <alignment horizontal="center"/>
    </xf>
    <xf numFmtId="2" fontId="0" fillId="21" borderId="31" xfId="0" applyNumberFormat="1" applyFill="1" applyBorder="1" applyAlignment="1">
      <alignment horizontal="center"/>
    </xf>
    <xf numFmtId="0" fontId="0" fillId="22" borderId="36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22" borderId="38" xfId="0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0" fillId="22" borderId="42" xfId="0" applyFill="1" applyBorder="1" applyAlignment="1">
      <alignment horizontal="center"/>
    </xf>
    <xf numFmtId="0" fontId="0" fillId="22" borderId="43" xfId="0" applyFill="1" applyBorder="1" applyAlignment="1">
      <alignment horizontal="center"/>
    </xf>
    <xf numFmtId="0" fontId="0" fillId="22" borderId="44" xfId="0" applyFill="1" applyBorder="1" applyAlignment="1">
      <alignment horizontal="center"/>
    </xf>
    <xf numFmtId="0" fontId="0" fillId="22" borderId="45" xfId="0" applyFill="1" applyBorder="1" applyAlignment="1">
      <alignment horizontal="center"/>
    </xf>
    <xf numFmtId="0" fontId="0" fillId="22" borderId="46" xfId="0" applyFill="1" applyBorder="1" applyAlignment="1">
      <alignment horizontal="center"/>
    </xf>
    <xf numFmtId="0" fontId="0" fillId="22" borderId="47" xfId="0" applyFill="1" applyBorder="1" applyAlignment="1">
      <alignment horizontal="center"/>
    </xf>
    <xf numFmtId="0" fontId="0" fillId="22" borderId="48" xfId="0" applyFill="1" applyBorder="1" applyAlignment="1">
      <alignment horizontal="center"/>
    </xf>
    <xf numFmtId="0" fontId="0" fillId="22" borderId="49" xfId="0" applyFill="1" applyBorder="1" applyAlignment="1">
      <alignment horizontal="center"/>
    </xf>
    <xf numFmtId="0" fontId="0" fillId="22" borderId="50" xfId="0" applyFill="1" applyBorder="1" applyAlignment="1">
      <alignment horizontal="center"/>
    </xf>
    <xf numFmtId="0" fontId="8" fillId="22" borderId="36" xfId="0" applyFont="1" applyFill="1" applyBorder="1" applyAlignment="1">
      <alignment horizontal="center"/>
    </xf>
    <xf numFmtId="0" fontId="15" fillId="22" borderId="37" xfId="0" applyFont="1" applyFill="1" applyBorder="1" applyAlignment="1">
      <alignment horizontal="center"/>
    </xf>
    <xf numFmtId="2" fontId="0" fillId="23" borderId="19" xfId="0" applyNumberFormat="1" applyFill="1" applyBorder="1" applyAlignment="1">
      <alignment horizontal="center"/>
    </xf>
    <xf numFmtId="2" fontId="0" fillId="23" borderId="21" xfId="0" applyNumberFormat="1" applyFill="1" applyBorder="1" applyAlignment="1">
      <alignment horizontal="center"/>
    </xf>
    <xf numFmtId="2" fontId="0" fillId="24" borderId="32" xfId="0" applyNumberFormat="1" applyFill="1" applyBorder="1" applyAlignment="1">
      <alignment horizontal="center"/>
    </xf>
    <xf numFmtId="2" fontId="0" fillId="24" borderId="31" xfId="0" applyNumberFormat="1" applyFill="1" applyBorder="1" applyAlignment="1">
      <alignment horizontal="center"/>
    </xf>
    <xf numFmtId="2" fontId="0" fillId="24" borderId="33" xfId="0" applyNumberFormat="1" applyFill="1" applyBorder="1" applyAlignment="1">
      <alignment horizontal="center"/>
    </xf>
    <xf numFmtId="0" fontId="0" fillId="25" borderId="51" xfId="0" applyFill="1" applyBorder="1" applyAlignment="1">
      <alignment horizontal="center"/>
    </xf>
    <xf numFmtId="184" fontId="0" fillId="25" borderId="11" xfId="0" applyNumberFormat="1" applyFill="1" applyBorder="1" applyAlignment="1">
      <alignment horizontal="center"/>
    </xf>
    <xf numFmtId="173" fontId="0" fillId="25" borderId="11" xfId="0" applyNumberFormat="1" applyFill="1" applyBorder="1" applyAlignment="1">
      <alignment horizontal="center"/>
    </xf>
    <xf numFmtId="164" fontId="0" fillId="24" borderId="11" xfId="0" applyNumberFormat="1" applyFill="1" applyBorder="1" applyAlignment="1">
      <alignment horizontal="center"/>
    </xf>
    <xf numFmtId="164" fontId="0" fillId="25" borderId="11" xfId="0" applyNumberFormat="1" applyFill="1" applyBorder="1" applyAlignment="1">
      <alignment horizontal="center"/>
    </xf>
    <xf numFmtId="178" fontId="0" fillId="24" borderId="11" xfId="0" applyNumberFormat="1" applyFill="1" applyBorder="1" applyAlignment="1">
      <alignment horizontal="center"/>
    </xf>
    <xf numFmtId="0" fontId="0" fillId="24" borderId="11" xfId="0" applyFill="1" applyBorder="1" applyAlignment="1">
      <alignment horizontal="center"/>
    </xf>
    <xf numFmtId="0" fontId="0" fillId="25" borderId="52" xfId="0" applyFill="1" applyBorder="1" applyAlignment="1">
      <alignment horizontal="center"/>
    </xf>
    <xf numFmtId="0" fontId="0" fillId="25" borderId="53" xfId="0" applyFill="1" applyBorder="1" applyAlignment="1">
      <alignment horizontal="center"/>
    </xf>
    <xf numFmtId="0" fontId="2" fillId="26" borderId="52" xfId="0" applyFont="1" applyFill="1" applyBorder="1" applyAlignment="1">
      <alignment horizontal="center"/>
    </xf>
    <xf numFmtId="0" fontId="0" fillId="26" borderId="54" xfId="0" applyFill="1" applyBorder="1" applyAlignment="1">
      <alignment horizontal="center"/>
    </xf>
    <xf numFmtId="0" fontId="0" fillId="26" borderId="53" xfId="0" applyFill="1" applyBorder="1" applyAlignment="1">
      <alignment horizontal="center"/>
    </xf>
    <xf numFmtId="0" fontId="0" fillId="25" borderId="55" xfId="0" applyFill="1" applyBorder="1" applyAlignment="1">
      <alignment horizontal="center"/>
    </xf>
    <xf numFmtId="0" fontId="0" fillId="25" borderId="56" xfId="0" applyFill="1" applyBorder="1" applyAlignment="1">
      <alignment horizontal="center"/>
    </xf>
    <xf numFmtId="0" fontId="0" fillId="25" borderId="57" xfId="0" applyFill="1" applyBorder="1" applyAlignment="1">
      <alignment horizontal="center"/>
    </xf>
    <xf numFmtId="0" fontId="0" fillId="25" borderId="58" xfId="0" applyFill="1" applyBorder="1" applyAlignment="1">
      <alignment horizontal="center"/>
    </xf>
    <xf numFmtId="0" fontId="0" fillId="25" borderId="59" xfId="0" applyFill="1" applyBorder="1" applyAlignment="1">
      <alignment horizontal="center"/>
    </xf>
    <xf numFmtId="0" fontId="0" fillId="25" borderId="60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61" xfId="0" applyFill="1" applyBorder="1" applyAlignment="1">
      <alignment horizontal="center"/>
    </xf>
    <xf numFmtId="0" fontId="0" fillId="3" borderId="0" xfId="0" applyFill="1" applyAlignment="1">
      <alignment horizontal="center"/>
    </xf>
    <xf numFmtId="183" fontId="0" fillId="25" borderId="58" xfId="0" applyNumberFormat="1" applyFill="1" applyBorder="1" applyAlignment="1">
      <alignment horizontal="center"/>
    </xf>
    <xf numFmtId="183" fontId="0" fillId="25" borderId="59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169" fontId="0" fillId="3" borderId="56" xfId="0" applyNumberFormat="1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26" borderId="51" xfId="0" applyFill="1" applyBorder="1" applyAlignment="1">
      <alignment horizontal="center"/>
    </xf>
    <xf numFmtId="183" fontId="0" fillId="26" borderId="51" xfId="0" applyNumberFormat="1" applyFill="1" applyBorder="1" applyAlignment="1">
      <alignment horizontal="center"/>
    </xf>
    <xf numFmtId="0" fontId="0" fillId="24" borderId="57" xfId="0" applyFill="1" applyBorder="1" applyAlignment="1">
      <alignment horizontal="center"/>
    </xf>
    <xf numFmtId="0" fontId="0" fillId="24" borderId="62" xfId="0" applyFill="1" applyBorder="1" applyAlignment="1">
      <alignment horizontal="center"/>
    </xf>
    <xf numFmtId="183" fontId="0" fillId="25" borderId="60" xfId="0" applyNumberFormat="1" applyFill="1" applyBorder="1" applyAlignment="1">
      <alignment horizontal="center"/>
    </xf>
    <xf numFmtId="0" fontId="42" fillId="0" borderId="0" xfId="0" applyFont="1" applyAlignment="1">
      <alignment vertical="center"/>
    </xf>
    <xf numFmtId="0" fontId="43" fillId="0" borderId="0" xfId="2" applyFont="1"/>
    <xf numFmtId="0" fontId="43" fillId="27" borderId="2" xfId="2" applyFont="1" applyFill="1" applyBorder="1" applyAlignment="1" applyProtection="1">
      <alignment horizontal="center"/>
      <protection hidden="1"/>
    </xf>
    <xf numFmtId="177" fontId="44" fillId="5" borderId="2" xfId="2" applyNumberFormat="1" applyFont="1" applyFill="1" applyBorder="1" applyAlignment="1" applyProtection="1">
      <alignment horizontal="center"/>
      <protection hidden="1"/>
    </xf>
    <xf numFmtId="0" fontId="42" fillId="0" borderId="0" xfId="2" applyFont="1"/>
    <xf numFmtId="0" fontId="45" fillId="0" borderId="10" xfId="2" applyFont="1" applyBorder="1" applyAlignment="1">
      <alignment horizontal="right"/>
    </xf>
    <xf numFmtId="0" fontId="43" fillId="0" borderId="10" xfId="2" applyFont="1" applyBorder="1"/>
    <xf numFmtId="0" fontId="46" fillId="0" borderId="10" xfId="2" applyFont="1" applyBorder="1" applyAlignment="1">
      <alignment horizontal="left"/>
    </xf>
    <xf numFmtId="0" fontId="45" fillId="0" borderId="10" xfId="2" applyFont="1" applyBorder="1"/>
    <xf numFmtId="0" fontId="45" fillId="0" borderId="7" xfId="0" applyFont="1" applyBorder="1" applyAlignment="1">
      <alignment horizontal="right" vertical="center"/>
    </xf>
    <xf numFmtId="0" fontId="46" fillId="0" borderId="7" xfId="0" applyFont="1" applyBorder="1" applyAlignment="1">
      <alignment horizontal="right" vertical="center"/>
    </xf>
    <xf numFmtId="166" fontId="0" fillId="0" borderId="7" xfId="0" applyNumberFormat="1" applyBorder="1" applyAlignment="1">
      <alignment horizontal="right" vertical="center"/>
    </xf>
    <xf numFmtId="193" fontId="0" fillId="3" borderId="11" xfId="0" applyNumberFormat="1" applyFill="1" applyBorder="1" applyAlignment="1">
      <alignment horizontal="center"/>
    </xf>
    <xf numFmtId="0" fontId="0" fillId="28" borderId="24" xfId="0" applyFill="1" applyBorder="1" applyAlignment="1">
      <alignment horizontal="center"/>
    </xf>
    <xf numFmtId="0" fontId="0" fillId="29" borderId="26" xfId="0" applyFill="1" applyBorder="1" applyAlignment="1">
      <alignment horizontal="center"/>
    </xf>
    <xf numFmtId="186" fontId="0" fillId="25" borderId="11" xfId="0" applyNumberFormat="1" applyFill="1" applyBorder="1" applyAlignment="1">
      <alignment horizontal="center"/>
    </xf>
    <xf numFmtId="176" fontId="30" fillId="5" borderId="24" xfId="2" applyNumberFormat="1" applyFont="1" applyFill="1" applyBorder="1" applyAlignment="1" applyProtection="1">
      <alignment horizontal="center"/>
      <protection hidden="1"/>
    </xf>
    <xf numFmtId="176" fontId="30" fillId="5" borderId="26" xfId="2" applyNumberFormat="1" applyFont="1" applyFill="1" applyBorder="1" applyAlignment="1" applyProtection="1">
      <alignment horizontal="center"/>
      <protection hidden="1"/>
    </xf>
    <xf numFmtId="176" fontId="30" fillId="5" borderId="25" xfId="2" applyNumberFormat="1" applyFont="1" applyFill="1" applyBorder="1" applyAlignment="1" applyProtection="1">
      <alignment horizontal="center"/>
      <protection hidden="1"/>
    </xf>
    <xf numFmtId="0" fontId="30" fillId="5" borderId="63" xfId="2" applyFont="1" applyFill="1" applyBorder="1" applyAlignment="1">
      <alignment horizontal="center"/>
    </xf>
    <xf numFmtId="0" fontId="30" fillId="5" borderId="20" xfId="2" applyFont="1" applyFill="1" applyBorder="1" applyAlignment="1">
      <alignment horizontal="center"/>
    </xf>
    <xf numFmtId="0" fontId="30" fillId="5" borderId="23" xfId="2" applyFont="1" applyFill="1" applyBorder="1" applyAlignment="1">
      <alignment horizontal="center"/>
    </xf>
    <xf numFmtId="176" fontId="30" fillId="5" borderId="63" xfId="2" applyNumberFormat="1" applyFont="1" applyFill="1" applyBorder="1" applyAlignment="1">
      <alignment horizontal="center"/>
    </xf>
    <xf numFmtId="196" fontId="30" fillId="5" borderId="63" xfId="2" applyNumberFormat="1" applyFont="1" applyFill="1" applyBorder="1" applyAlignment="1">
      <alignment horizontal="center"/>
    </xf>
    <xf numFmtId="196" fontId="30" fillId="5" borderId="20" xfId="2" applyNumberFormat="1" applyFont="1" applyFill="1" applyBorder="1" applyAlignment="1">
      <alignment horizontal="center"/>
    </xf>
    <xf numFmtId="196" fontId="30" fillId="5" borderId="23" xfId="2" applyNumberFormat="1" applyFont="1" applyFill="1" applyBorder="1" applyAlignment="1">
      <alignment horizontal="center"/>
    </xf>
    <xf numFmtId="174" fontId="30" fillId="5" borderId="63" xfId="2" applyNumberFormat="1" applyFont="1" applyFill="1" applyBorder="1" applyAlignment="1">
      <alignment horizontal="center"/>
    </xf>
    <xf numFmtId="174" fontId="30" fillId="5" borderId="20" xfId="2" applyNumberFormat="1" applyFont="1" applyFill="1" applyBorder="1" applyAlignment="1">
      <alignment horizontal="center"/>
    </xf>
    <xf numFmtId="174" fontId="30" fillId="5" borderId="23" xfId="2" applyNumberFormat="1" applyFont="1" applyFill="1" applyBorder="1" applyAlignment="1">
      <alignment horizontal="center"/>
    </xf>
    <xf numFmtId="167" fontId="30" fillId="5" borderId="63" xfId="2" applyNumberFormat="1" applyFont="1" applyFill="1" applyBorder="1" applyAlignment="1">
      <alignment horizontal="center"/>
    </xf>
    <xf numFmtId="167" fontId="30" fillId="5" borderId="20" xfId="2" applyNumberFormat="1" applyFont="1" applyFill="1" applyBorder="1" applyAlignment="1">
      <alignment horizontal="center"/>
    </xf>
    <xf numFmtId="167" fontId="30" fillId="5" borderId="23" xfId="2" applyNumberFormat="1" applyFont="1" applyFill="1" applyBorder="1" applyAlignment="1">
      <alignment horizontal="center"/>
    </xf>
    <xf numFmtId="170" fontId="30" fillId="5" borderId="63" xfId="2" applyNumberFormat="1" applyFont="1" applyFill="1" applyBorder="1" applyAlignment="1">
      <alignment horizontal="center"/>
    </xf>
    <xf numFmtId="170" fontId="30" fillId="5" borderId="20" xfId="2" applyNumberFormat="1" applyFont="1" applyFill="1" applyBorder="1" applyAlignment="1">
      <alignment horizontal="center"/>
    </xf>
    <xf numFmtId="170" fontId="30" fillId="5" borderId="23" xfId="2" applyNumberFormat="1" applyFont="1" applyFill="1" applyBorder="1" applyAlignment="1">
      <alignment horizontal="center"/>
    </xf>
    <xf numFmtId="0" fontId="2" fillId="9" borderId="2" xfId="0" applyFont="1" applyFill="1" applyBorder="1" applyAlignment="1" applyProtection="1">
      <alignment horizontal="center" vertical="center"/>
      <protection hidden="1"/>
    </xf>
    <xf numFmtId="0" fontId="0" fillId="9" borderId="2" xfId="0" applyFill="1" applyBorder="1" applyAlignment="1" applyProtection="1">
      <alignment horizontal="center" vertical="center"/>
      <protection hidden="1"/>
    </xf>
    <xf numFmtId="0" fontId="0" fillId="0" borderId="22" xfId="0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87" fontId="2" fillId="7" borderId="2" xfId="0" applyNumberFormat="1" applyFont="1" applyFill="1" applyBorder="1" applyAlignment="1">
      <alignment horizontal="center" vertical="center"/>
    </xf>
    <xf numFmtId="197" fontId="30" fillId="5" borderId="24" xfId="2" applyNumberFormat="1" applyFont="1" applyFill="1" applyBorder="1" applyAlignment="1">
      <alignment horizontal="center"/>
    </xf>
    <xf numFmtId="197" fontId="30" fillId="5" borderId="26" xfId="2" applyNumberFormat="1" applyFont="1" applyFill="1" applyBorder="1" applyAlignment="1">
      <alignment horizontal="center"/>
    </xf>
    <xf numFmtId="197" fontId="30" fillId="5" borderId="25" xfId="2" applyNumberFormat="1" applyFont="1" applyFill="1" applyBorder="1" applyAlignment="1">
      <alignment horizontal="center"/>
    </xf>
    <xf numFmtId="0" fontId="42" fillId="0" borderId="0" xfId="2" applyFont="1" applyAlignment="1" applyProtection="1">
      <alignment horizontal="right"/>
      <protection hidden="1"/>
    </xf>
    <xf numFmtId="0" fontId="2" fillId="0" borderId="31" xfId="0" applyFont="1" applyBorder="1"/>
    <xf numFmtId="0" fontId="2" fillId="0" borderId="32" xfId="0" applyFont="1" applyBorder="1"/>
    <xf numFmtId="0" fontId="2" fillId="0" borderId="21" xfId="0" applyFont="1" applyBorder="1"/>
    <xf numFmtId="0" fontId="2" fillId="0" borderId="19" xfId="0" applyFont="1" applyBorder="1" applyAlignment="1">
      <alignment horizontal="left"/>
    </xf>
    <xf numFmtId="14" fontId="2" fillId="0" borderId="23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0" fontId="3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19" xfId="0" applyFont="1" applyBorder="1"/>
    <xf numFmtId="0" fontId="2" fillId="0" borderId="34" xfId="0" applyFont="1" applyBorder="1"/>
    <xf numFmtId="0" fontId="2" fillId="0" borderId="14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64" xfId="0" applyFont="1" applyBorder="1" applyAlignment="1">
      <alignment horizontal="center"/>
    </xf>
    <xf numFmtId="201" fontId="15" fillId="0" borderId="0" xfId="0" applyNumberFormat="1" applyFont="1"/>
    <xf numFmtId="191" fontId="0" fillId="0" borderId="0" xfId="0" applyNumberFormat="1"/>
    <xf numFmtId="192" fontId="0" fillId="0" borderId="0" xfId="0" applyNumberFormat="1"/>
    <xf numFmtId="0" fontId="40" fillId="0" borderId="0" xfId="0" applyFont="1"/>
    <xf numFmtId="192" fontId="2" fillId="30" borderId="32" xfId="0" applyNumberFormat="1" applyFont="1" applyFill="1" applyBorder="1" applyProtection="1">
      <protection locked="0"/>
    </xf>
    <xf numFmtId="198" fontId="2" fillId="0" borderId="23" xfId="0" applyNumberFormat="1" applyFont="1" applyBorder="1"/>
    <xf numFmtId="0" fontId="39" fillId="0" borderId="0" xfId="0" applyFont="1"/>
    <xf numFmtId="3" fontId="2" fillId="30" borderId="32" xfId="0" applyNumberFormat="1" applyFont="1" applyFill="1" applyBorder="1" applyAlignment="1">
      <alignment horizontal="center"/>
    </xf>
    <xf numFmtId="191" fontId="2" fillId="0" borderId="33" xfId="0" applyNumberFormat="1" applyFont="1" applyBorder="1" applyAlignment="1">
      <alignment horizontal="center"/>
    </xf>
    <xf numFmtId="192" fontId="2" fillId="0" borderId="32" xfId="0" applyNumberFormat="1" applyFont="1" applyBorder="1" applyAlignment="1">
      <alignment horizontal="center"/>
    </xf>
    <xf numFmtId="191" fontId="2" fillId="0" borderId="22" xfId="0" applyNumberFormat="1" applyFont="1" applyBorder="1" applyAlignment="1">
      <alignment horizontal="center"/>
    </xf>
    <xf numFmtId="192" fontId="2" fillId="0" borderId="23" xfId="0" applyNumberFormat="1" applyFont="1" applyBorder="1" applyAlignment="1">
      <alignment horizontal="center"/>
    </xf>
    <xf numFmtId="192" fontId="2" fillId="30" borderId="32" xfId="0" applyNumberFormat="1" applyFont="1" applyFill="1" applyBorder="1" applyAlignment="1" applyProtection="1">
      <alignment horizontal="center"/>
      <protection locked="0"/>
    </xf>
    <xf numFmtId="202" fontId="2" fillId="0" borderId="23" xfId="0" applyNumberFormat="1" applyFont="1" applyBorder="1" applyAlignment="1">
      <alignment horizontal="center"/>
    </xf>
    <xf numFmtId="201" fontId="2" fillId="0" borderId="23" xfId="0" applyNumberFormat="1" applyFont="1" applyBorder="1" applyAlignment="1">
      <alignment horizontal="center"/>
    </xf>
    <xf numFmtId="199" fontId="2" fillId="0" borderId="33" xfId="0" applyNumberFormat="1" applyFont="1" applyBorder="1" applyAlignment="1">
      <alignment horizontal="center"/>
    </xf>
    <xf numFmtId="200" fontId="2" fillId="0" borderId="32" xfId="0" applyNumberFormat="1" applyFont="1" applyBorder="1" applyAlignment="1">
      <alignment horizontal="center"/>
    </xf>
    <xf numFmtId="191" fontId="2" fillId="0" borderId="0" xfId="0" applyNumberFormat="1" applyFont="1" applyAlignment="1">
      <alignment horizontal="center"/>
    </xf>
    <xf numFmtId="192" fontId="2" fillId="0" borderId="20" xfId="0" applyNumberFormat="1" applyFont="1" applyBorder="1" applyAlignment="1">
      <alignment horizontal="center"/>
    </xf>
    <xf numFmtId="0" fontId="15" fillId="0" borderId="10" xfId="0" applyFont="1" applyBorder="1"/>
    <xf numFmtId="0" fontId="0" fillId="29" borderId="20" xfId="0" applyFill="1" applyBorder="1" applyAlignment="1">
      <alignment horizontal="center"/>
    </xf>
    <xf numFmtId="0" fontId="0" fillId="31" borderId="65" xfId="0" applyFill="1" applyBorder="1" applyAlignment="1">
      <alignment horizontal="center"/>
    </xf>
    <xf numFmtId="186" fontId="0" fillId="24" borderId="11" xfId="0" applyNumberFormat="1" applyFill="1" applyBorder="1" applyAlignment="1">
      <alignment horizontal="center"/>
    </xf>
    <xf numFmtId="203" fontId="0" fillId="24" borderId="11" xfId="0" applyNumberFormat="1" applyFill="1" applyBorder="1" applyAlignment="1">
      <alignment horizontal="center"/>
    </xf>
    <xf numFmtId="0" fontId="2" fillId="11" borderId="66" xfId="0" applyFont="1" applyFill="1" applyBorder="1" applyAlignment="1" applyProtection="1">
      <alignment horizontal="center" vertical="center"/>
      <protection hidden="1"/>
    </xf>
    <xf numFmtId="164" fontId="2" fillId="17" borderId="24" xfId="0" applyNumberFormat="1" applyFont="1" applyFill="1" applyBorder="1" applyAlignment="1">
      <alignment horizontal="center" vertical="center"/>
    </xf>
    <xf numFmtId="0" fontId="2" fillId="11" borderId="67" xfId="0" applyFont="1" applyFill="1" applyBorder="1" applyAlignment="1" applyProtection="1">
      <alignment horizontal="center" vertical="center"/>
      <protection hidden="1"/>
    </xf>
    <xf numFmtId="170" fontId="2" fillId="3" borderId="25" xfId="0" applyNumberFormat="1" applyFont="1" applyFill="1" applyBorder="1" applyAlignment="1" applyProtection="1">
      <alignment horizontal="center" vertical="center"/>
      <protection locked="0"/>
    </xf>
    <xf numFmtId="0" fontId="2" fillId="28" borderId="2" xfId="0" applyFont="1" applyFill="1" applyBorder="1" applyAlignment="1">
      <alignment horizontal="center" vertical="center"/>
    </xf>
    <xf numFmtId="0" fontId="0" fillId="30" borderId="0" xfId="0" applyFill="1"/>
    <xf numFmtId="0" fontId="0" fillId="30" borderId="0" xfId="0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9" borderId="25" xfId="0" applyFill="1" applyBorder="1" applyAlignment="1">
      <alignment horizontal="center"/>
    </xf>
    <xf numFmtId="0" fontId="1" fillId="0" borderId="0" xfId="2" applyProtection="1">
      <protection locked="0"/>
    </xf>
    <xf numFmtId="0" fontId="1" fillId="0" borderId="0" xfId="2"/>
    <xf numFmtId="0" fontId="33" fillId="0" borderId="0" xfId="2" applyFont="1"/>
    <xf numFmtId="186" fontId="0" fillId="0" borderId="0" xfId="0" applyNumberFormat="1" applyAlignment="1">
      <alignment vertical="center"/>
    </xf>
    <xf numFmtId="0" fontId="0" fillId="0" borderId="0" xfId="0" quotePrefix="1" applyAlignment="1">
      <alignment horizontal="center" vertical="center"/>
    </xf>
    <xf numFmtId="170" fontId="0" fillId="0" borderId="0" xfId="0" applyNumberFormat="1" applyAlignment="1">
      <alignment horizontal="right" vertical="center"/>
    </xf>
    <xf numFmtId="0" fontId="0" fillId="30" borderId="2" xfId="0" applyFill="1" applyBorder="1" applyAlignment="1">
      <alignment vertical="center"/>
    </xf>
    <xf numFmtId="164" fontId="2" fillId="18" borderId="24" xfId="0" applyNumberFormat="1" applyFont="1" applyFill="1" applyBorder="1" applyAlignment="1" applyProtection="1">
      <alignment horizontal="center" vertical="center"/>
      <protection locked="0"/>
    </xf>
    <xf numFmtId="0" fontId="10" fillId="0" borderId="0" xfId="1" applyAlignment="1" applyProtection="1">
      <alignment horizontal="left"/>
      <protection hidden="1"/>
    </xf>
    <xf numFmtId="166" fontId="47" fillId="0" borderId="0" xfId="0" applyNumberFormat="1" applyFont="1" applyAlignment="1">
      <alignment vertical="center"/>
    </xf>
    <xf numFmtId="0" fontId="2" fillId="0" borderId="0" xfId="0" applyFont="1" applyAlignment="1" applyProtection="1">
      <alignment horizontal="center" vertical="center"/>
      <protection hidden="1"/>
    </xf>
    <xf numFmtId="186" fontId="2" fillId="0" borderId="0" xfId="0" applyNumberFormat="1" applyFont="1" applyAlignment="1">
      <alignment horizontal="center" vertical="center"/>
    </xf>
    <xf numFmtId="204" fontId="2" fillId="32" borderId="2" xfId="0" applyNumberFormat="1" applyFont="1" applyFill="1" applyBorder="1" applyAlignment="1">
      <alignment horizontal="center" vertical="center"/>
    </xf>
    <xf numFmtId="175" fontId="0" fillId="7" borderId="46" xfId="0" applyNumberFormat="1" applyFill="1" applyBorder="1" applyAlignment="1">
      <alignment horizontal="center" vertical="center"/>
    </xf>
    <xf numFmtId="175" fontId="2" fillId="7" borderId="2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0" fontId="2" fillId="9" borderId="46" xfId="0" applyFont="1" applyFill="1" applyBorder="1" applyAlignment="1" applyProtection="1">
      <alignment horizontal="center" vertical="center"/>
      <protection hidden="1"/>
    </xf>
    <xf numFmtId="0" fontId="5" fillId="9" borderId="46" xfId="0" applyFont="1" applyFill="1" applyBorder="1" applyAlignment="1" applyProtection="1">
      <alignment horizontal="center" vertical="center"/>
      <protection hidden="1"/>
    </xf>
    <xf numFmtId="2" fontId="0" fillId="7" borderId="68" xfId="0" applyNumberFormat="1" applyFill="1" applyBorder="1" applyAlignment="1">
      <alignment horizontal="center" vertical="center"/>
    </xf>
    <xf numFmtId="187" fontId="2" fillId="7" borderId="68" xfId="0" applyNumberFormat="1" applyFont="1" applyFill="1" applyBorder="1" applyAlignment="1">
      <alignment horizontal="center" vertical="center"/>
    </xf>
    <xf numFmtId="165" fontId="0" fillId="7" borderId="69" xfId="0" applyNumberFormat="1" applyFill="1" applyBorder="1" applyAlignment="1">
      <alignment horizontal="center" vertical="center"/>
    </xf>
    <xf numFmtId="188" fontId="2" fillId="7" borderId="70" xfId="0" applyNumberFormat="1" applyFont="1" applyFill="1" applyBorder="1" applyAlignment="1">
      <alignment horizontal="center" vertical="center"/>
    </xf>
    <xf numFmtId="165" fontId="0" fillId="7" borderId="71" xfId="0" applyNumberFormat="1" applyFill="1" applyBorder="1" applyAlignment="1">
      <alignment horizontal="center" vertical="center"/>
    </xf>
    <xf numFmtId="165" fontId="0" fillId="7" borderId="70" xfId="0" applyNumberFormat="1" applyFill="1" applyBorder="1" applyAlignment="1">
      <alignment horizontal="center" vertical="center"/>
    </xf>
    <xf numFmtId="186" fontId="0" fillId="7" borderId="43" xfId="0" applyNumberFormat="1" applyFill="1" applyBorder="1" applyAlignment="1">
      <alignment horizontal="center" vertical="center"/>
    </xf>
    <xf numFmtId="165" fontId="0" fillId="7" borderId="72" xfId="0" applyNumberFormat="1" applyFill="1" applyBorder="1" applyAlignment="1">
      <alignment horizontal="center" vertical="center"/>
    </xf>
    <xf numFmtId="166" fontId="2" fillId="27" borderId="14" xfId="0" applyNumberFormat="1" applyFont="1" applyFill="1" applyBorder="1" applyAlignment="1">
      <alignment horizontal="center" vertical="center"/>
    </xf>
    <xf numFmtId="0" fontId="0" fillId="32" borderId="2" xfId="0" applyFill="1" applyBorder="1" applyAlignment="1">
      <alignment vertical="center"/>
    </xf>
    <xf numFmtId="187" fontId="0" fillId="7" borderId="73" xfId="0" applyNumberFormat="1" applyFill="1" applyBorder="1" applyAlignment="1">
      <alignment horizontal="center" vertical="center"/>
    </xf>
    <xf numFmtId="205" fontId="0" fillId="32" borderId="2" xfId="0" applyNumberFormat="1" applyFill="1" applyBorder="1" applyAlignment="1">
      <alignment horizontal="center" vertical="center"/>
    </xf>
    <xf numFmtId="206" fontId="15" fillId="0" borderId="0" xfId="2" applyNumberFormat="1" applyFont="1" applyProtection="1">
      <protection hidden="1"/>
    </xf>
    <xf numFmtId="175" fontId="2" fillId="0" borderId="0" xfId="2" applyNumberFormat="1" applyFont="1" applyProtection="1">
      <protection locked="0"/>
    </xf>
    <xf numFmtId="186" fontId="2" fillId="30" borderId="2" xfId="0" applyNumberFormat="1" applyFont="1" applyFill="1" applyBorder="1" applyAlignment="1">
      <alignment horizontal="center" vertical="center"/>
    </xf>
    <xf numFmtId="177" fontId="2" fillId="0" borderId="0" xfId="2" applyNumberFormat="1" applyFont="1"/>
    <xf numFmtId="170" fontId="2" fillId="33" borderId="25" xfId="0" applyNumberFormat="1" applyFont="1" applyFill="1" applyBorder="1" applyAlignment="1" applyProtection="1">
      <alignment horizontal="center" vertical="center"/>
      <protection locked="0"/>
    </xf>
    <xf numFmtId="165" fontId="2" fillId="5" borderId="34" xfId="2" applyNumberFormat="1" applyFont="1" applyFill="1" applyBorder="1" applyAlignment="1">
      <alignment horizontal="center"/>
    </xf>
    <xf numFmtId="178" fontId="14" fillId="5" borderId="34" xfId="2" applyNumberFormat="1" applyFont="1" applyFill="1" applyBorder="1"/>
    <xf numFmtId="179" fontId="29" fillId="5" borderId="24" xfId="2" applyNumberFormat="1" applyFont="1" applyFill="1" applyBorder="1" applyAlignment="1" applyProtection="1">
      <alignment horizontal="center" vertical="center"/>
      <protection hidden="1"/>
    </xf>
    <xf numFmtId="0" fontId="29" fillId="5" borderId="24" xfId="2" applyFont="1" applyFill="1" applyBorder="1" applyAlignment="1" applyProtection="1">
      <alignment horizontal="center" vertical="center"/>
      <protection hidden="1"/>
    </xf>
    <xf numFmtId="2" fontId="15" fillId="0" borderId="19" xfId="2" applyNumberFormat="1" applyFont="1" applyBorder="1" applyAlignment="1" applyProtection="1">
      <alignment horizontal="center"/>
      <protection hidden="1"/>
    </xf>
    <xf numFmtId="2" fontId="15" fillId="0" borderId="20" xfId="2" applyNumberFormat="1" applyFont="1" applyBorder="1" applyAlignment="1" applyProtection="1">
      <alignment horizontal="center"/>
      <protection hidden="1"/>
    </xf>
    <xf numFmtId="2" fontId="15" fillId="0" borderId="0" xfId="2" applyNumberFormat="1" applyFont="1" applyAlignment="1" applyProtection="1">
      <alignment horizontal="center"/>
      <protection hidden="1"/>
    </xf>
    <xf numFmtId="0" fontId="2" fillId="6" borderId="24" xfId="2" applyFont="1" applyFill="1" applyBorder="1" applyAlignment="1">
      <alignment vertical="center"/>
    </xf>
    <xf numFmtId="0" fontId="2" fillId="6" borderId="24" xfId="2" applyFont="1" applyFill="1" applyBorder="1" applyAlignment="1">
      <alignment horizontal="center" vertical="center"/>
    </xf>
    <xf numFmtId="0" fontId="0" fillId="7" borderId="74" xfId="0" applyFill="1" applyBorder="1" applyAlignment="1">
      <alignment horizontal="center" vertical="center"/>
    </xf>
    <xf numFmtId="175" fontId="2" fillId="0" borderId="0" xfId="0" applyNumberFormat="1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82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6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10" borderId="2" xfId="2" applyFont="1" applyFill="1" applyBorder="1" applyAlignment="1" applyProtection="1">
      <alignment horizontal="left"/>
      <protection hidden="1"/>
    </xf>
    <xf numFmtId="0" fontId="2" fillId="10" borderId="26" xfId="2" applyFont="1" applyFill="1" applyBorder="1" applyAlignment="1" applyProtection="1">
      <alignment horizontal="left"/>
      <protection hidden="1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75" fontId="2" fillId="0" borderId="2" xfId="0" applyNumberFormat="1" applyFont="1" applyBorder="1" applyAlignment="1">
      <alignment horizontal="center" vertical="center"/>
    </xf>
    <xf numFmtId="175" fontId="2" fillId="0" borderId="2" xfId="0" applyNumberFormat="1" applyFont="1" applyBorder="1" applyAlignment="1">
      <alignment horizontal="right" vertic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left" vertical="top"/>
    </xf>
    <xf numFmtId="0" fontId="42" fillId="0" borderId="0" xfId="2" applyFont="1" applyAlignment="1">
      <alignment horizontal="center"/>
    </xf>
    <xf numFmtId="0" fontId="2" fillId="6" borderId="2" xfId="2" applyFont="1" applyFill="1" applyBorder="1" applyAlignment="1" applyProtection="1">
      <alignment horizontal="center"/>
      <protection hidden="1"/>
    </xf>
    <xf numFmtId="0" fontId="2" fillId="10" borderId="80" xfId="2" applyFont="1" applyFill="1" applyBorder="1" applyAlignment="1" applyProtection="1">
      <alignment horizontal="center"/>
      <protection hidden="1"/>
    </xf>
    <xf numFmtId="0" fontId="2" fillId="10" borderId="81" xfId="2" applyFont="1" applyFill="1" applyBorder="1" applyAlignment="1" applyProtection="1">
      <alignment horizontal="center"/>
      <protection hidden="1"/>
    </xf>
    <xf numFmtId="0" fontId="42" fillId="4" borderId="25" xfId="2" applyFont="1" applyFill="1" applyBorder="1" applyAlignment="1" applyProtection="1">
      <alignment horizontal="center"/>
      <protection locked="0"/>
    </xf>
    <xf numFmtId="0" fontId="42" fillId="4" borderId="82" xfId="2" applyFont="1" applyFill="1" applyBorder="1" applyAlignment="1" applyProtection="1">
      <alignment horizontal="center"/>
      <protection locked="0"/>
    </xf>
    <xf numFmtId="165" fontId="30" fillId="5" borderId="2" xfId="2" applyNumberFormat="1" applyFont="1" applyFill="1" applyBorder="1" applyAlignment="1">
      <alignment horizontal="center"/>
    </xf>
    <xf numFmtId="178" fontId="30" fillId="5" borderId="34" xfId="2" applyNumberFormat="1" applyFont="1" applyFill="1" applyBorder="1" applyAlignment="1">
      <alignment horizontal="center"/>
    </xf>
    <xf numFmtId="178" fontId="30" fillId="5" borderId="14" xfId="2" applyNumberFormat="1" applyFont="1" applyFill="1" applyBorder="1" applyAlignment="1">
      <alignment horizontal="center"/>
    </xf>
    <xf numFmtId="165" fontId="30" fillId="5" borderId="34" xfId="2" applyNumberFormat="1" applyFont="1" applyFill="1" applyBorder="1" applyAlignment="1">
      <alignment horizontal="center"/>
    </xf>
    <xf numFmtId="165" fontId="30" fillId="5" borderId="14" xfId="2" applyNumberFormat="1" applyFont="1" applyFill="1" applyBorder="1" applyAlignment="1">
      <alignment horizontal="center"/>
    </xf>
    <xf numFmtId="0" fontId="2" fillId="10" borderId="83" xfId="2" applyFont="1" applyFill="1" applyBorder="1" applyAlignment="1" applyProtection="1">
      <alignment horizontal="center"/>
      <protection hidden="1"/>
    </xf>
    <xf numFmtId="0" fontId="2" fillId="10" borderId="84" xfId="2" applyFont="1" applyFill="1" applyBorder="1" applyAlignment="1" applyProtection="1">
      <alignment horizontal="center"/>
      <protection hidden="1"/>
    </xf>
    <xf numFmtId="0" fontId="2" fillId="0" borderId="0" xfId="2" applyFont="1" applyAlignment="1">
      <alignment horizontal="center"/>
    </xf>
    <xf numFmtId="177" fontId="2" fillId="4" borderId="34" xfId="2" applyNumberFormat="1" applyFont="1" applyFill="1" applyBorder="1" applyAlignment="1" applyProtection="1">
      <alignment horizontal="center"/>
      <protection locked="0"/>
    </xf>
    <xf numFmtId="177" fontId="2" fillId="4" borderId="14" xfId="2" applyNumberFormat="1" applyFont="1" applyFill="1" applyBorder="1" applyAlignment="1" applyProtection="1">
      <alignment horizontal="center"/>
      <protection locked="0"/>
    </xf>
    <xf numFmtId="20" fontId="2" fillId="4" borderId="34" xfId="2" applyNumberFormat="1" applyFont="1" applyFill="1" applyBorder="1" applyAlignment="1" applyProtection="1">
      <alignment horizontal="center"/>
      <protection locked="0"/>
    </xf>
    <xf numFmtId="20" fontId="2" fillId="4" borderId="75" xfId="2" applyNumberFormat="1" applyFont="1" applyFill="1" applyBorder="1" applyAlignment="1" applyProtection="1">
      <alignment horizontal="center"/>
      <protection locked="0"/>
    </xf>
    <xf numFmtId="0" fontId="42" fillId="0" borderId="76" xfId="2" applyFont="1" applyBorder="1" applyAlignment="1">
      <alignment horizontal="left"/>
    </xf>
    <xf numFmtId="0" fontId="3" fillId="19" borderId="0" xfId="2" applyFont="1" applyFill="1" applyAlignment="1">
      <alignment horizontal="center"/>
    </xf>
    <xf numFmtId="0" fontId="2" fillId="0" borderId="0" xfId="2" applyFont="1" applyAlignment="1" applyProtection="1">
      <alignment horizontal="center"/>
      <protection hidden="1"/>
    </xf>
    <xf numFmtId="178" fontId="30" fillId="5" borderId="2" xfId="2" applyNumberFormat="1" applyFont="1" applyFill="1" applyBorder="1" applyAlignment="1">
      <alignment horizontal="center"/>
    </xf>
    <xf numFmtId="0" fontId="2" fillId="10" borderId="78" xfId="2" applyFont="1" applyFill="1" applyBorder="1" applyAlignment="1" applyProtection="1">
      <alignment horizontal="center"/>
      <protection hidden="1"/>
    </xf>
    <xf numFmtId="0" fontId="2" fillId="10" borderId="79" xfId="2" applyFont="1" applyFill="1" applyBorder="1" applyAlignment="1" applyProtection="1">
      <alignment horizontal="center"/>
      <protection hidden="1"/>
    </xf>
    <xf numFmtId="0" fontId="2" fillId="4" borderId="34" xfId="2" applyFont="1" applyFill="1" applyBorder="1" applyAlignment="1" applyProtection="1">
      <alignment horizontal="center"/>
      <protection locked="0"/>
    </xf>
    <xf numFmtId="0" fontId="2" fillId="4" borderId="75" xfId="2" applyFont="1" applyFill="1" applyBorder="1" applyAlignment="1" applyProtection="1">
      <alignment horizontal="center"/>
      <protection locked="0"/>
    </xf>
    <xf numFmtId="0" fontId="32" fillId="4" borderId="25" xfId="2" applyFont="1" applyFill="1" applyBorder="1" applyAlignment="1" applyProtection="1">
      <alignment horizontal="center" vertical="center"/>
      <protection locked="0"/>
    </xf>
    <xf numFmtId="0" fontId="32" fillId="4" borderId="2" xfId="2" applyFont="1" applyFill="1" applyBorder="1" applyAlignment="1" applyProtection="1">
      <alignment horizontal="center" vertical="center"/>
      <protection locked="0"/>
    </xf>
    <xf numFmtId="176" fontId="30" fillId="5" borderId="34" xfId="2" applyNumberFormat="1" applyFont="1" applyFill="1" applyBorder="1" applyAlignment="1">
      <alignment horizontal="center"/>
    </xf>
    <xf numFmtId="176" fontId="30" fillId="5" borderId="14" xfId="2" applyNumberFormat="1" applyFont="1" applyFill="1" applyBorder="1" applyAlignment="1">
      <alignment horizontal="center"/>
    </xf>
    <xf numFmtId="178" fontId="31" fillId="5" borderId="34" xfId="2" applyNumberFormat="1" applyFont="1" applyFill="1" applyBorder="1" applyAlignment="1">
      <alignment horizontal="center"/>
    </xf>
    <xf numFmtId="178" fontId="31" fillId="5" borderId="14" xfId="2" applyNumberFormat="1" applyFont="1" applyFill="1" applyBorder="1" applyAlignment="1">
      <alignment horizontal="center"/>
    </xf>
    <xf numFmtId="177" fontId="2" fillId="4" borderId="2" xfId="2" applyNumberFormat="1" applyFont="1" applyFill="1" applyBorder="1" applyAlignment="1" applyProtection="1">
      <alignment horizontal="center"/>
      <protection locked="0"/>
    </xf>
    <xf numFmtId="0" fontId="2" fillId="4" borderId="21" xfId="2" applyFont="1" applyFill="1" applyBorder="1" applyAlignment="1" applyProtection="1">
      <alignment horizontal="center"/>
      <protection locked="0"/>
    </xf>
    <xf numFmtId="0" fontId="2" fillId="4" borderId="77" xfId="2" applyFont="1" applyFill="1" applyBorder="1" applyAlignment="1" applyProtection="1">
      <alignment horizontal="center"/>
      <protection locked="0"/>
    </xf>
    <xf numFmtId="0" fontId="2" fillId="4" borderId="2" xfId="2" applyFont="1" applyFill="1" applyBorder="1" applyAlignment="1" applyProtection="1">
      <alignment horizontal="center"/>
      <protection locked="0"/>
    </xf>
    <xf numFmtId="0" fontId="2" fillId="4" borderId="8" xfId="2" applyFont="1" applyFill="1" applyBorder="1" applyAlignment="1" applyProtection="1">
      <alignment horizontal="center"/>
      <protection locked="0"/>
    </xf>
    <xf numFmtId="177" fontId="30" fillId="5" borderId="34" xfId="2" applyNumberFormat="1" applyFont="1" applyFill="1" applyBorder="1" applyAlignment="1" applyProtection="1">
      <alignment horizontal="center"/>
      <protection hidden="1"/>
    </xf>
    <xf numFmtId="177" fontId="30" fillId="5" borderId="14" xfId="2" applyNumberFormat="1" applyFont="1" applyFill="1" applyBorder="1" applyAlignment="1" applyProtection="1">
      <alignment horizontal="center"/>
      <protection hidden="1"/>
    </xf>
    <xf numFmtId="176" fontId="30" fillId="5" borderId="34" xfId="2" applyNumberFormat="1" applyFont="1" applyFill="1" applyBorder="1" applyAlignment="1" applyProtection="1">
      <alignment horizontal="center"/>
      <protection hidden="1"/>
    </xf>
    <xf numFmtId="176" fontId="30" fillId="5" borderId="14" xfId="2" applyNumberFormat="1" applyFont="1" applyFill="1" applyBorder="1" applyAlignment="1" applyProtection="1">
      <alignment horizontal="center"/>
      <protection hidden="1"/>
    </xf>
    <xf numFmtId="0" fontId="2" fillId="10" borderId="34" xfId="2" applyFont="1" applyFill="1" applyBorder="1" applyAlignment="1" applyProtection="1">
      <alignment horizontal="center"/>
      <protection hidden="1"/>
    </xf>
    <xf numFmtId="0" fontId="2" fillId="10" borderId="14" xfId="2" applyFont="1" applyFill="1" applyBorder="1" applyAlignment="1" applyProtection="1">
      <alignment horizontal="center"/>
      <protection hidden="1"/>
    </xf>
    <xf numFmtId="0" fontId="15" fillId="0" borderId="0" xfId="2" applyFont="1" applyAlignment="1" applyProtection="1">
      <alignment horizontal="center"/>
      <protection hidden="1"/>
    </xf>
    <xf numFmtId="0" fontId="27" fillId="6" borderId="34" xfId="2" applyFont="1" applyFill="1" applyBorder="1" applyAlignment="1" applyProtection="1">
      <alignment horizontal="center"/>
      <protection hidden="1"/>
    </xf>
    <xf numFmtId="0" fontId="27" fillId="6" borderId="14" xfId="2" applyFont="1" applyFill="1" applyBorder="1" applyAlignment="1" applyProtection="1">
      <alignment horizontal="center"/>
      <protection hidden="1"/>
    </xf>
    <xf numFmtId="0" fontId="2" fillId="10" borderId="2" xfId="2" applyFont="1" applyFill="1" applyBorder="1" applyAlignment="1" applyProtection="1">
      <alignment horizontal="center"/>
      <protection hidden="1"/>
    </xf>
    <xf numFmtId="0" fontId="30" fillId="6" borderId="2" xfId="2" applyFont="1" applyFill="1" applyBorder="1" applyAlignment="1">
      <alignment horizontal="center"/>
    </xf>
    <xf numFmtId="0" fontId="17" fillId="5" borderId="31" xfId="2" applyFont="1" applyFill="1" applyBorder="1" applyAlignment="1">
      <alignment horizontal="center" vertical="center"/>
    </xf>
    <xf numFmtId="0" fontId="17" fillId="5" borderId="32" xfId="2" applyFont="1" applyFill="1" applyBorder="1" applyAlignment="1">
      <alignment horizontal="center" vertical="center"/>
    </xf>
    <xf numFmtId="0" fontId="17" fillId="5" borderId="21" xfId="2" applyFont="1" applyFill="1" applyBorder="1" applyAlignment="1">
      <alignment horizontal="center" vertical="center"/>
    </xf>
    <xf numFmtId="0" fontId="17" fillId="5" borderId="23" xfId="2" applyFont="1" applyFill="1" applyBorder="1" applyAlignment="1">
      <alignment horizontal="center" vertical="center"/>
    </xf>
    <xf numFmtId="165" fontId="2" fillId="5" borderId="34" xfId="2" applyNumberFormat="1" applyFont="1" applyFill="1" applyBorder="1" applyAlignment="1">
      <alignment horizontal="center"/>
    </xf>
    <xf numFmtId="165" fontId="2" fillId="5" borderId="14" xfId="2" applyNumberFormat="1" applyFont="1" applyFill="1" applyBorder="1" applyAlignment="1">
      <alignment horizontal="center"/>
    </xf>
    <xf numFmtId="0" fontId="30" fillId="6" borderId="34" xfId="2" applyFont="1" applyFill="1" applyBorder="1" applyAlignment="1">
      <alignment horizontal="center"/>
    </xf>
    <xf numFmtId="0" fontId="30" fillId="6" borderId="14" xfId="2" applyFont="1" applyFill="1" applyBorder="1" applyAlignment="1">
      <alignment horizontal="center"/>
    </xf>
    <xf numFmtId="0" fontId="38" fillId="8" borderId="95" xfId="0" applyFont="1" applyFill="1" applyBorder="1" applyAlignment="1" applyProtection="1">
      <alignment horizontal="center" vertical="center"/>
      <protection hidden="1"/>
    </xf>
    <xf numFmtId="0" fontId="38" fillId="8" borderId="96" xfId="0" applyFont="1" applyFill="1" applyBorder="1" applyAlignment="1" applyProtection="1">
      <alignment horizontal="center" vertical="center"/>
      <protection hidden="1"/>
    </xf>
    <xf numFmtId="0" fontId="2" fillId="8" borderId="97" xfId="0" applyFont="1" applyFill="1" applyBorder="1" applyAlignment="1" applyProtection="1">
      <alignment horizontal="center" vertical="center"/>
      <protection hidden="1"/>
    </xf>
    <xf numFmtId="0" fontId="11" fillId="8" borderId="15" xfId="0" applyFont="1" applyFill="1" applyBorder="1" applyAlignment="1" applyProtection="1">
      <alignment horizontal="center" vertical="center"/>
      <protection hidden="1"/>
    </xf>
    <xf numFmtId="0" fontId="38" fillId="8" borderId="98" xfId="0" applyFont="1" applyFill="1" applyBorder="1" applyAlignment="1" applyProtection="1">
      <alignment horizontal="center" vertical="center"/>
      <protection hidden="1"/>
    </xf>
    <xf numFmtId="0" fontId="38" fillId="8" borderId="91" xfId="0" applyFont="1" applyFill="1" applyBorder="1" applyAlignment="1" applyProtection="1">
      <alignment horizontal="center" vertical="center"/>
      <protection hidden="1"/>
    </xf>
    <xf numFmtId="0" fontId="14" fillId="8" borderId="15" xfId="0" applyFont="1" applyFill="1" applyBorder="1" applyAlignment="1" applyProtection="1">
      <alignment horizontal="center" vertical="center"/>
      <protection hidden="1"/>
    </xf>
    <xf numFmtId="0" fontId="12" fillId="8" borderId="17" xfId="0" applyFont="1" applyFill="1" applyBorder="1" applyAlignment="1" applyProtection="1">
      <alignment horizontal="center" vertical="center"/>
      <protection hidden="1"/>
    </xf>
    <xf numFmtId="0" fontId="12" fillId="8" borderId="16" xfId="0" applyFont="1" applyFill="1" applyBorder="1" applyAlignment="1" applyProtection="1">
      <alignment horizontal="center" vertical="center"/>
      <protection hidden="1"/>
    </xf>
    <xf numFmtId="0" fontId="2" fillId="13" borderId="92" xfId="0" applyFont="1" applyFill="1" applyBorder="1" applyAlignment="1" applyProtection="1">
      <alignment horizontal="center" vertical="center"/>
      <protection locked="0"/>
    </xf>
    <xf numFmtId="0" fontId="2" fillId="13" borderId="93" xfId="0" applyFont="1" applyFill="1" applyBorder="1" applyAlignment="1" applyProtection="1">
      <alignment horizontal="center" vertical="center"/>
      <protection locked="0"/>
    </xf>
    <xf numFmtId="164" fontId="2" fillId="13" borderId="46" xfId="0" applyNumberFormat="1" applyFont="1" applyFill="1" applyBorder="1" applyAlignment="1">
      <alignment horizontal="center" vertical="center"/>
    </xf>
    <xf numFmtId="168" fontId="2" fillId="13" borderId="15" xfId="0" applyNumberFormat="1" applyFont="1" applyFill="1" applyBorder="1" applyAlignment="1" applyProtection="1">
      <alignment horizontal="center" vertical="center"/>
      <protection locked="0"/>
    </xf>
    <xf numFmtId="167" fontId="2" fillId="13" borderId="15" xfId="0" applyNumberFormat="1" applyFont="1" applyFill="1" applyBorder="1" applyAlignment="1" applyProtection="1">
      <alignment horizontal="center" vertical="center"/>
      <protection locked="0"/>
    </xf>
    <xf numFmtId="0" fontId="2" fillId="13" borderId="94" xfId="0" applyFont="1" applyFill="1" applyBorder="1" applyAlignment="1">
      <alignment horizontal="center"/>
    </xf>
    <xf numFmtId="0" fontId="2" fillId="13" borderId="93" xfId="0" applyFont="1" applyFill="1" applyBorder="1" applyAlignment="1">
      <alignment horizontal="center"/>
    </xf>
    <xf numFmtId="0" fontId="2" fillId="12" borderId="15" xfId="0" applyFont="1" applyFill="1" applyBorder="1" applyAlignment="1" applyProtection="1">
      <alignment horizontal="center"/>
      <protection hidden="1"/>
    </xf>
    <xf numFmtId="166" fontId="2" fillId="17" borderId="46" xfId="0" applyNumberFormat="1" applyFont="1" applyFill="1" applyBorder="1" applyAlignment="1">
      <alignment horizontal="center" vertical="center"/>
    </xf>
    <xf numFmtId="0" fontId="2" fillId="12" borderId="66" xfId="0" applyFont="1" applyFill="1" applyBorder="1" applyAlignment="1" applyProtection="1">
      <alignment horizontal="center"/>
      <protection hidden="1"/>
    </xf>
    <xf numFmtId="0" fontId="2" fillId="12" borderId="86" xfId="0" applyFont="1" applyFill="1" applyBorder="1" applyAlignment="1" applyProtection="1">
      <alignment horizontal="center"/>
      <protection hidden="1"/>
    </xf>
    <xf numFmtId="0" fontId="11" fillId="8" borderId="87" xfId="0" applyFont="1" applyFill="1" applyBorder="1" applyAlignment="1" applyProtection="1">
      <alignment horizontal="center" vertical="center"/>
      <protection hidden="1"/>
    </xf>
    <xf numFmtId="0" fontId="11" fillId="8" borderId="68" xfId="0" applyFont="1" applyFill="1" applyBorder="1" applyAlignment="1" applyProtection="1">
      <alignment horizontal="center" vertical="center"/>
      <protection hidden="1"/>
    </xf>
    <xf numFmtId="0" fontId="12" fillId="8" borderId="88" xfId="0" applyFont="1" applyFill="1" applyBorder="1" applyAlignment="1" applyProtection="1">
      <alignment horizontal="center" vertical="center"/>
      <protection hidden="1"/>
    </xf>
    <xf numFmtId="0" fontId="11" fillId="8" borderId="89" xfId="0" applyFont="1" applyFill="1" applyBorder="1" applyAlignment="1" applyProtection="1">
      <alignment horizontal="center" vertical="center"/>
      <protection hidden="1"/>
    </xf>
    <xf numFmtId="0" fontId="38" fillId="8" borderId="90" xfId="0" applyFont="1" applyFill="1" applyBorder="1" applyAlignment="1" applyProtection="1">
      <alignment horizontal="center" vertical="center"/>
      <protection hidden="1"/>
    </xf>
    <xf numFmtId="0" fontId="2" fillId="4" borderId="34" xfId="2" applyFont="1" applyFill="1" applyBorder="1" applyAlignment="1" applyProtection="1">
      <alignment horizontal="center" vertical="center"/>
      <protection locked="0"/>
    </xf>
    <xf numFmtId="0" fontId="2" fillId="4" borderId="14" xfId="2" applyFont="1" applyFill="1" applyBorder="1" applyAlignment="1" applyProtection="1">
      <alignment horizontal="center" vertical="center"/>
      <protection locked="0"/>
    </xf>
    <xf numFmtId="0" fontId="14" fillId="8" borderId="85" xfId="0" applyFont="1" applyFill="1" applyBorder="1" applyAlignment="1" applyProtection="1">
      <alignment horizontal="center" vertical="center"/>
      <protection hidden="1"/>
    </xf>
    <xf numFmtId="0" fontId="14" fillId="8" borderId="43" xfId="0" applyFont="1" applyFill="1" applyBorder="1" applyAlignment="1" applyProtection="1">
      <alignment horizontal="center" vertical="center"/>
      <protection hidden="1"/>
    </xf>
    <xf numFmtId="0" fontId="2" fillId="10" borderId="2" xfId="2" applyFont="1" applyFill="1" applyBorder="1" applyAlignment="1" applyProtection="1">
      <alignment horizontal="center" vertical="center"/>
      <protection hidden="1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4" borderId="2" xfId="2" applyFont="1" applyFill="1" applyBorder="1" applyAlignment="1" applyProtection="1">
      <alignment horizontal="center" vertical="center"/>
      <protection locked="0"/>
    </xf>
    <xf numFmtId="0" fontId="3" fillId="20" borderId="0" xfId="0" applyFont="1" applyFill="1" applyAlignment="1">
      <alignment horizontal="center"/>
    </xf>
    <xf numFmtId="0" fontId="32" fillId="13" borderId="1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0" fillId="30" borderId="19" xfId="0" applyFill="1" applyBorder="1" applyAlignment="1">
      <alignment horizontal="center"/>
    </xf>
    <xf numFmtId="0" fontId="0" fillId="30" borderId="20" xfId="0" applyFill="1" applyBorder="1" applyAlignment="1">
      <alignment horizontal="center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20" xfId="0" applyFill="1" applyBorder="1" applyAlignment="1" applyProtection="1">
      <alignment horizontal="center"/>
      <protection locked="0"/>
    </xf>
    <xf numFmtId="0" fontId="0" fillId="30" borderId="21" xfId="0" applyFill="1" applyBorder="1" applyAlignment="1">
      <alignment horizontal="center"/>
    </xf>
    <xf numFmtId="0" fontId="0" fillId="30" borderId="23" xfId="0" applyFill="1" applyBorder="1" applyAlignment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30" borderId="21" xfId="0" applyFill="1" applyBorder="1" applyAlignment="1" applyProtection="1">
      <alignment horizontal="center"/>
      <protection locked="0"/>
    </xf>
    <xf numFmtId="0" fontId="0" fillId="30" borderId="23" xfId="0" applyFill="1" applyBorder="1" applyAlignment="1" applyProtection="1">
      <alignment horizontal="center"/>
      <protection locked="0"/>
    </xf>
    <xf numFmtId="0" fontId="0" fillId="28" borderId="31" xfId="0" applyFill="1" applyBorder="1" applyAlignment="1">
      <alignment horizontal="center"/>
    </xf>
    <xf numFmtId="0" fontId="0" fillId="28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30" borderId="19" xfId="0" applyFill="1" applyBorder="1" applyAlignment="1" applyProtection="1">
      <alignment horizontal="center"/>
      <protection locked="0"/>
    </xf>
    <xf numFmtId="0" fontId="0" fillId="30" borderId="20" xfId="0" applyFill="1" applyBorder="1" applyAlignment="1" applyProtection="1">
      <alignment horizontal="center"/>
      <protection locked="0"/>
    </xf>
    <xf numFmtId="2" fontId="0" fillId="22" borderId="53" xfId="0" applyNumberFormat="1" applyFill="1" applyBorder="1" applyAlignment="1">
      <alignment horizontal="center"/>
    </xf>
    <xf numFmtId="2" fontId="0" fillId="22" borderId="65" xfId="0" applyNumberFormat="1" applyFill="1" applyBorder="1" applyAlignment="1">
      <alignment horizontal="center"/>
    </xf>
    <xf numFmtId="2" fontId="0" fillId="22" borderId="11" xfId="0" applyNumberFormat="1" applyFill="1" applyBorder="1" applyAlignment="1">
      <alignment horizontal="center"/>
    </xf>
    <xf numFmtId="2" fontId="0" fillId="22" borderId="54" xfId="0" applyNumberFormat="1" applyFill="1" applyBorder="1" applyAlignment="1">
      <alignment horizontal="center"/>
    </xf>
    <xf numFmtId="0" fontId="0" fillId="22" borderId="99" xfId="0" applyFill="1" applyBorder="1" applyAlignment="1">
      <alignment horizontal="center"/>
    </xf>
    <xf numFmtId="0" fontId="0" fillId="22" borderId="100" xfId="0" applyFill="1" applyBorder="1" applyAlignment="1">
      <alignment horizontal="center"/>
    </xf>
    <xf numFmtId="0" fontId="0" fillId="22" borderId="101" xfId="0" applyFill="1" applyBorder="1" applyAlignment="1">
      <alignment horizontal="center"/>
    </xf>
    <xf numFmtId="2" fontId="0" fillId="22" borderId="52" xfId="0" applyNumberFormat="1" applyFill="1" applyBorder="1" applyAlignment="1">
      <alignment horizontal="center"/>
    </xf>
    <xf numFmtId="194" fontId="2" fillId="13" borderId="46" xfId="0" applyNumberFormat="1" applyFont="1" applyFill="1" applyBorder="1" applyAlignment="1">
      <alignment horizontal="center" vertical="center"/>
    </xf>
    <xf numFmtId="195" fontId="2" fillId="17" borderId="15" xfId="0" applyNumberFormat="1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46" xfId="0" applyFont="1" applyFill="1" applyBorder="1" applyAlignment="1">
      <alignment horizontal="center" vertical="center"/>
    </xf>
    <xf numFmtId="165" fontId="2" fillId="0" borderId="33" xfId="0" applyNumberFormat="1" applyFont="1" applyBorder="1" applyAlignment="1">
      <alignment horizontal="center" vertical="center"/>
    </xf>
    <xf numFmtId="165" fontId="2" fillId="0" borderId="32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5" fontId="2" fillId="0" borderId="22" xfId="0" applyNumberFormat="1" applyFont="1" applyBorder="1" applyAlignment="1">
      <alignment horizontal="center" vertical="center"/>
    </xf>
    <xf numFmtId="175" fontId="2" fillId="0" borderId="23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165" fontId="2" fillId="0" borderId="12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</cellXfs>
  <cellStyles count="3">
    <cellStyle name="Lien hypertexte" xfId="1" builtinId="8"/>
    <cellStyle name="Normal" xfId="0" builtinId="0"/>
    <cellStyle name="Normal 2" xfId="2" xr:uid="{84631061-BD5E-FA4B-A480-657850535639}"/>
  </cellStyles>
  <dxfs count="54"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fgColor indexed="42"/>
          <bgColor rgb="FFFFFFCC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7"/>
          <bgColor rgb="FFFFCCFF"/>
        </patternFill>
      </fill>
    </dxf>
    <dxf>
      <font>
        <color rgb="FFFF0000"/>
      </font>
    </dxf>
    <dxf>
      <font>
        <color rgb="FF808080"/>
      </font>
    </dxf>
    <dxf>
      <fill>
        <patternFill>
          <bgColor indexed="10"/>
        </patternFill>
      </fill>
    </dxf>
    <dxf>
      <fill>
        <patternFill patternType="solid">
          <fgColor indexed="53"/>
          <bgColor rgb="FFFF0000"/>
        </patternFill>
      </fill>
    </dxf>
    <dxf>
      <fill>
        <patternFill patternType="solid">
          <fgColor indexed="60"/>
          <bgColor indexed="10"/>
        </patternFill>
      </fill>
    </dxf>
    <dxf>
      <fill>
        <patternFill>
          <bgColor rgb="FFFF0000"/>
        </patternFill>
      </fill>
    </dxf>
    <dxf>
      <font>
        <color rgb="FFCCFFFF"/>
      </font>
    </dxf>
    <dxf>
      <font>
        <color rgb="FFCC6600"/>
      </font>
    </dxf>
    <dxf>
      <font>
        <color rgb="FFCC6600"/>
      </font>
    </dxf>
    <dxf>
      <fill>
        <patternFill>
          <bgColor rgb="FFFF0000"/>
        </patternFill>
      </fill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bottom/>
      </border>
    </dxf>
    <dxf>
      <font>
        <color rgb="FF99CCFF"/>
      </font>
    </dxf>
    <dxf>
      <fill>
        <patternFill>
          <bgColor indexed="10"/>
        </patternFill>
      </fill>
    </dxf>
    <dxf>
      <font>
        <color theme="0"/>
      </font>
      <fill>
        <patternFill>
          <bgColor theme="0"/>
        </patternFill>
      </fill>
      <border>
        <right/>
        <top/>
        <bottom/>
      </border>
    </dxf>
    <dxf>
      <font>
        <color indexed="9"/>
      </font>
      <fill>
        <patternFill patternType="solid">
          <bgColor indexed="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solid">
          <bgColor theme="0"/>
        </patternFill>
      </fill>
      <border>
        <right/>
        <bottom/>
      </border>
    </dxf>
    <dxf>
      <fill>
        <patternFill patternType="solid">
          <fgColor indexed="60"/>
          <bgColor indexed="10"/>
        </patternFill>
      </fill>
    </dxf>
    <dxf>
      <font>
        <color rgb="FFFFFF99"/>
        <name val="Cambria"/>
        <scheme val="none"/>
      </font>
    </dxf>
    <dxf>
      <font>
        <color rgb="FFFFCC99"/>
      </font>
    </dxf>
    <dxf>
      <font>
        <color rgb="FF808080"/>
      </font>
    </dxf>
    <dxf>
      <font>
        <color theme="0"/>
      </font>
      <fill>
        <patternFill>
          <bgColor theme="0"/>
        </patternFill>
      </fill>
      <border>
        <left/>
        <right/>
        <bottom/>
      </border>
    </dxf>
    <dxf>
      <font>
        <color rgb="FFFF0000"/>
      </font>
    </dxf>
    <dxf>
      <font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theme="1"/>
      </font>
    </dxf>
    <dxf>
      <font>
        <color rgb="FFCC6600"/>
      </font>
    </dxf>
    <dxf>
      <font>
        <color rgb="FFFF0000"/>
      </font>
    </dxf>
    <dxf>
      <font>
        <color rgb="FFCC6600"/>
      </font>
    </dxf>
    <dxf>
      <font>
        <color theme="0"/>
      </font>
      <fill>
        <patternFill patternType="none">
          <bgColor indexed="65"/>
        </patternFill>
      </fill>
      <border>
        <left/>
        <right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3CAFF"/>
      <rgbColor rgb="00993366"/>
      <rgbColor rgb="00E6E6E6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970566137003713E-2"/>
          <c:y val="6.4690026954178165E-2"/>
          <c:w val="0.84871001627006726"/>
          <c:h val="0.90566037735849292"/>
        </c:manualLayout>
      </c:layout>
      <c:scatterChart>
        <c:scatterStyle val="lineMarker"/>
        <c:varyColors val="0"/>
        <c:ser>
          <c:idx val="0"/>
          <c:order val="0"/>
          <c:tx>
            <c:v>fuselage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Stabilito!$D$124:$D$131</c:f>
              <c:numCache>
                <c:formatCode>0</c:formatCode>
                <c:ptCount val="8"/>
                <c:pt idx="0">
                  <c:v>0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0</c:v>
                </c:pt>
              </c:numCache>
            </c:numRef>
          </c:xVal>
          <c:yVal>
            <c:numRef>
              <c:f>Stabilito!$C$124:$C$131</c:f>
              <c:numCache>
                <c:formatCode>0</c:formatCode>
                <c:ptCount val="8"/>
                <c:pt idx="0">
                  <c:v>-200</c:v>
                </c:pt>
                <c:pt idx="1">
                  <c:v>-200</c:v>
                </c:pt>
                <c:pt idx="2">
                  <c:v>-200</c:v>
                </c:pt>
                <c:pt idx="3">
                  <c:v>-200</c:v>
                </c:pt>
                <c:pt idx="4">
                  <c:v>-850</c:v>
                </c:pt>
                <c:pt idx="5">
                  <c:v>-900</c:v>
                </c:pt>
                <c:pt idx="6">
                  <c:v>-900</c:v>
                </c:pt>
                <c:pt idx="7">
                  <c:v>-900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E-8D4F-A848-A4470DE867AA}"/>
            </c:ext>
          </c:extLst>
        </c:ser>
        <c:ser>
          <c:idx val="1"/>
          <c:order val="1"/>
          <c:tx>
            <c:v>aileron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Stabilito!$D$132:$D$136</c:f>
              <c:numCache>
                <c:formatCode>0</c:formatCode>
                <c:ptCount val="5"/>
                <c:pt idx="0">
                  <c:v>32</c:v>
                </c:pt>
                <c:pt idx="1">
                  <c:v>142</c:v>
                </c:pt>
                <c:pt idx="2">
                  <c:v>142</c:v>
                </c:pt>
                <c:pt idx="3">
                  <c:v>32</c:v>
                </c:pt>
                <c:pt idx="4">
                  <c:v>32</c:v>
                </c:pt>
              </c:numCache>
            </c:numRef>
          </c:xVal>
          <c:yVal>
            <c:numRef>
              <c:f>Stabilito!$C$132:$C$136</c:f>
              <c:numCache>
                <c:formatCode>0</c:formatCode>
                <c:ptCount val="5"/>
                <c:pt idx="0">
                  <c:v>-720</c:v>
                </c:pt>
                <c:pt idx="1">
                  <c:v>-850</c:v>
                </c:pt>
                <c:pt idx="2">
                  <c:v>-920</c:v>
                </c:pt>
                <c:pt idx="3">
                  <c:v>-850</c:v>
                </c:pt>
                <c:pt idx="4">
                  <c:v>-720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5E-8D4F-A848-A4470DE867AA}"/>
            </c:ext>
          </c:extLst>
        </c:ser>
        <c:ser>
          <c:idx val="2"/>
          <c:order val="2"/>
          <c:tx>
            <c:v>fuselage2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Stabilito!$E$124:$E$131</c:f>
              <c:numCache>
                <c:formatCode>0</c:formatCode>
                <c:ptCount val="8"/>
                <c:pt idx="0">
                  <c:v>0</c:v>
                </c:pt>
                <c:pt idx="1">
                  <c:v>-42</c:v>
                </c:pt>
                <c:pt idx="2">
                  <c:v>-42</c:v>
                </c:pt>
                <c:pt idx="3">
                  <c:v>-42</c:v>
                </c:pt>
                <c:pt idx="4">
                  <c:v>-42</c:v>
                </c:pt>
                <c:pt idx="5">
                  <c:v>-42</c:v>
                </c:pt>
                <c:pt idx="6">
                  <c:v>-42</c:v>
                </c:pt>
                <c:pt idx="7">
                  <c:v>0</c:v>
                </c:pt>
              </c:numCache>
            </c:numRef>
          </c:xVal>
          <c:yVal>
            <c:numRef>
              <c:f>Stabilito!$C$124:$C$131</c:f>
              <c:numCache>
                <c:formatCode>0</c:formatCode>
                <c:ptCount val="8"/>
                <c:pt idx="0">
                  <c:v>-200</c:v>
                </c:pt>
                <c:pt idx="1">
                  <c:v>-200</c:v>
                </c:pt>
                <c:pt idx="2">
                  <c:v>-200</c:v>
                </c:pt>
                <c:pt idx="3">
                  <c:v>-200</c:v>
                </c:pt>
                <c:pt idx="4">
                  <c:v>-850</c:v>
                </c:pt>
                <c:pt idx="5">
                  <c:v>-900</c:v>
                </c:pt>
                <c:pt idx="6">
                  <c:v>-900</c:v>
                </c:pt>
                <c:pt idx="7">
                  <c:v>-900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5E-8D4F-A848-A4470DE867AA}"/>
            </c:ext>
          </c:extLst>
        </c:ser>
        <c:ser>
          <c:idx val="3"/>
          <c:order val="3"/>
          <c:tx>
            <c:v>aileron2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Stabilito!$E$132:$E$136</c:f>
              <c:numCache>
                <c:formatCode>0</c:formatCode>
                <c:ptCount val="5"/>
                <c:pt idx="0">
                  <c:v>-32</c:v>
                </c:pt>
                <c:pt idx="1">
                  <c:v>-142</c:v>
                </c:pt>
                <c:pt idx="2">
                  <c:v>-142</c:v>
                </c:pt>
                <c:pt idx="3">
                  <c:v>-32</c:v>
                </c:pt>
                <c:pt idx="4">
                  <c:v>-32</c:v>
                </c:pt>
              </c:numCache>
            </c:numRef>
          </c:xVal>
          <c:yVal>
            <c:numRef>
              <c:f>Stabilito!$C$132:$C$136</c:f>
              <c:numCache>
                <c:formatCode>0</c:formatCode>
                <c:ptCount val="5"/>
                <c:pt idx="0">
                  <c:v>-720</c:v>
                </c:pt>
                <c:pt idx="1">
                  <c:v>-850</c:v>
                </c:pt>
                <c:pt idx="2">
                  <c:v>-920</c:v>
                </c:pt>
                <c:pt idx="3">
                  <c:v>-850</c:v>
                </c:pt>
                <c:pt idx="4">
                  <c:v>-720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5E-8D4F-A848-A4470DE867AA}"/>
            </c:ext>
          </c:extLst>
        </c:ser>
        <c:ser>
          <c:idx val="4"/>
          <c:order val="4"/>
          <c:tx>
            <c:strRef>
              <c:f>Stabilito!$B$12</c:f>
              <c:strCache>
                <c:ptCount val="1"/>
                <c:pt idx="0">
                  <c:v>Centre de Masse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Stabilito!$D$149:$D$150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Stabilito!$C$149:$C$150</c:f>
              <c:numCache>
                <c:formatCode>0</c:formatCode>
                <c:ptCount val="2"/>
                <c:pt idx="0">
                  <c:v>-517.47136441501925</c:v>
                </c:pt>
                <c:pt idx="1">
                  <c:v>-509.54507508516048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5E-8D4F-A848-A4470DE867AA}"/>
            </c:ext>
          </c:extLst>
        </c:ser>
        <c:ser>
          <c:idx val="5"/>
          <c:order val="5"/>
          <c:tx>
            <c:strRef>
              <c:f>Stabilito!$F$28</c:f>
              <c:strCache>
                <c:ptCount val="1"/>
                <c:pt idx="0">
                  <c:v>Portance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8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Stabilito!$D$151:$D$154</c:f>
              <c:numCache>
                <c:formatCode>0</c:formatCode>
                <c:ptCount val="4"/>
                <c:pt idx="0">
                  <c:v>0</c:v>
                </c:pt>
                <c:pt idx="1">
                  <c:v>78.642733725783302</c:v>
                </c:pt>
                <c:pt idx="2">
                  <c:v>78.642733725783302</c:v>
                </c:pt>
                <c:pt idx="3">
                  <c:v>0</c:v>
                </c:pt>
              </c:numCache>
            </c:numRef>
          </c:xVal>
          <c:yVal>
            <c:numRef>
              <c:f>Stabilito!$C$151:$C$154</c:f>
              <c:numCache>
                <c:formatCode>0</c:formatCode>
                <c:ptCount val="4"/>
                <c:pt idx="0">
                  <c:v>-708.70059180078977</c:v>
                </c:pt>
                <c:pt idx="1">
                  <c:v>-708.70059180078977</c:v>
                </c:pt>
                <c:pt idx="2">
                  <c:v>-708.70059180078977</c:v>
                </c:pt>
                <c:pt idx="3">
                  <c:v>-708.70059180078977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5E-8D4F-A848-A4470DE867AA}"/>
            </c:ext>
          </c:extLst>
        </c:ser>
        <c:ser>
          <c:idx val="6"/>
          <c:order val="6"/>
          <c:tx>
            <c:v>canard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Stabilito!$D$158:$D$162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Stabilito!$C$158:$C$162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5E-8D4F-A848-A4470DE867AA}"/>
            </c:ext>
          </c:extLst>
        </c:ser>
        <c:ser>
          <c:idx val="7"/>
          <c:order val="7"/>
          <c:tx>
            <c:v>canard2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Stabilito!$E$158:$E$162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Stabilito!$C$158:$C$162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5E-8D4F-A848-A4470DE867AA}"/>
            </c:ext>
          </c:extLst>
        </c:ser>
        <c:ser>
          <c:idx val="8"/>
          <c:order val="8"/>
          <c:tx>
            <c:v>masquage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Stabilito!$D$163:$D$167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Stabilito!$C$163:$C$167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C5E-8D4F-A848-A4470DE867AA}"/>
            </c:ext>
          </c:extLst>
        </c:ser>
        <c:ser>
          <c:idx val="9"/>
          <c:order val="9"/>
          <c:tx>
            <c:v>masquage2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Stabilito!$E$163:$E$167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Stabilito!$C$163:$C$167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C5E-8D4F-A848-A4470DE867AA}"/>
            </c:ext>
          </c:extLst>
        </c:ser>
        <c:ser>
          <c:idx val="10"/>
          <c:order val="10"/>
          <c:tx>
            <c:v>cadre</c:v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none"/>
          </c:marker>
          <c:xVal>
            <c:numRef>
              <c:f>Stabilito!$D$168:$D$169</c:f>
              <c:numCache>
                <c:formatCode>0</c:formatCode>
                <c:ptCount val="2"/>
                <c:pt idx="0">
                  <c:v>300</c:v>
                </c:pt>
                <c:pt idx="1">
                  <c:v>-300</c:v>
                </c:pt>
              </c:numCache>
            </c:numRef>
          </c:xVal>
          <c:yVal>
            <c:numRef>
              <c:f>Stabilito!$C$168:$C$169</c:f>
              <c:numCache>
                <c:formatCode>0</c:formatCode>
                <c:ptCount val="2"/>
                <c:pt idx="0">
                  <c:v>-929.2</c:v>
                </c:pt>
                <c:pt idx="1">
                  <c:v>-929.2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C5E-8D4F-A848-A4470DE867AA}"/>
            </c:ext>
          </c:extLst>
        </c:ser>
        <c:ser>
          <c:idx val="11"/>
          <c:order val="11"/>
          <c:tx>
            <c:v>Propu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Stabilito!$D$170:$D$174</c:f>
              <c:numCache>
                <c:formatCode>0</c:formatCode>
                <c:ptCount val="5"/>
                <c:pt idx="0">
                  <c:v>-12</c:v>
                </c:pt>
                <c:pt idx="1">
                  <c:v>12</c:v>
                </c:pt>
                <c:pt idx="2">
                  <c:v>12</c:v>
                </c:pt>
                <c:pt idx="3">
                  <c:v>-12</c:v>
                </c:pt>
                <c:pt idx="4">
                  <c:v>-12</c:v>
                </c:pt>
              </c:numCache>
            </c:numRef>
          </c:xVal>
          <c:yVal>
            <c:numRef>
              <c:f>Stabilito!$C$170:$C$174</c:f>
              <c:numCache>
                <c:formatCode>0</c:formatCode>
                <c:ptCount val="5"/>
                <c:pt idx="0">
                  <c:v>-622</c:v>
                </c:pt>
                <c:pt idx="1">
                  <c:v>-622</c:v>
                </c:pt>
                <c:pt idx="2">
                  <c:v>-850</c:v>
                </c:pt>
                <c:pt idx="3">
                  <c:v>-850</c:v>
                </c:pt>
                <c:pt idx="4">
                  <c:v>-622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C5E-8D4F-A848-A4470DE867AA}"/>
            </c:ext>
          </c:extLst>
        </c:ser>
        <c:ser>
          <c:idx val="12"/>
          <c:order val="12"/>
          <c:tx>
            <c:v>Cone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Stabilito!$D$175:$D$180</c:f>
              <c:numCache>
                <c:formatCode>0</c:formatCode>
                <c:ptCount val="6"/>
                <c:pt idx="0">
                  <c:v>0</c:v>
                </c:pt>
                <c:pt idx="1">
                  <c:v>4.2</c:v>
                </c:pt>
                <c:pt idx="2">
                  <c:v>10.5</c:v>
                </c:pt>
                <c:pt idx="3">
                  <c:v>21</c:v>
                </c:pt>
                <c:pt idx="4">
                  <c:v>31.5</c:v>
                </c:pt>
                <c:pt idx="5">
                  <c:v>42</c:v>
                </c:pt>
              </c:numCache>
            </c:numRef>
          </c:xVal>
          <c:yVal>
            <c:numRef>
              <c:f>Stabilito!$C$175:$C$180</c:f>
              <c:numCache>
                <c:formatCode>0</c:formatCode>
                <c:ptCount val="6"/>
                <c:pt idx="0">
                  <c:v>0</c:v>
                </c:pt>
                <c:pt idx="1">
                  <c:v>-20</c:v>
                </c:pt>
                <c:pt idx="2">
                  <c:v>-50</c:v>
                </c:pt>
                <c:pt idx="3">
                  <c:v>-100</c:v>
                </c:pt>
                <c:pt idx="4">
                  <c:v>-150</c:v>
                </c:pt>
                <c:pt idx="5">
                  <c:v>-200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C5E-8D4F-A848-A4470DE867AA}"/>
            </c:ext>
          </c:extLst>
        </c:ser>
        <c:ser>
          <c:idx val="13"/>
          <c:order val="13"/>
          <c:tx>
            <c:v>Cone1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Stabilito!$E$175:$E$180</c:f>
              <c:numCache>
                <c:formatCode>0</c:formatCode>
                <c:ptCount val="6"/>
                <c:pt idx="0">
                  <c:v>0</c:v>
                </c:pt>
                <c:pt idx="1">
                  <c:v>-4.2</c:v>
                </c:pt>
                <c:pt idx="2">
                  <c:v>-10.5</c:v>
                </c:pt>
                <c:pt idx="3">
                  <c:v>-21</c:v>
                </c:pt>
                <c:pt idx="4">
                  <c:v>-31.5</c:v>
                </c:pt>
                <c:pt idx="5">
                  <c:v>-42</c:v>
                </c:pt>
              </c:numCache>
            </c:numRef>
          </c:xVal>
          <c:yVal>
            <c:numRef>
              <c:f>Stabilito!$C$175:$C$180</c:f>
              <c:numCache>
                <c:formatCode>0</c:formatCode>
                <c:ptCount val="6"/>
                <c:pt idx="0">
                  <c:v>0</c:v>
                </c:pt>
                <c:pt idx="1">
                  <c:v>-20</c:v>
                </c:pt>
                <c:pt idx="2">
                  <c:v>-50</c:v>
                </c:pt>
                <c:pt idx="3">
                  <c:v>-100</c:v>
                </c:pt>
                <c:pt idx="4">
                  <c:v>-150</c:v>
                </c:pt>
                <c:pt idx="5">
                  <c:v>-200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C5E-8D4F-A848-A4470DE867AA}"/>
            </c:ext>
          </c:extLst>
        </c:ser>
        <c:ser>
          <c:idx val="14"/>
          <c:order val="14"/>
          <c:tx>
            <c:strRef>
              <c:f>Stabilito!$B$137</c:f>
              <c:strCache>
                <c:ptCount val="1"/>
                <c:pt idx="0">
                  <c:v>Envergure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Stabilito!$D$137:$D$139</c:f>
              <c:numCache>
                <c:formatCode>0</c:formatCode>
                <c:ptCount val="3"/>
                <c:pt idx="0">
                  <c:v>-142</c:v>
                </c:pt>
                <c:pt idx="1">
                  <c:v>-87</c:v>
                </c:pt>
                <c:pt idx="2">
                  <c:v>-32</c:v>
                </c:pt>
              </c:numCache>
            </c:numRef>
          </c:xVal>
          <c:yVal>
            <c:numRef>
              <c:f>Stabilito!$C$137:$C$139</c:f>
              <c:numCache>
                <c:formatCode>0</c:formatCode>
                <c:ptCount val="3"/>
                <c:pt idx="0">
                  <c:v>-950</c:v>
                </c:pt>
                <c:pt idx="1">
                  <c:v>-950</c:v>
                </c:pt>
                <c:pt idx="2">
                  <c:v>-950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C5E-8D4F-A848-A4470DE867AA}"/>
            </c:ext>
          </c:extLst>
        </c:ser>
        <c:ser>
          <c:idx val="15"/>
          <c:order val="15"/>
          <c:tx>
            <c:strRef>
              <c:f>Stabilito!$B$143</c:f>
              <c:strCache>
                <c:ptCount val="1"/>
                <c:pt idx="0">
                  <c:v>Flèche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Stabilito!$D$143:$D$145</c:f>
              <c:numCache>
                <c:formatCode>0</c:formatCode>
                <c:ptCount val="3"/>
                <c:pt idx="0">
                  <c:v>-172</c:v>
                </c:pt>
                <c:pt idx="1">
                  <c:v>-172</c:v>
                </c:pt>
                <c:pt idx="2">
                  <c:v>-172</c:v>
                </c:pt>
              </c:numCache>
            </c:numRef>
          </c:xVal>
          <c:yVal>
            <c:numRef>
              <c:f>Stabilito!$C$143:$C$145</c:f>
              <c:numCache>
                <c:formatCode>0</c:formatCode>
                <c:ptCount val="3"/>
                <c:pt idx="0">
                  <c:v>-720</c:v>
                </c:pt>
                <c:pt idx="1">
                  <c:v>-785</c:v>
                </c:pt>
                <c:pt idx="2">
                  <c:v>-850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C5E-8D4F-A848-A4470DE867AA}"/>
            </c:ext>
          </c:extLst>
        </c:ser>
        <c:ser>
          <c:idx val="16"/>
          <c:order val="16"/>
          <c:tx>
            <c:strRef>
              <c:f>Stabilito!$B$146</c:f>
              <c:strCache>
                <c:ptCount val="1"/>
                <c:pt idx="0">
                  <c:v>Saumon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Stabilito!$D$146:$D$148</c:f>
              <c:numCache>
                <c:formatCode>0</c:formatCode>
                <c:ptCount val="3"/>
                <c:pt idx="0">
                  <c:v>-187</c:v>
                </c:pt>
                <c:pt idx="1">
                  <c:v>-187</c:v>
                </c:pt>
                <c:pt idx="2">
                  <c:v>-187</c:v>
                </c:pt>
              </c:numCache>
            </c:numRef>
          </c:xVal>
          <c:yVal>
            <c:numRef>
              <c:f>Stabilito!$C$146:$C$148</c:f>
              <c:numCache>
                <c:formatCode>0</c:formatCode>
                <c:ptCount val="3"/>
                <c:pt idx="0">
                  <c:v>-850</c:v>
                </c:pt>
                <c:pt idx="1">
                  <c:v>-885</c:v>
                </c:pt>
                <c:pt idx="2">
                  <c:v>-920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C5E-8D4F-A848-A4470DE867AA}"/>
            </c:ext>
          </c:extLst>
        </c:ser>
        <c:ser>
          <c:idx val="17"/>
          <c:order val="17"/>
          <c:tx>
            <c:strRef>
              <c:f>Stabilito!$B$140</c:f>
              <c:strCache>
                <c:ptCount val="1"/>
                <c:pt idx="0">
                  <c:v>Emplanture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Stabilito!$D$140:$D$142</c:f>
              <c:numCache>
                <c:formatCode>0</c:formatCode>
                <c:ptCount val="3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</c:numCache>
            </c:numRef>
          </c:xVal>
          <c:yVal>
            <c:numRef>
              <c:f>Stabilito!$C$140:$C$142</c:f>
              <c:numCache>
                <c:formatCode>0</c:formatCode>
                <c:ptCount val="3"/>
                <c:pt idx="0">
                  <c:v>-720</c:v>
                </c:pt>
                <c:pt idx="1">
                  <c:v>-785</c:v>
                </c:pt>
                <c:pt idx="2">
                  <c:v>-850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C5E-8D4F-A848-A4470DE867AA}"/>
            </c:ext>
          </c:extLst>
        </c:ser>
        <c:ser>
          <c:idx val="18"/>
          <c:order val="18"/>
          <c:tx>
            <c:strRef>
              <c:f>Stabilito!$B$155</c:f>
              <c:strCache>
                <c:ptCount val="1"/>
                <c:pt idx="0">
                  <c:v>Marge Statique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Stabilito!$D$155:$D$157</c:f>
              <c:numCache>
                <c:formatCode>0</c:formatCode>
                <c:ptCount val="3"/>
                <c:pt idx="0">
                  <c:v>-187</c:v>
                </c:pt>
                <c:pt idx="1">
                  <c:v>-187</c:v>
                </c:pt>
                <c:pt idx="2">
                  <c:v>-187</c:v>
                </c:pt>
              </c:numCache>
            </c:numRef>
          </c:xVal>
          <c:yVal>
            <c:numRef>
              <c:f>Stabilito!$C$155:$C$157</c:f>
              <c:numCache>
                <c:formatCode>0</c:formatCode>
                <c:ptCount val="3"/>
                <c:pt idx="0">
                  <c:v>-513.50821975008989</c:v>
                </c:pt>
                <c:pt idx="1">
                  <c:v>-611.10440577543977</c:v>
                </c:pt>
                <c:pt idx="2">
                  <c:v>-708.70059180078977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C5E-8D4F-A848-A4470DE86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155984"/>
        <c:axId val="1"/>
      </c:scatterChart>
      <c:valAx>
        <c:axId val="1806155984"/>
        <c:scaling>
          <c:orientation val="minMax"/>
        </c:scaling>
        <c:delete val="0"/>
        <c:axPos val="t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max"/>
        <c:crossBetween val="midCat"/>
      </c:valAx>
      <c:valAx>
        <c:axId val="1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6155984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89" footer="0.49212598450000089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Abaco!$B$75</c:f>
          <c:strCache>
            <c:ptCount val="1"/>
            <c:pt idx="0">
              <c:v>Vitesse max / Masse totale</c:v>
            </c:pt>
          </c:strCache>
        </c:strRef>
      </c:tx>
      <c:layout>
        <c:manualLayout>
          <c:xMode val="edge"/>
          <c:yMode val="edge"/>
          <c:x val="0.32580555555555557"/>
          <c:y val="3.2407484861159096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3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42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0.65989999999999993</c:v>
                </c:pt>
                <c:pt idx="2">
                  <c:v>1.1598999999999999</c:v>
                </c:pt>
                <c:pt idx="3">
                  <c:v>1.6598999999999999</c:v>
                </c:pt>
                <c:pt idx="4">
                  <c:v>2.1598999999999999</c:v>
                </c:pt>
                <c:pt idx="5">
                  <c:v>2.6598999999999999</c:v>
                </c:pt>
                <c:pt idx="6">
                  <c:v>3.1598999999999999</c:v>
                </c:pt>
                <c:pt idx="7">
                  <c:v>3.6598999999999999</c:v>
                </c:pt>
                <c:pt idx="8">
                  <c:v>4.1599000000000004</c:v>
                </c:pt>
              </c:numCache>
            </c:numRef>
          </c:xVal>
          <c:yVal>
            <c:numRef>
              <c:f>Abaco!$K$41:$K$49</c:f>
              <c:numCache>
                <c:formatCode>General" m/s"</c:formatCode>
                <c:ptCount val="9"/>
                <c:pt idx="0">
                  <c:v>369.32332981562001</c:v>
                </c:pt>
                <c:pt idx="1">
                  <c:v>188.31237505423155</c:v>
                </c:pt>
                <c:pt idx="2">
                  <c:v>103.96705478380838</c:v>
                </c:pt>
                <c:pt idx="3">
                  <c:v>67.235401986282767</c:v>
                </c:pt>
                <c:pt idx="4">
                  <c:v>47.144526810991444</c:v>
                </c:pt>
                <c:pt idx="5">
                  <c:v>34.547810418237169</c:v>
                </c:pt>
                <c:pt idx="6">
                  <c:v>25.929874632007298</c:v>
                </c:pt>
                <c:pt idx="7">
                  <c:v>19.668945761861998</c:v>
                </c:pt>
                <c:pt idx="8">
                  <c:v>14.916861665357372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A-1547-920C-707F56EFF605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84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0.65989999999999993</c:v>
                </c:pt>
                <c:pt idx="2">
                  <c:v>1.1598999999999999</c:v>
                </c:pt>
                <c:pt idx="3">
                  <c:v>1.6598999999999999</c:v>
                </c:pt>
                <c:pt idx="4">
                  <c:v>2.1598999999999999</c:v>
                </c:pt>
                <c:pt idx="5">
                  <c:v>2.6598999999999999</c:v>
                </c:pt>
                <c:pt idx="6">
                  <c:v>3.1598999999999999</c:v>
                </c:pt>
                <c:pt idx="7">
                  <c:v>3.6598999999999999</c:v>
                </c:pt>
                <c:pt idx="8">
                  <c:v>4.1599000000000004</c:v>
                </c:pt>
              </c:numCache>
            </c:numRef>
          </c:xVal>
          <c:yVal>
            <c:numRef>
              <c:f>Abaco!$K$50:$K$58</c:f>
              <c:numCache>
                <c:formatCode>General" m/s"</c:formatCode>
                <c:ptCount val="9"/>
                <c:pt idx="0">
                  <c:v>185.42201346176171</c:v>
                </c:pt>
                <c:pt idx="1">
                  <c:v>147.4331274204857</c:v>
                </c:pt>
                <c:pt idx="2">
                  <c:v>95.26014511845662</c:v>
                </c:pt>
                <c:pt idx="3">
                  <c:v>64.549126658022971</c:v>
                </c:pt>
                <c:pt idx="4">
                  <c:v>46.109272254105221</c:v>
                </c:pt>
                <c:pt idx="5">
                  <c:v>34.09244468632113</c:v>
                </c:pt>
                <c:pt idx="6">
                  <c:v>25.71302572131269</c:v>
                </c:pt>
                <c:pt idx="7">
                  <c:v>19.560979984226474</c:v>
                </c:pt>
                <c:pt idx="8">
                  <c:v>14.862162199522331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A-1547-920C-707F56EFF605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126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0.65989999999999993</c:v>
                </c:pt>
                <c:pt idx="2">
                  <c:v>1.1598999999999999</c:v>
                </c:pt>
                <c:pt idx="3">
                  <c:v>1.6598999999999999</c:v>
                </c:pt>
                <c:pt idx="4">
                  <c:v>2.1598999999999999</c:v>
                </c:pt>
                <c:pt idx="5">
                  <c:v>2.6598999999999999</c:v>
                </c:pt>
                <c:pt idx="6">
                  <c:v>3.1598999999999999</c:v>
                </c:pt>
                <c:pt idx="7">
                  <c:v>3.6598999999999999</c:v>
                </c:pt>
                <c:pt idx="8">
                  <c:v>4.1599000000000004</c:v>
                </c:pt>
              </c:numCache>
            </c:numRef>
          </c:xVal>
          <c:yVal>
            <c:numRef>
              <c:f>Abaco!$K$59:$K$67</c:f>
              <c:numCache>
                <c:formatCode>General" m/s"</c:formatCode>
                <c:ptCount val="9"/>
                <c:pt idx="0">
                  <c:v>123.6157213781817</c:v>
                </c:pt>
                <c:pt idx="1">
                  <c:v>112.30202312282539</c:v>
                </c:pt>
                <c:pt idx="2">
                  <c:v>84.07964367330581</c:v>
                </c:pt>
                <c:pt idx="3">
                  <c:v>60.602049579100843</c:v>
                </c:pt>
                <c:pt idx="4">
                  <c:v>44.499991576519022</c:v>
                </c:pt>
                <c:pt idx="5">
                  <c:v>33.364690591180562</c:v>
                </c:pt>
                <c:pt idx="6">
                  <c:v>25.361123683114897</c:v>
                </c:pt>
                <c:pt idx="7">
                  <c:v>19.384163446727698</c:v>
                </c:pt>
                <c:pt idx="8">
                  <c:v>14.772058397369902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6A-1547-920C-707F56EFF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915968"/>
        <c:axId val="1"/>
      </c:scatterChart>
      <c:valAx>
        <c:axId val="1764915968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2650918635"/>
              <c:y val="0.80923605680929611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strRef>
              <c:f>Abaco!$B$74</c:f>
              <c:strCache>
                <c:ptCount val="1"/>
                <c:pt idx="0">
                  <c:v>Vitesse max</c:v>
                </c:pt>
              </c:strCache>
            </c:strRef>
          </c:tx>
          <c:layout>
            <c:manualLayout>
              <c:xMode val="edge"/>
              <c:yMode val="edge"/>
              <c:x val="0.14166666666666666"/>
              <c:y val="5.803422378207343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m/s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64915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79253351905304"/>
          <c:y val="0.19266706401523412"/>
          <c:w val="0.19231382461027713"/>
          <c:h val="0.2477147965910152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189" l="0.70000000000000062" r="0.70000000000000062" t="0.75000000000000189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Abaco!$B$77</c:f>
          <c:strCache>
            <c:ptCount val="1"/>
            <c:pt idx="0">
              <c:v>Altitude max / Masse totale</c:v>
            </c:pt>
          </c:strCache>
        </c:strRef>
      </c:tx>
      <c:layout>
        <c:manualLayout>
          <c:xMode val="edge"/>
          <c:yMode val="edge"/>
          <c:x val="0.32580555555555557"/>
          <c:y val="3.2407517456544348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3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42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0.65989999999999993</c:v>
                </c:pt>
                <c:pt idx="2">
                  <c:v>1.1598999999999999</c:v>
                </c:pt>
                <c:pt idx="3">
                  <c:v>1.6598999999999999</c:v>
                </c:pt>
                <c:pt idx="4">
                  <c:v>2.1598999999999999</c:v>
                </c:pt>
                <c:pt idx="5">
                  <c:v>2.6598999999999999</c:v>
                </c:pt>
                <c:pt idx="6">
                  <c:v>3.1598999999999999</c:v>
                </c:pt>
                <c:pt idx="7">
                  <c:v>3.6598999999999999</c:v>
                </c:pt>
                <c:pt idx="8">
                  <c:v>4.1599000000000004</c:v>
                </c:pt>
              </c:numCache>
            </c:numRef>
          </c:xVal>
          <c:yVal>
            <c:numRef>
              <c:f>Abaco!$L$41:$L$49</c:f>
              <c:numCache>
                <c:formatCode>General" m"</c:formatCode>
                <c:ptCount val="9"/>
                <c:pt idx="0">
                  <c:v>943.72596711044525</c:v>
                </c:pt>
                <c:pt idx="1">
                  <c:v>1014.9471139306377</c:v>
                </c:pt>
                <c:pt idx="2">
                  <c:v>549.64168321118893</c:v>
                </c:pt>
                <c:pt idx="3">
                  <c:v>282.57488997604128</c:v>
                </c:pt>
                <c:pt idx="4">
                  <c:v>157.58175525703729</c:v>
                </c:pt>
                <c:pt idx="5">
                  <c:v>94.740942374604415</c:v>
                </c:pt>
                <c:pt idx="6">
                  <c:v>60.043084504181103</c:v>
                </c:pt>
                <c:pt idx="7">
                  <c:v>39.350076087568105</c:v>
                </c:pt>
                <c:pt idx="8">
                  <c:v>26.251143142348923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E-854A-A2A4-035D919DB043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84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0.65989999999999993</c:v>
                </c:pt>
                <c:pt idx="2">
                  <c:v>1.1598999999999999</c:v>
                </c:pt>
                <c:pt idx="3">
                  <c:v>1.6598999999999999</c:v>
                </c:pt>
                <c:pt idx="4">
                  <c:v>2.1598999999999999</c:v>
                </c:pt>
                <c:pt idx="5">
                  <c:v>2.6598999999999999</c:v>
                </c:pt>
                <c:pt idx="6">
                  <c:v>3.1598999999999999</c:v>
                </c:pt>
                <c:pt idx="7">
                  <c:v>3.6598999999999999</c:v>
                </c:pt>
                <c:pt idx="8">
                  <c:v>4.1599000000000004</c:v>
                </c:pt>
              </c:numCache>
            </c:numRef>
          </c:xVal>
          <c:yVal>
            <c:numRef>
              <c:f>Abaco!$L$50:$L$58</c:f>
              <c:numCache>
                <c:formatCode>General" m"</c:formatCode>
                <c:ptCount val="9"/>
                <c:pt idx="0">
                  <c:v>421.40012018928473</c:v>
                </c:pt>
                <c:pt idx="1">
                  <c:v>484.65320655400694</c:v>
                </c:pt>
                <c:pt idx="2">
                  <c:v>369.07326146043499</c:v>
                </c:pt>
                <c:pt idx="3">
                  <c:v>235.78375644386222</c:v>
                </c:pt>
                <c:pt idx="4">
                  <c:v>145.08553797439987</c:v>
                </c:pt>
                <c:pt idx="5">
                  <c:v>91.031075582634088</c:v>
                </c:pt>
                <c:pt idx="6">
                  <c:v>58.827379245492338</c:v>
                </c:pt>
                <c:pt idx="7">
                  <c:v>38.922077241731742</c:v>
                </c:pt>
                <c:pt idx="8">
                  <c:v>26.093976736926269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E-854A-A2A4-035D919DB043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126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0.65989999999999993</c:v>
                </c:pt>
                <c:pt idx="2">
                  <c:v>1.1598999999999999</c:v>
                </c:pt>
                <c:pt idx="3">
                  <c:v>1.6598999999999999</c:v>
                </c:pt>
                <c:pt idx="4">
                  <c:v>2.1598999999999999</c:v>
                </c:pt>
                <c:pt idx="5">
                  <c:v>2.6598999999999999</c:v>
                </c:pt>
                <c:pt idx="6">
                  <c:v>3.1598999999999999</c:v>
                </c:pt>
                <c:pt idx="7">
                  <c:v>3.6598999999999999</c:v>
                </c:pt>
                <c:pt idx="8">
                  <c:v>4.1599000000000004</c:v>
                </c:pt>
              </c:numCache>
            </c:numRef>
          </c:xVal>
          <c:yVal>
            <c:numRef>
              <c:f>Abaco!$L$59:$L$67</c:f>
              <c:numCache>
                <c:formatCode>General" m"</c:formatCode>
                <c:ptCount val="9"/>
                <c:pt idx="0">
                  <c:v>269.6994657695717</c:v>
                </c:pt>
                <c:pt idx="1">
                  <c:v>301.657723279062</c:v>
                </c:pt>
                <c:pt idx="2">
                  <c:v>259.89878898013518</c:v>
                </c:pt>
                <c:pt idx="3">
                  <c:v>191.0549038704807</c:v>
                </c:pt>
                <c:pt idx="4">
                  <c:v>129.48938099450015</c:v>
                </c:pt>
                <c:pt idx="5">
                  <c:v>85.719305671100486</c:v>
                </c:pt>
                <c:pt idx="6">
                  <c:v>56.961119814727674</c:v>
                </c:pt>
                <c:pt idx="7">
                  <c:v>38.240686262248609</c:v>
                </c:pt>
                <c:pt idx="8">
                  <c:v>25.83875876983609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1E-854A-A2A4-035D919DB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963536"/>
        <c:axId val="1"/>
      </c:scatterChart>
      <c:valAx>
        <c:axId val="1764963536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2650918635"/>
              <c:y val="0.80923599762293863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strRef>
              <c:f>Abaco!$B$76</c:f>
              <c:strCache>
                <c:ptCount val="1"/>
                <c:pt idx="0">
                  <c:v>Altitude max</c:v>
                </c:pt>
              </c:strCache>
            </c:strRef>
          </c:tx>
          <c:layout>
            <c:manualLayout>
              <c:xMode val="edge"/>
              <c:yMode val="edge"/>
              <c:x val="0.14166666666666666"/>
              <c:y val="5.8034467389689502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m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6496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822834919091606"/>
          <c:y val="0.19457634243306321"/>
          <c:w val="0.19231382461027713"/>
          <c:h val="0.2443516858461724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189" l="0.70000000000000062" r="0.70000000000000062" t="0.75000000000000189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Abaco!$B$79</c:f>
          <c:strCache>
            <c:ptCount val="1"/>
            <c:pt idx="0">
              <c:v>Temps de culmination / Masse totale</c:v>
            </c:pt>
          </c:strCache>
        </c:strRef>
      </c:tx>
      <c:layout>
        <c:manualLayout>
          <c:xMode val="edge"/>
          <c:yMode val="edge"/>
          <c:x val="0.18369438576275526"/>
          <c:y val="3.2407517456544348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3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42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0.65989999999999993</c:v>
                </c:pt>
                <c:pt idx="2">
                  <c:v>1.1598999999999999</c:v>
                </c:pt>
                <c:pt idx="3">
                  <c:v>1.6598999999999999</c:v>
                </c:pt>
                <c:pt idx="4">
                  <c:v>2.1598999999999999</c:v>
                </c:pt>
                <c:pt idx="5">
                  <c:v>2.6598999999999999</c:v>
                </c:pt>
                <c:pt idx="6">
                  <c:v>3.1598999999999999</c:v>
                </c:pt>
                <c:pt idx="7">
                  <c:v>3.6598999999999999</c:v>
                </c:pt>
                <c:pt idx="8">
                  <c:v>4.1599000000000004</c:v>
                </c:pt>
              </c:numCache>
            </c:numRef>
          </c:xVal>
          <c:yVal>
            <c:numRef>
              <c:f>Abaco!$M$41:$M$49</c:f>
              <c:numCache>
                <c:formatCode>General" s"</c:formatCode>
                <c:ptCount val="9"/>
                <c:pt idx="0">
                  <c:v>8.0066772056142064</c:v>
                </c:pt>
                <c:pt idx="1">
                  <c:v>13.439814617314953</c:v>
                </c:pt>
                <c:pt idx="2">
                  <c:v>11.18747970514177</c:v>
                </c:pt>
                <c:pt idx="3">
                  <c:v>8.5426392177703043</c:v>
                </c:pt>
                <c:pt idx="4">
                  <c:v>6.7199362021103459</c:v>
                </c:pt>
                <c:pt idx="5">
                  <c:v>5.4939523334184841</c:v>
                </c:pt>
                <c:pt idx="6">
                  <c:v>4.6333070210393519</c:v>
                </c:pt>
                <c:pt idx="7">
                  <c:v>4.0012579976740987</c:v>
                </c:pt>
                <c:pt idx="8">
                  <c:v>3.5191463767886049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7-A64B-83D1-484ECF67F6C4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84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0.65989999999999993</c:v>
                </c:pt>
                <c:pt idx="2">
                  <c:v>1.1598999999999999</c:v>
                </c:pt>
                <c:pt idx="3">
                  <c:v>1.6598999999999999</c:v>
                </c:pt>
                <c:pt idx="4">
                  <c:v>2.1598999999999999</c:v>
                </c:pt>
                <c:pt idx="5">
                  <c:v>2.6598999999999999</c:v>
                </c:pt>
                <c:pt idx="6">
                  <c:v>3.1598999999999999</c:v>
                </c:pt>
                <c:pt idx="7">
                  <c:v>3.6598999999999999</c:v>
                </c:pt>
                <c:pt idx="8">
                  <c:v>4.1599000000000004</c:v>
                </c:pt>
              </c:numCache>
            </c:numRef>
          </c:xVal>
          <c:yVal>
            <c:numRef>
              <c:f>Abaco!$M$50:$M$58</c:f>
              <c:numCache>
                <c:formatCode>General" s"</c:formatCode>
                <c:ptCount val="9"/>
                <c:pt idx="0">
                  <c:v>5.004247001248757</c:v>
                </c:pt>
                <c:pt idx="1">
                  <c:v>8.6267939894833674</c:v>
                </c:pt>
                <c:pt idx="2">
                  <c:v>8.7906872548356993</c:v>
                </c:pt>
                <c:pt idx="3">
                  <c:v>7.6667873563863136</c:v>
                </c:pt>
                <c:pt idx="4">
                  <c:v>6.4051259199413675</c:v>
                </c:pt>
                <c:pt idx="5">
                  <c:v>5.3727945366526857</c:v>
                </c:pt>
                <c:pt idx="6">
                  <c:v>4.5832277761777984</c:v>
                </c:pt>
                <c:pt idx="7">
                  <c:v>3.9794461334990556</c:v>
                </c:pt>
                <c:pt idx="8">
                  <c:v>3.5093692419004205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7-A64B-83D1-484ECF67F6C4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126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0.65989999999999993</c:v>
                </c:pt>
                <c:pt idx="2">
                  <c:v>1.1598999999999999</c:v>
                </c:pt>
                <c:pt idx="3">
                  <c:v>1.6598999999999999</c:v>
                </c:pt>
                <c:pt idx="4">
                  <c:v>2.1598999999999999</c:v>
                </c:pt>
                <c:pt idx="5">
                  <c:v>2.6598999999999999</c:v>
                </c:pt>
                <c:pt idx="6">
                  <c:v>3.1598999999999999</c:v>
                </c:pt>
                <c:pt idx="7">
                  <c:v>3.6598999999999999</c:v>
                </c:pt>
                <c:pt idx="8">
                  <c:v>4.1599000000000004</c:v>
                </c:pt>
              </c:numCache>
            </c:numRef>
          </c:xVal>
          <c:yVal>
            <c:numRef>
              <c:f>Abaco!$M$59:$M$67</c:f>
              <c:numCache>
                <c:formatCode>General" s"</c:formatCode>
                <c:ptCount val="9"/>
                <c:pt idx="0">
                  <c:v>4.0028325784479488</c:v>
                </c:pt>
                <c:pt idx="1">
                  <c:v>6.5631870470297589</c:v>
                </c:pt>
                <c:pt idx="2">
                  <c:v>7.1590553588089429</c:v>
                </c:pt>
                <c:pt idx="3">
                  <c:v>6.780681281912786</c:v>
                </c:pt>
                <c:pt idx="4">
                  <c:v>6.0015666961706096</c:v>
                </c:pt>
                <c:pt idx="5">
                  <c:v>5.1970914700372086</c:v>
                </c:pt>
                <c:pt idx="6">
                  <c:v>4.5058786647885274</c:v>
                </c:pt>
                <c:pt idx="7">
                  <c:v>3.9446225631849114</c:v>
                </c:pt>
                <c:pt idx="8">
                  <c:v>3.4934740068985812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47-A64B-83D1-484ECF67F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999296"/>
        <c:axId val="1"/>
      </c:scatterChart>
      <c:valAx>
        <c:axId val="1764999296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425132834"/>
              <c:y val="0.80923599762293863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strRef>
              <c:f>Abaco!$B$78</c:f>
              <c:strCache>
                <c:ptCount val="1"/>
                <c:pt idx="0">
                  <c:v>Temps de culmination</c:v>
                </c:pt>
              </c:strCache>
            </c:strRef>
          </c:tx>
          <c:layout>
            <c:manualLayout>
              <c:xMode val="edge"/>
              <c:yMode val="edge"/>
              <c:x val="0.14166677336064698"/>
              <c:y val="5.8034467389689502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s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64999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6971728612397"/>
          <c:y val="0.19457634243306321"/>
          <c:w val="0.18703852547642652"/>
          <c:h val="0.2443516858461724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189" l="0.70000000000000062" r="0.70000000000000062" t="0.75000000000000189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Stabilito!$B$117</c:f>
          <c:strCache>
            <c:ptCount val="1"/>
            <c:pt idx="0">
              <c:v>Diagramme des critères de stabilité</c:v>
            </c:pt>
          </c:strCache>
        </c:strRef>
      </c:tx>
      <c:layout>
        <c:manualLayout>
          <c:xMode val="edge"/>
          <c:yMode val="edge"/>
          <c:x val="0.19620910443519402"/>
          <c:y val="8.02141732283464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092838196286504E-2"/>
          <c:y val="5.8823683008029461E-2"/>
          <c:w val="0.93899204244031864"/>
          <c:h val="0.8288791696585972"/>
        </c:manualLayout>
      </c:layout>
      <c:scatterChart>
        <c:scatterStyle val="smoothMarker"/>
        <c:varyColors val="0"/>
        <c:ser>
          <c:idx val="0"/>
          <c:order val="0"/>
          <c:tx>
            <c:v>Cna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Stabilito!$B$182:$B$183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Stabilito!$C$182:$C$183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48-824B-8B6E-E20872B57592}"/>
            </c:ext>
          </c:extLst>
        </c:ser>
        <c:ser>
          <c:idx val="1"/>
          <c:order val="1"/>
          <c:tx>
            <c:v>Cna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Stabilito!$B$184:$B$185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Stabilito!$C$184:$C$185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48-824B-8B6E-E20872B57592}"/>
            </c:ext>
          </c:extLst>
        </c:ser>
        <c:ser>
          <c:idx val="2"/>
          <c:order val="2"/>
          <c:tx>
            <c:v>MS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Stabilito!$B$186:$B$187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Stabilito!$C$186:$C$187</c:f>
              <c:numCache>
                <c:formatCode>General</c:formatCode>
                <c:ptCount val="2"/>
                <c:pt idx="0">
                  <c:v>0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48-824B-8B6E-E20872B57592}"/>
            </c:ext>
          </c:extLst>
        </c:ser>
        <c:ser>
          <c:idx val="3"/>
          <c:order val="3"/>
          <c:tx>
            <c:v>MS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Stabilito!$B$188:$B$189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Stabilito!$C$188:$C$189</c:f>
              <c:numCache>
                <c:formatCode>General</c:formatCode>
                <c:ptCount val="2"/>
                <c:pt idx="0">
                  <c:v>0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48-824B-8B6E-E20872B57592}"/>
            </c:ext>
          </c:extLst>
        </c:ser>
        <c:ser>
          <c:idx val="5"/>
          <c:order val="6"/>
          <c:tx>
            <c:v>MS*Cna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Stabilito!$D$182:$D$187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</c:numCache>
            </c:numRef>
          </c:xVal>
          <c:yVal>
            <c:numRef>
              <c:f>Stabilito!$E$182:$E$187</c:f>
              <c:numCache>
                <c:formatCode>General</c:formatCode>
                <c:ptCount val="6"/>
                <c:pt idx="0">
                  <c:v>60</c:v>
                </c:pt>
                <c:pt idx="1">
                  <c:v>30</c:v>
                </c:pt>
                <c:pt idx="2">
                  <c:v>15</c:v>
                </c:pt>
                <c:pt idx="3">
                  <c:v>10</c:v>
                </c:pt>
                <c:pt idx="4">
                  <c:v>6</c:v>
                </c:pt>
                <c:pt idx="5">
                  <c:v>4.2857142857142856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48-824B-8B6E-E20872B57592}"/>
            </c:ext>
          </c:extLst>
        </c:ser>
        <c:ser>
          <c:idx val="6"/>
          <c:order val="7"/>
          <c:tx>
            <c:v>MS*Cna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Stabilito!$D$188:$D$193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Stabilito!$E$188:$E$193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33.333333333333336</c:v>
                </c:pt>
                <c:pt idx="3">
                  <c:v>25</c:v>
                </c:pt>
                <c:pt idx="4">
                  <c:v>16.666666666666668</c:v>
                </c:pt>
                <c:pt idx="5">
                  <c:v>14.285714285714286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48-824B-8B6E-E20872B57592}"/>
            </c:ext>
          </c:extLst>
        </c:ser>
        <c:ser>
          <c:idx val="7"/>
          <c:order val="8"/>
          <c:tx>
            <c:v>Cna moy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Stabilito!$B$195:$B$196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Stabilito!$C$195:$C$196</c:f>
              <c:numCache>
                <c:formatCode>General</c:formatCode>
                <c:ptCount val="2"/>
                <c:pt idx="0">
                  <c:v>22.5</c:v>
                </c:pt>
                <c:pt idx="1">
                  <c:v>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48-824B-8B6E-E20872B57592}"/>
            </c:ext>
          </c:extLst>
        </c:ser>
        <c:ser>
          <c:idx val="8"/>
          <c:order val="9"/>
          <c:tx>
            <c:v>Cna moy2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Stabilito!$B$197:$B$198</c:f>
              <c:numCache>
                <c:formatCode>General</c:formatCode>
                <c:ptCount val="2"/>
                <c:pt idx="0">
                  <c:v>4.4444444444444446</c:v>
                </c:pt>
                <c:pt idx="1">
                  <c:v>7</c:v>
                </c:pt>
              </c:numCache>
            </c:numRef>
          </c:xVal>
          <c:yVal>
            <c:numRef>
              <c:f>Stabilito!$C$197:$C$198</c:f>
              <c:numCache>
                <c:formatCode>General</c:formatCode>
                <c:ptCount val="2"/>
                <c:pt idx="0">
                  <c:v>22.5</c:v>
                </c:pt>
                <c:pt idx="1">
                  <c:v>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48-824B-8B6E-E20872B57592}"/>
            </c:ext>
          </c:extLst>
        </c:ser>
        <c:ser>
          <c:idx val="9"/>
          <c:order val="10"/>
          <c:tx>
            <c:v>MS moy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Stabilito!$B$199:$B$200</c:f>
              <c:numCache>
                <c:formatCode>General</c:formatCode>
                <c:ptCount val="2"/>
                <c:pt idx="0">
                  <c:v>3.75</c:v>
                </c:pt>
                <c:pt idx="1">
                  <c:v>3.75</c:v>
                </c:pt>
              </c:numCache>
            </c:numRef>
          </c:xVal>
          <c:yVal>
            <c:numRef>
              <c:f>Stabilito!$C$199:$C$200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248-824B-8B6E-E20872B57592}"/>
            </c:ext>
          </c:extLst>
        </c:ser>
        <c:ser>
          <c:idx val="10"/>
          <c:order val="11"/>
          <c:tx>
            <c:v>MS moy2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Stabilito!$B$201:$B$202</c:f>
              <c:numCache>
                <c:formatCode>General</c:formatCode>
                <c:ptCount val="2"/>
                <c:pt idx="0">
                  <c:v>3.75</c:v>
                </c:pt>
                <c:pt idx="1">
                  <c:v>3.75</c:v>
                </c:pt>
              </c:numCache>
            </c:numRef>
          </c:xVal>
          <c:yVal>
            <c:numRef>
              <c:f>Stabilito!$C$201:$C$202</c:f>
              <c:numCache>
                <c:formatCode>General</c:formatCode>
                <c:ptCount val="2"/>
                <c:pt idx="0">
                  <c:v>26.666666666666668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248-824B-8B6E-E20872B5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258336"/>
        <c:axId val="1"/>
      </c:scatterChart>
      <c:scatterChart>
        <c:scatterStyle val="lineMarker"/>
        <c:varyColors val="0"/>
        <c:ser>
          <c:idx val="4"/>
          <c:order val="4"/>
          <c:tx>
            <c:v>Fusée en cours</c:v>
          </c:tx>
          <c:spPr>
            <a:ln w="25400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Stabilito!$B$190:$B$193</c:f>
              <c:numCache>
                <c:formatCode>0.00</c:formatCode>
                <c:ptCount val="4"/>
                <c:pt idx="0">
                  <c:v>2.2765384212591728</c:v>
                </c:pt>
                <c:pt idx="1">
                  <c:v>2.2765384212591728</c:v>
                </c:pt>
                <c:pt idx="2">
                  <c:v>2.3708990085193964</c:v>
                </c:pt>
                <c:pt idx="3">
                  <c:v>2.3708990085193964</c:v>
                </c:pt>
              </c:numCache>
            </c:numRef>
          </c:xVal>
          <c:yVal>
            <c:numRef>
              <c:f>Stabilito!$C$190:$C$193</c:f>
              <c:numCache>
                <c:formatCode>0.00</c:formatCode>
                <c:ptCount val="4"/>
                <c:pt idx="0">
                  <c:v>14.04334530817559</c:v>
                </c:pt>
                <c:pt idx="1">
                  <c:v>14.04334530817559</c:v>
                </c:pt>
                <c:pt idx="2">
                  <c:v>14.04334530817559</c:v>
                </c:pt>
                <c:pt idx="3">
                  <c:v>14.04334530817559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248-824B-8B6E-E20872B57592}"/>
            </c:ext>
          </c:extLst>
        </c:ser>
        <c:ser>
          <c:idx val="11"/>
          <c:order val="5"/>
          <c:tx>
            <c:v>Fusée en cours0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Stabilito!$B$193:$B$194</c:f>
              <c:numCache>
                <c:formatCode>0.00</c:formatCode>
                <c:ptCount val="2"/>
                <c:pt idx="0">
                  <c:v>2.3708990085193964</c:v>
                </c:pt>
                <c:pt idx="1">
                  <c:v>2.2765384212591728</c:v>
                </c:pt>
              </c:numCache>
            </c:numRef>
          </c:xVal>
          <c:yVal>
            <c:numRef>
              <c:f>Stabilito!$C$193:$C$194</c:f>
              <c:numCache>
                <c:formatCode>0.00</c:formatCode>
                <c:ptCount val="2"/>
                <c:pt idx="0">
                  <c:v>14.04334530817559</c:v>
                </c:pt>
                <c:pt idx="1">
                  <c:v>14.04334530817559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248-824B-8B6E-E20872B5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258336"/>
        <c:axId val="1"/>
      </c:scatterChart>
      <c:valAx>
        <c:axId val="1806258336"/>
        <c:scaling>
          <c:orientation val="minMax"/>
          <c:max val="7"/>
          <c:min val="0"/>
        </c:scaling>
        <c:delete val="0"/>
        <c:axPos val="b"/>
        <c:title>
          <c:tx>
            <c:strRef>
              <c:f>Stabilito!$B$118</c:f>
              <c:strCache>
                <c:ptCount val="1"/>
                <c:pt idx="0">
                  <c:v>Marge Statique (MS)</c:v>
                </c:pt>
              </c:strCache>
            </c:strRef>
          </c:tx>
          <c:layout>
            <c:manualLayout>
              <c:xMode val="edge"/>
              <c:yMode val="edge"/>
              <c:x val="0.51717271009913568"/>
              <c:y val="0.73094047244094484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5"/>
          <c:min val="0"/>
        </c:scaling>
        <c:delete val="0"/>
        <c:axPos val="l"/>
        <c:title>
          <c:tx>
            <c:strRef>
              <c:f>Stabilito!$B$119</c:f>
              <c:strCache>
                <c:ptCount val="1"/>
                <c:pt idx="0">
                  <c:v>Portance Cnα</c:v>
                </c:pt>
              </c:strCache>
            </c:strRef>
          </c:tx>
          <c:layout>
            <c:manualLayout>
              <c:xMode val="edge"/>
              <c:yMode val="edge"/>
              <c:x val="6.9119481083972784E-2"/>
              <c:y val="0.24099905511811026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62583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89" footer="0.49212598450000089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Trajecto!$B$110</c:f>
          <c:strCache>
            <c:ptCount val="1"/>
            <c:pt idx="0">
              <c:v>Trajectoire (x z)</c:v>
            </c:pt>
          </c:strCache>
        </c:strRef>
      </c:tx>
      <c:layout>
        <c:manualLayout>
          <c:xMode val="edge"/>
          <c:yMode val="edge"/>
          <c:x val="0.66868786671936276"/>
          <c:y val="3.857574406972712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697175950449913E-2"/>
          <c:y val="3.5608360198500402E-2"/>
          <c:w val="0.89697235136230857"/>
          <c:h val="0.89614373166225958"/>
        </c:manualLayout>
      </c:layout>
      <c:scatterChart>
        <c:scatterStyle val="lineMarker"/>
        <c:varyColors val="0"/>
        <c:ser>
          <c:idx val="0"/>
          <c:order val="0"/>
          <c:tx>
            <c:v>Point invisible pour mise à l'echelle</c:v>
          </c:tx>
          <c:spPr>
            <a:ln w="3175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Trajecto!$B$120</c:f>
              <c:numCache>
                <c:formatCode>0</c:formatCode>
                <c:ptCount val="1"/>
                <c:pt idx="0">
                  <c:v>165.14105142193264</c:v>
                </c:pt>
              </c:numCache>
            </c:numRef>
          </c:xVal>
          <c:yVal>
            <c:numRef>
              <c:f>Trajecto!$C$118</c:f>
              <c:numCache>
                <c:formatCode>0</c:formatCode>
                <c:ptCount val="1"/>
                <c:pt idx="0">
                  <c:v>165.14105142193264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B-6442-AFEC-07E56791BA28}"/>
            </c:ext>
          </c:extLst>
        </c:ser>
        <c:ser>
          <c:idx val="1"/>
          <c:order val="1"/>
          <c:tx>
            <c:v>1 point par seconde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Calculs!$AD$4:$AD$1004</c:f>
              <c:numCache>
                <c:formatCode>0</c:formatCode>
                <c:ptCount val="100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3.4638419463636878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9.0493341841225465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14.336364059263044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19.413767211970509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24.356453515354556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29.226874030041252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34.059418064473391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38.826882076130886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43.478001346793185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47.964337582543727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52.245097137125484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56.288824373840264</c:v>
                </c:pt>
                <c:pt idx="301">
                  <c:v>56.288824373840264</c:v>
                </c:pt>
                <c:pt idx="302">
                  <c:v>56.288824373840264</c:v>
                </c:pt>
                <c:pt idx="303">
                  <c:v>56.288824373840264</c:v>
                </c:pt>
                <c:pt idx="304">
                  <c:v>56.288824373840264</c:v>
                </c:pt>
                <c:pt idx="305">
                  <c:v>56.288824373840264</c:v>
                </c:pt>
                <c:pt idx="306">
                  <c:v>56.288824373840264</c:v>
                </c:pt>
                <c:pt idx="307">
                  <c:v>56.288824373840264</c:v>
                </c:pt>
                <c:pt idx="308">
                  <c:v>56.288824373840264</c:v>
                </c:pt>
                <c:pt idx="309">
                  <c:v>56.288824373840264</c:v>
                </c:pt>
                <c:pt idx="310">
                  <c:v>56.288824373840264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9.5476849499258624E-4</c:v>
                </c:pt>
                <c:pt idx="2">
                  <c:v>6.7041506585954914E-3</c:v>
                </c:pt>
                <c:pt idx="3">
                  <c:v>2.1347892084722167E-2</c:v>
                </c:pt>
                <c:pt idx="4">
                  <c:v>4.5641448750859806E-2</c:v>
                </c:pt>
                <c:pt idx="5">
                  <c:v>7.8886855363211827E-2</c:v>
                </c:pt>
                <c:pt idx="6">
                  <c:v>0.12082755256820427</c:v>
                </c:pt>
                <c:pt idx="7">
                  <c:v>0.17142780490487936</c:v>
                </c:pt>
                <c:pt idx="8">
                  <c:v>0.23065163508789061</c:v>
                </c:pt>
                <c:pt idx="9">
                  <c:v>0.29846282623171161</c:v>
                </c:pt>
                <c:pt idx="10">
                  <c:v>0.37482492409416895</c:v>
                </c:pt>
                <c:pt idx="11">
                  <c:v>0.45970123933881296</c:v>
                </c:pt>
                <c:pt idx="12">
                  <c:v>0.55305484981563557</c:v>
                </c:pt>
                <c:pt idx="13">
                  <c:v>0.65484860285964364</c:v>
                </c:pt>
                <c:pt idx="14">
                  <c:v>0.76504511760679228</c:v>
                </c:pt>
                <c:pt idx="15">
                  <c:v>0.88360678732678144</c:v>
                </c:pt>
                <c:pt idx="16">
                  <c:v>1.010495781772216</c:v>
                </c:pt>
                <c:pt idx="17">
                  <c:v>1.1456740495436277</c:v>
                </c:pt>
                <c:pt idx="18">
                  <c:v>1.2891033204698563</c:v>
                </c:pt>
                <c:pt idx="19">
                  <c:v>1.4407451080032851</c:v>
                </c:pt>
                <c:pt idx="20">
                  <c:v>1.6005607116294238</c:v>
                </c:pt>
                <c:pt idx="21">
                  <c:v>1.7685112192903334</c:v>
                </c:pt>
                <c:pt idx="22">
                  <c:v>1.9445575098213814</c:v>
                </c:pt>
                <c:pt idx="23">
                  <c:v>2.1286602554008214</c:v>
                </c:pt>
                <c:pt idx="24">
                  <c:v>2.3207799240116849</c:v>
                </c:pt>
                <c:pt idx="25">
                  <c:v>2.5208767819154749</c:v>
                </c:pt>
                <c:pt idx="26">
                  <c:v>2.7289071684632513</c:v>
                </c:pt>
                <c:pt idx="27">
                  <c:v>2.9448270722619618</c:v>
                </c:pt>
                <c:pt idx="28">
                  <c:v>3.1685958650668411</c:v>
                </c:pt>
                <c:pt idx="29">
                  <c:v>3.4001727359070255</c:v>
                </c:pt>
                <c:pt idx="30">
                  <c:v>3.6395166948821154</c:v>
                </c:pt>
                <c:pt idx="31">
                  <c:v>3.8865865751309832</c:v>
                </c:pt>
                <c:pt idx="32">
                  <c:v>4.1413410348610018</c:v>
                </c:pt>
                <c:pt idx="33">
                  <c:v>4.4037385594307912</c:v>
                </c:pt>
                <c:pt idx="34">
                  <c:v>4.6737374634805438</c:v>
                </c:pt>
                <c:pt idx="35">
                  <c:v>4.9512958931047795</c:v>
                </c:pt>
                <c:pt idx="36">
                  <c:v>5.2363718280630369</c:v>
                </c:pt>
                <c:pt idx="37">
                  <c:v>5.5289230840245649</c:v>
                </c:pt>
                <c:pt idx="38">
                  <c:v>5.8289073148435193</c:v>
                </c:pt>
                <c:pt idx="39">
                  <c:v>6.1362820148615835</c:v>
                </c:pt>
                <c:pt idx="40">
                  <c:v>6.4510045212352356</c:v>
                </c:pt>
                <c:pt idx="41">
                  <c:v>6.773032016285188</c:v>
                </c:pt>
                <c:pt idx="42">
                  <c:v>7.1023215298657449</c:v>
                </c:pt>
                <c:pt idx="43">
                  <c:v>7.4388299417520543</c:v>
                </c:pt>
                <c:pt idx="44">
                  <c:v>7.7825139840433817</c:v>
                </c:pt>
                <c:pt idx="45">
                  <c:v>8.133330243580712</c:v>
                </c:pt>
                <c:pt idx="46">
                  <c:v>8.4912351643771107</c:v>
                </c:pt>
                <c:pt idx="47">
                  <c:v>8.856185050059393</c:v>
                </c:pt>
                <c:pt idx="48">
                  <c:v>9.2281360663197596</c:v>
                </c:pt>
                <c:pt idx="49">
                  <c:v>9.6070442433761354</c:v>
                </c:pt>
                <c:pt idx="50">
                  <c:v>9.9928654784400557</c:v>
                </c:pt>
                <c:pt idx="51">
                  <c:v>10.385555538190985</c:v>
                </c:pt>
                <c:pt idx="52">
                  <c:v>10.785070061256034</c:v>
                </c:pt>
                <c:pt idx="53">
                  <c:v>11.191364560694105</c:v>
                </c:pt>
                <c:pt idx="54">
                  <c:v>11.604394426483534</c:v>
                </c:pt>
                <c:pt idx="55">
                  <c:v>12.024114928012343</c:v>
                </c:pt>
                <c:pt idx="56">
                  <c:v>12.450481216570271</c:v>
                </c:pt>
                <c:pt idx="57">
                  <c:v>12.883448327841787</c:v>
                </c:pt>
                <c:pt idx="58">
                  <c:v>13.322971184399307</c:v>
                </c:pt>
                <c:pt idx="59">
                  <c:v>13.769004598195895</c:v>
                </c:pt>
                <c:pt idx="60">
                  <c:v>14.221503273056737</c:v>
                </c:pt>
                <c:pt idx="61">
                  <c:v>14.680421807168704</c:v>
                </c:pt>
                <c:pt idx="62">
                  <c:v>15.145714695567374</c:v>
                </c:pt>
                <c:pt idx="63">
                  <c:v>15.617316903013398</c:v>
                </c:pt>
                <c:pt idx="64">
                  <c:v>16.095124431270687</c:v>
                </c:pt>
                <c:pt idx="65">
                  <c:v>16.579013756530479</c:v>
                </c:pt>
                <c:pt idx="66">
                  <c:v>17.068861275233086</c:v>
                </c:pt>
                <c:pt idx="67">
                  <c:v>17.564525493092628</c:v>
                </c:pt>
                <c:pt idx="68">
                  <c:v>18.065829212405738</c:v>
                </c:pt>
                <c:pt idx="69">
                  <c:v>18.572545671116956</c:v>
                </c:pt>
                <c:pt idx="70">
                  <c:v>19.084384688712674</c:v>
                </c:pt>
                <c:pt idx="71">
                  <c:v>19.601024408415785</c:v>
                </c:pt>
                <c:pt idx="72">
                  <c:v>20.122143044437539</c:v>
                </c:pt>
                <c:pt idx="73">
                  <c:v>20.647418910002198</c:v>
                </c:pt>
                <c:pt idx="74">
                  <c:v>21.17653044456943</c:v>
                </c:pt>
                <c:pt idx="75">
                  <c:v>21.709156240248184</c:v>
                </c:pt>
                <c:pt idx="76">
                  <c:v>22.244975067396553</c:v>
                </c:pt>
                <c:pt idx="77">
                  <c:v>22.783665899402816</c:v>
                </c:pt>
                <c:pt idx="78">
                  <c:v>23.324907936643587</c:v>
                </c:pt>
                <c:pt idx="79">
                  <c:v>23.868380629615611</c:v>
                </c:pt>
                <c:pt idx="80">
                  <c:v>24.413763701238416</c:v>
                </c:pt>
                <c:pt idx="81">
                  <c:v>24.960774904383236</c:v>
                </c:pt>
                <c:pt idx="82">
                  <c:v>25.509207741852734</c:v>
                </c:pt>
                <c:pt idx="83">
                  <c:v>26.058893663775766</c:v>
                </c:pt>
                <c:pt idx="84">
                  <c:v>26.609664294624221</c:v>
                </c:pt>
                <c:pt idx="85">
                  <c:v>27.161351439129472</c:v>
                </c:pt>
                <c:pt idx="86">
                  <c:v>27.713787087965549</c:v>
                </c:pt>
                <c:pt idx="87">
                  <c:v>28.266803423199537</c:v>
                </c:pt>
                <c:pt idx="88">
                  <c:v>28.820232823509691</c:v>
                </c:pt>
                <c:pt idx="89">
                  <c:v>29.373919794083825</c:v>
                </c:pt>
                <c:pt idx="90">
                  <c:v>29.927732881649849</c:v>
                </c:pt>
                <c:pt idx="91">
                  <c:v>30.481552722841503</c:v>
                </c:pt>
                <c:pt idx="92">
                  <c:v>31.035260105954482</c:v>
                </c:pt>
                <c:pt idx="93">
                  <c:v>31.588738954775391</c:v>
                </c:pt>
                <c:pt idx="94">
                  <c:v>32.141879308374747</c:v>
                </c:pt>
                <c:pt idx="95">
                  <c:v>32.694574333077455</c:v>
                </c:pt>
                <c:pt idx="96">
                  <c:v>33.246717338059348</c:v>
                </c:pt>
                <c:pt idx="97">
                  <c:v>33.79821370453071</c:v>
                </c:pt>
                <c:pt idx="98">
                  <c:v>34.348992798283383</c:v>
                </c:pt>
                <c:pt idx="99">
                  <c:v>34.898996009247092</c:v>
                </c:pt>
                <c:pt idx="100">
                  <c:v>35.448164807077475</c:v>
                </c:pt>
                <c:pt idx="101">
                  <c:v>35.996440741261011</c:v>
                </c:pt>
                <c:pt idx="102">
                  <c:v>36.543765441193187</c:v>
                </c:pt>
                <c:pt idx="103">
                  <c:v>37.090080616230161</c:v>
                </c:pt>
                <c:pt idx="104">
                  <c:v>37.63532805571402</c:v>
                </c:pt>
                <c:pt idx="105">
                  <c:v>38.179449628971888</c:v>
                </c:pt>
                <c:pt idx="106">
                  <c:v>38.72238728528901</c:v>
                </c:pt>
                <c:pt idx="107">
                  <c:v>39.264083053856019</c:v>
                </c:pt>
                <c:pt idx="108">
                  <c:v>39.804479043690584</c:v>
                </c:pt>
                <c:pt idx="109">
                  <c:v>40.343532352230483</c:v>
                </c:pt>
                <c:pt idx="110">
                  <c:v>40.881229951784142</c:v>
                </c:pt>
                <c:pt idx="111">
                  <c:v>41.41757373720128</c:v>
                </c:pt>
                <c:pt idx="112">
                  <c:v>41.952565595747878</c:v>
                </c:pt>
                <c:pt idx="113">
                  <c:v>42.486207407138416</c:v>
                </c:pt>
                <c:pt idx="114">
                  <c:v>43.018501043567888</c:v>
                </c:pt>
                <c:pt idx="115">
                  <c:v>43.549448369743658</c:v>
                </c:pt>
                <c:pt idx="116">
                  <c:v>44.079051242917082</c:v>
                </c:pt>
                <c:pt idx="117">
                  <c:v>44.607311512914997</c:v>
                </c:pt>
                <c:pt idx="118">
                  <c:v>45.134231022170979</c:v>
                </c:pt>
                <c:pt idx="119">
                  <c:v>45.659811605756445</c:v>
                </c:pt>
                <c:pt idx="120">
                  <c:v>46.184055091411544</c:v>
                </c:pt>
                <c:pt idx="121">
                  <c:v>46.706963299575904</c:v>
                </c:pt>
                <c:pt idx="122">
                  <c:v>47.228538043419157</c:v>
                </c:pt>
                <c:pt idx="123">
                  <c:v>47.748781128871315</c:v>
                </c:pt>
                <c:pt idx="124">
                  <c:v>48.267694354652932</c:v>
                </c:pt>
                <c:pt idx="125">
                  <c:v>48.785279512305145</c:v>
                </c:pt>
                <c:pt idx="126">
                  <c:v>49.30153838621947</c:v>
                </c:pt>
                <c:pt idx="127">
                  <c:v>49.816472753667476</c:v>
                </c:pt>
                <c:pt idx="128">
                  <c:v>50.330084384830265</c:v>
                </c:pt>
                <c:pt idx="129">
                  <c:v>50.842375042827769</c:v>
                </c:pt>
                <c:pt idx="130">
                  <c:v>51.353346483747899</c:v>
                </c:pt>
                <c:pt idx="131">
                  <c:v>51.863000456675501</c:v>
                </c:pt>
                <c:pt idx="132">
                  <c:v>52.371338703721158</c:v>
                </c:pt>
                <c:pt idx="133">
                  <c:v>52.878362960049799</c:v>
                </c:pt>
                <c:pt idx="134">
                  <c:v>53.384074953909192</c:v>
                </c:pt>
                <c:pt idx="135">
                  <c:v>53.888476406658214</c:v>
                </c:pt>
                <c:pt idx="136">
                  <c:v>54.391569032794976</c:v>
                </c:pt>
                <c:pt idx="137">
                  <c:v>54.893354539984799</c:v>
                </c:pt>
                <c:pt idx="138">
                  <c:v>55.393834629088019</c:v>
                </c:pt>
                <c:pt idx="139">
                  <c:v>55.893010994187613</c:v>
                </c:pt>
                <c:pt idx="140">
                  <c:v>56.390885322616697</c:v>
                </c:pt>
                <c:pt idx="141">
                  <c:v>56.887459294985817</c:v>
                </c:pt>
                <c:pt idx="142">
                  <c:v>57.382734585210144</c:v>
                </c:pt>
                <c:pt idx="143">
                  <c:v>57.876712860536443</c:v>
                </c:pt>
                <c:pt idx="144">
                  <c:v>58.369395781569949</c:v>
                </c:pt>
                <c:pt idx="145">
                  <c:v>58.860785002301036</c:v>
                </c:pt>
                <c:pt idx="146">
                  <c:v>59.350882170131769</c:v>
                </c:pt>
                <c:pt idx="147">
                  <c:v>59.839688925902266</c:v>
                </c:pt>
                <c:pt idx="148">
                  <c:v>60.327206903916952</c:v>
                </c:pt>
                <c:pt idx="149">
                  <c:v>60.813437731970623</c:v>
                </c:pt>
                <c:pt idx="150">
                  <c:v>61.298383031374371</c:v>
                </c:pt>
                <c:pt idx="151">
                  <c:v>61.782044416981378</c:v>
                </c:pt>
                <c:pt idx="152">
                  <c:v>62.264423497212526</c:v>
                </c:pt>
                <c:pt idx="153">
                  <c:v>62.745521874081895</c:v>
                </c:pt>
                <c:pt idx="154">
                  <c:v>63.225341143222082</c:v>
                </c:pt>
                <c:pt idx="155">
                  <c:v>63.703882893909409</c:v>
                </c:pt>
                <c:pt idx="156">
                  <c:v>64.181148709088944</c:v>
                </c:pt>
                <c:pt idx="157">
                  <c:v>64.657140165399426</c:v>
                </c:pt>
                <c:pt idx="158">
                  <c:v>65.13185883319801</c:v>
                </c:pt>
                <c:pt idx="159">
                  <c:v>65.605306276584869</c:v>
                </c:pt>
                <c:pt idx="160">
                  <c:v>66.07748405342771</c:v>
                </c:pt>
                <c:pt idx="161">
                  <c:v>66.548393715386041</c:v>
                </c:pt>
                <c:pt idx="162">
                  <c:v>67.018036807935431</c:v>
                </c:pt>
                <c:pt idx="163">
                  <c:v>67.486414870391528</c:v>
                </c:pt>
                <c:pt idx="164">
                  <c:v>67.953529435933987</c:v>
                </c:pt>
                <c:pt idx="165">
                  <c:v>68.419382031630249</c:v>
                </c:pt>
                <c:pt idx="166">
                  <c:v>68.883974178459198</c:v>
                </c:pt>
                <c:pt idx="167">
                  <c:v>69.347307391334652</c:v>
                </c:pt>
                <c:pt idx="168">
                  <c:v>69.809383179128758</c:v>
                </c:pt>
                <c:pt idx="169">
                  <c:v>70.270203044695222</c:v>
                </c:pt>
                <c:pt idx="170">
                  <c:v>70.729768484892418</c:v>
                </c:pt>
                <c:pt idx="171">
                  <c:v>71.188080990606366</c:v>
                </c:pt>
                <c:pt idx="172">
                  <c:v>71.6451420467736</c:v>
                </c:pt>
                <c:pt idx="173">
                  <c:v>72.100953132403873</c:v>
                </c:pt>
                <c:pt idx="174">
                  <c:v>72.555515720602742</c:v>
                </c:pt>
                <c:pt idx="175">
                  <c:v>73.008831278594016</c:v>
                </c:pt>
                <c:pt idx="176">
                  <c:v>73.460901267742116</c:v>
                </c:pt>
                <c:pt idx="177">
                  <c:v>73.911727143574268</c:v>
                </c:pt>
                <c:pt idx="178">
                  <c:v>74.361310355802573</c:v>
                </c:pt>
                <c:pt idx="179">
                  <c:v>74.809652348345992</c:v>
                </c:pt>
                <c:pt idx="180">
                  <c:v>75.256754559352117</c:v>
                </c:pt>
                <c:pt idx="181">
                  <c:v>75.702618421218958</c:v>
                </c:pt>
                <c:pt idx="182">
                  <c:v>76.147245360616452</c:v>
                </c:pt>
                <c:pt idx="183">
                  <c:v>76.590636798507987</c:v>
                </c:pt>
                <c:pt idx="184">
                  <c:v>77.032794150171682</c:v>
                </c:pt>
                <c:pt idx="185">
                  <c:v>77.473718825221653</c:v>
                </c:pt>
                <c:pt idx="186">
                  <c:v>77.913412227629081</c:v>
                </c:pt>
                <c:pt idx="187">
                  <c:v>78.351875755743237</c:v>
                </c:pt>
                <c:pt idx="188">
                  <c:v>78.789110802312294</c:v>
                </c:pt>
                <c:pt idx="189">
                  <c:v>79.225118754504081</c:v>
                </c:pt>
                <c:pt idx="190">
                  <c:v>79.659900993926755</c:v>
                </c:pt>
                <c:pt idx="191">
                  <c:v>80.093458896649238</c:v>
                </c:pt>
                <c:pt idx="192">
                  <c:v>80.525793833221684</c:v>
                </c:pt>
                <c:pt idx="193">
                  <c:v>80.956907168695707</c:v>
                </c:pt>
                <c:pt idx="194">
                  <c:v>81.386800262644599</c:v>
                </c:pt>
                <c:pt idx="195">
                  <c:v>81.815474469183314</c:v>
                </c:pt>
                <c:pt idx="196">
                  <c:v>82.242931136988474</c:v>
                </c:pt>
                <c:pt idx="197">
                  <c:v>82.66917160931817</c:v>
                </c:pt>
                <c:pt idx="198">
                  <c:v>83.09419722403166</c:v>
                </c:pt>
                <c:pt idx="199">
                  <c:v>83.518009313609014</c:v>
                </c:pt>
                <c:pt idx="200">
                  <c:v>83.940609205170588</c:v>
                </c:pt>
                <c:pt idx="201">
                  <c:v>88.10003960790084</c:v>
                </c:pt>
                <c:pt idx="202">
                  <c:v>92.13909652460832</c:v>
                </c:pt>
                <c:pt idx="203">
                  <c:v>96.059050358541484</c:v>
                </c:pt>
                <c:pt idx="204">
                  <c:v>99.861120497665453</c:v>
                </c:pt>
                <c:pt idx="205">
                  <c:v>103.5464770759672</c:v>
                </c:pt>
                <c:pt idx="206">
                  <c:v>107.11624263826782</c:v>
                </c:pt>
                <c:pt idx="207">
                  <c:v>110.5714937140406</c:v>
                </c:pt>
                <c:pt idx="208">
                  <c:v>113.91326230534288</c:v>
                </c:pt>
                <c:pt idx="209">
                  <c:v>117.14253729360945</c:v>
                </c:pt>
                <c:pt idx="210">
                  <c:v>120.26026576972284</c:v>
                </c:pt>
                <c:pt idx="211">
                  <c:v>123.26735429146969</c:v>
                </c:pt>
                <c:pt idx="212">
                  <c:v>126.16467007220953</c:v>
                </c:pt>
                <c:pt idx="213">
                  <c:v>128.95304210432133</c:v>
                </c:pt>
                <c:pt idx="214">
                  <c:v>131.6332622207529</c:v>
                </c:pt>
                <c:pt idx="215">
                  <c:v>134.20608609777705</c:v>
                </c:pt>
                <c:pt idx="216">
                  <c:v>136.67223420185522</c:v>
                </c:pt>
                <c:pt idx="217">
                  <c:v>139.03239268332396</c:v>
                </c:pt>
                <c:pt idx="218">
                  <c:v>141.28721421945218</c:v>
                </c:pt>
                <c:pt idx="219">
                  <c:v>143.43731880926651</c:v>
                </c:pt>
                <c:pt idx="220">
                  <c:v>145.48329452241197</c:v>
                </c:pt>
                <c:pt idx="221">
                  <c:v>147.4256982042053</c:v>
                </c:pt>
                <c:pt idx="222">
                  <c:v>149.26505613895472</c:v>
                </c:pt>
                <c:pt idx="223">
                  <c:v>151.00186467356687</c:v>
                </c:pt>
                <c:pt idx="224">
                  <c:v>152.63659080345235</c:v>
                </c:pt>
                <c:pt idx="225">
                  <c:v>154.16967272278825</c:v>
                </c:pt>
                <c:pt idx="226">
                  <c:v>155.60152034132884</c:v>
                </c:pt>
                <c:pt idx="227">
                  <c:v>156.9325157702136</c:v>
                </c:pt>
                <c:pt idx="228">
                  <c:v>158.16301377967667</c:v>
                </c:pt>
                <c:pt idx="229">
                  <c:v>159.29334223232712</c:v>
                </c:pt>
                <c:pt idx="230">
                  <c:v>160.32380249694458</c:v>
                </c:pt>
                <c:pt idx="231">
                  <c:v>161.25466984986136</c:v>
                </c:pt>
                <c:pt idx="232">
                  <c:v>162.08619387458521</c:v>
                </c:pt>
                <c:pt idx="233">
                  <c:v>162.8185988764416</c:v>
                </c:pt>
                <c:pt idx="234">
                  <c:v>163.45208433963256</c:v>
                </c:pt>
                <c:pt idx="235">
                  <c:v>163.986825472704</c:v>
                </c:pt>
                <c:pt idx="236">
                  <c:v>164.42297392092351</c:v>
                </c:pt>
                <c:pt idx="237">
                  <c:v>164.76065877942563</c:v>
                </c:pt>
                <c:pt idx="238">
                  <c:v>164.99998812813877</c:v>
                </c:pt>
                <c:pt idx="239">
                  <c:v>165.14105142193264</c:v>
                </c:pt>
                <c:pt idx="240">
                  <c:v>165.18392314444216</c:v>
                </c:pt>
                <c:pt idx="241">
                  <c:v>165.12866801184336</c:v>
                </c:pt>
                <c:pt idx="242">
                  <c:v>164.9753475341864</c:v>
                </c:pt>
                <c:pt idx="243">
                  <c:v>164.72402706995669</c:v>
                </c:pt>
                <c:pt idx="244">
                  <c:v>164.37478220468753</c:v>
                </c:pt>
                <c:pt idx="245">
                  <c:v>163.92770366236198</c:v>
                </c:pt>
                <c:pt idx="246">
                  <c:v>163.38290063297231</c:v>
                </c:pt>
                <c:pt idx="247">
                  <c:v>162.74050283522681</c:v>
                </c:pt>
                <c:pt idx="248">
                  <c:v>162.00066172111823</c:v>
                </c:pt>
                <c:pt idx="249">
                  <c:v>161.16355114260585</c:v>
                </c:pt>
                <c:pt idx="250">
                  <c:v>160.22936768916352</c:v>
                </c:pt>
                <c:pt idx="251">
                  <c:v>159.19833082159258</c:v>
                </c:pt>
                <c:pt idx="252">
                  <c:v>158.07068287533076</c:v>
                </c:pt>
                <c:pt idx="253">
                  <c:v>156.84668897603291</c:v>
                </c:pt>
                <c:pt idx="254">
                  <c:v>155.52663689280709</c:v>
                </c:pt>
                <c:pt idx="255">
                  <c:v>154.1108368445465</c:v>
                </c:pt>
                <c:pt idx="256">
                  <c:v>152.59962126904048</c:v>
                </c:pt>
                <c:pt idx="257">
                  <c:v>150.9933445611577</c:v>
                </c:pt>
                <c:pt idx="258">
                  <c:v>149.29238278435668</c:v>
                </c:pt>
                <c:pt idx="259">
                  <c:v>147.49713335853306</c:v>
                </c:pt>
                <c:pt idx="260">
                  <c:v>145.60801472643632</c:v>
                </c:pt>
                <c:pt idx="261">
                  <c:v>143.62546600039684</c:v>
                </c:pt>
                <c:pt idx="262">
                  <c:v>141.54994659079031</c:v>
                </c:pt>
                <c:pt idx="263">
                  <c:v>139.38193581746179</c:v>
                </c:pt>
                <c:pt idx="264">
                  <c:v>137.12193250519931</c:v>
                </c:pt>
                <c:pt idx="265">
                  <c:v>134.77045456425907</c:v>
                </c:pt>
                <c:pt idx="266">
                  <c:v>132.32803855688812</c:v>
                </c:pt>
                <c:pt idx="267">
                  <c:v>129.79523925075134</c:v>
                </c:pt>
                <c:pt idx="268">
                  <c:v>127.17262916014595</c:v>
                </c:pt>
                <c:pt idx="269">
                  <c:v>124.46079807586914</c:v>
                </c:pt>
                <c:pt idx="270">
                  <c:v>121.66035258459372</c:v>
                </c:pt>
                <c:pt idx="271">
                  <c:v>118.77191557859807</c:v>
                </c:pt>
                <c:pt idx="272">
                  <c:v>115.7961257566901</c:v>
                </c:pt>
                <c:pt idx="273">
                  <c:v>112.73363711715946</c:v>
                </c:pt>
                <c:pt idx="274">
                  <c:v>109.58511844358586</c:v>
                </c:pt>
                <c:pt idx="275">
                  <c:v>106.35125278432541</c:v>
                </c:pt>
                <c:pt idx="276">
                  <c:v>103.03273692648965</c:v>
                </c:pt>
                <c:pt idx="277">
                  <c:v>99.630280865223597</c:v>
                </c:pt>
                <c:pt idx="278">
                  <c:v>96.144607269080225</c:v>
                </c:pt>
                <c:pt idx="279">
                  <c:v>92.57645094227756</c:v>
                </c:pt>
                <c:pt idx="280">
                  <c:v>88.92655828461325</c:v>
                </c:pt>
                <c:pt idx="281">
                  <c:v>85.195686749797787</c:v>
                </c:pt>
                <c:pt idx="282">
                  <c:v>81.384604302953321</c:v>
                </c:pt>
                <c:pt idx="283">
                  <c:v>77.494088878008881</c:v>
                </c:pt>
                <c:pt idx="284">
                  <c:v>73.524927835706109</c:v>
                </c:pt>
                <c:pt idx="285">
                  <c:v>69.477917422911105</c:v>
                </c:pt>
                <c:pt idx="286">
                  <c:v>65.353862233908828</c:v>
                </c:pt>
                <c:pt idx="287">
                  <c:v>61.153574674336156</c:v>
                </c:pt>
                <c:pt idx="288">
                  <c:v>56.877874428388367</c:v>
                </c:pt>
                <c:pt idx="289">
                  <c:v>52.527587929911768</c:v>
                </c:pt>
                <c:pt idx="290">
                  <c:v>48.103547837972172</c:v>
                </c:pt>
                <c:pt idx="291">
                  <c:v>43.606592517465444</c:v>
                </c:pt>
                <c:pt idx="292">
                  <c:v>39.037565525312054</c:v>
                </c:pt>
                <c:pt idx="293">
                  <c:v>34.397315102752962</c:v>
                </c:pt>
                <c:pt idx="294">
                  <c:v>29.686693674238942</c:v>
                </c:pt>
                <c:pt idx="295">
                  <c:v>24.906557353380094</c:v>
                </c:pt>
                <c:pt idx="296">
                  <c:v>20.057765456396496</c:v>
                </c:pt>
                <c:pt idx="297">
                  <c:v>15.141180023485148</c:v>
                </c:pt>
                <c:pt idx="298">
                  <c:v>10.157665348492372</c:v>
                </c:pt>
                <c:pt idx="299">
                  <c:v>5.1080875172548428</c:v>
                </c:pt>
                <c:pt idx="300">
                  <c:v>-6.6860450534402815E-3</c:v>
                </c:pt>
                <c:pt idx="301">
                  <c:v>-1.183323143211765E-2</c:v>
                </c:pt>
                <c:pt idx="302">
                  <c:v>-1.6980481703443604E-2</c:v>
                </c:pt>
                <c:pt idx="303">
                  <c:v>-2.2127795866555042E-2</c:v>
                </c:pt>
                <c:pt idx="304">
                  <c:v>-2.7275173920588862E-2</c:v>
                </c:pt>
                <c:pt idx="305">
                  <c:v>-3.2422615864681967E-2</c:v>
                </c:pt>
                <c:pt idx="306">
                  <c:v>-3.7570121697971262E-2</c:v>
                </c:pt>
                <c:pt idx="307">
                  <c:v>-4.271769141959364E-2</c:v>
                </c:pt>
                <c:pt idx="308">
                  <c:v>-4.7865325028686005E-2</c:v>
                </c:pt>
                <c:pt idx="309">
                  <c:v>-5.3013022524385264E-2</c:v>
                </c:pt>
                <c:pt idx="310">
                  <c:v>-5.8160783905828309E-2</c:v>
                </c:pt>
                <c:pt idx="311">
                  <c:v>-6.3308609172152044E-2</c:v>
                </c:pt>
                <c:pt idx="312">
                  <c:v>-6.845649832249337E-2</c:v>
                </c:pt>
                <c:pt idx="313">
                  <c:v>-7.360445135598917E-2</c:v>
                </c:pt>
                <c:pt idx="314">
                  <c:v>-7.8752468271776357E-2</c:v>
                </c:pt>
                <c:pt idx="315">
                  <c:v>-8.3900549068991831E-2</c:v>
                </c:pt>
                <c:pt idx="316">
                  <c:v>-8.9048693746772489E-2</c:v>
                </c:pt>
                <c:pt idx="317">
                  <c:v>-9.4196902304255231E-2</c:v>
                </c:pt>
                <c:pt idx="318">
                  <c:v>-9.9345174740576955E-2</c:v>
                </c:pt>
                <c:pt idx="319">
                  <c:v>-0.10449351105487456</c:v>
                </c:pt>
                <c:pt idx="320">
                  <c:v>-0.10964191124628495</c:v>
                </c:pt>
                <c:pt idx="321">
                  <c:v>-0.11479037531394501</c:v>
                </c:pt>
                <c:pt idx="322">
                  <c:v>-0.11993890325699165</c:v>
                </c:pt>
                <c:pt idx="323">
                  <c:v>-0.12508749507456177</c:v>
                </c:pt>
                <c:pt idx="324">
                  <c:v>-0.13023615076579226</c:v>
                </c:pt>
                <c:pt idx="325">
                  <c:v>-0.13538487032982002</c:v>
                </c:pt>
                <c:pt idx="326">
                  <c:v>-0.14053365376578195</c:v>
                </c:pt>
                <c:pt idx="327">
                  <c:v>-0.14568250107281494</c:v>
                </c:pt>
                <c:pt idx="328">
                  <c:v>-0.15083141225005589</c:v>
                </c:pt>
                <c:pt idx="329">
                  <c:v>-0.15598038729664168</c:v>
                </c:pt>
                <c:pt idx="330">
                  <c:v>-0.16112942621170923</c:v>
                </c:pt>
                <c:pt idx="331">
                  <c:v>-0.16627852899439544</c:v>
                </c:pt>
                <c:pt idx="332">
                  <c:v>-0.1714276956438372</c:v>
                </c:pt>
                <c:pt idx="333">
                  <c:v>-0.17657692615917139</c:v>
                </c:pt>
                <c:pt idx="334">
                  <c:v>-0.18172622053953494</c:v>
                </c:pt>
                <c:pt idx="335">
                  <c:v>-0.18687557878406472</c:v>
                </c:pt>
                <c:pt idx="336">
                  <c:v>-0.19202500089189761</c:v>
                </c:pt>
                <c:pt idx="337">
                  <c:v>-0.19717448686217054</c:v>
                </c:pt>
                <c:pt idx="338">
                  <c:v>-0.20232403669402038</c:v>
                </c:pt>
                <c:pt idx="339">
                  <c:v>-0.20747365038658405</c:v>
                </c:pt>
                <c:pt idx="340">
                  <c:v>-0.21262332793899844</c:v>
                </c:pt>
                <c:pt idx="341">
                  <c:v>-0.21777306935040042</c:v>
                </c:pt>
                <c:pt idx="342">
                  <c:v>-0.22292287461992691</c:v>
                </c:pt>
                <c:pt idx="343">
                  <c:v>-0.2280727437467148</c:v>
                </c:pt>
                <c:pt idx="344">
                  <c:v>-0.23322267672990099</c:v>
                </c:pt>
                <c:pt idx="345">
                  <c:v>-0.23837267356862235</c:v>
                </c:pt>
                <c:pt idx="346">
                  <c:v>-0.24352273426201582</c:v>
                </c:pt>
                <c:pt idx="347">
                  <c:v>-0.24867285880921824</c:v>
                </c:pt>
                <c:pt idx="348">
                  <c:v>-0.25382304720936655</c:v>
                </c:pt>
                <c:pt idx="349">
                  <c:v>-0.25897329946159758</c:v>
                </c:pt>
                <c:pt idx="350">
                  <c:v>-0.26412361556504832</c:v>
                </c:pt>
                <c:pt idx="351">
                  <c:v>-0.26927399551885561</c:v>
                </c:pt>
                <c:pt idx="352">
                  <c:v>-0.27442443932215632</c:v>
                </c:pt>
                <c:pt idx="353">
                  <c:v>-0.27957494697408736</c:v>
                </c:pt>
                <c:pt idx="354">
                  <c:v>-0.28472551847378563</c:v>
                </c:pt>
                <c:pt idx="355">
                  <c:v>-0.28987615382038806</c:v>
                </c:pt>
                <c:pt idx="356">
                  <c:v>-0.2950268530130315</c:v>
                </c:pt>
                <c:pt idx="357">
                  <c:v>-0.3001776160508528</c:v>
                </c:pt>
                <c:pt idx="358">
                  <c:v>-0.30532844293298894</c:v>
                </c:pt>
                <c:pt idx="359">
                  <c:v>-0.31047933365857677</c:v>
                </c:pt>
                <c:pt idx="360">
                  <c:v>-0.31563028822675315</c:v>
                </c:pt>
                <c:pt idx="361">
                  <c:v>-0.32078130663665505</c:v>
                </c:pt>
                <c:pt idx="362">
                  <c:v>-0.32593238888741932</c:v>
                </c:pt>
                <c:pt idx="363">
                  <c:v>-0.33108353497818283</c:v>
                </c:pt>
                <c:pt idx="364">
                  <c:v>-0.33623474490808247</c:v>
                </c:pt>
                <c:pt idx="365">
                  <c:v>-0.34138601867625518</c:v>
                </c:pt>
                <c:pt idx="366">
                  <c:v>-0.34653735628183785</c:v>
                </c:pt>
                <c:pt idx="367">
                  <c:v>-0.35168875772396735</c:v>
                </c:pt>
                <c:pt idx="368">
                  <c:v>-0.35684022300178053</c:v>
                </c:pt>
                <c:pt idx="369">
                  <c:v>-0.36199175211441431</c:v>
                </c:pt>
                <c:pt idx="370">
                  <c:v>-0.3671433450610056</c:v>
                </c:pt>
                <c:pt idx="371">
                  <c:v>-0.37229500184069131</c:v>
                </c:pt>
                <c:pt idx="372">
                  <c:v>-0.3774467224526083</c:v>
                </c:pt>
                <c:pt idx="373">
                  <c:v>-0.38259850689589342</c:v>
                </c:pt>
                <c:pt idx="374">
                  <c:v>-0.38775035516968365</c:v>
                </c:pt>
                <c:pt idx="375">
                  <c:v>-0.39290226727311578</c:v>
                </c:pt>
                <c:pt idx="376">
                  <c:v>-0.39805424320532679</c:v>
                </c:pt>
                <c:pt idx="377">
                  <c:v>-0.40320628296545352</c:v>
                </c:pt>
                <c:pt idx="378">
                  <c:v>-0.40835838655263285</c:v>
                </c:pt>
                <c:pt idx="379">
                  <c:v>-0.41351055396600173</c:v>
                </c:pt>
                <c:pt idx="380">
                  <c:v>-0.41866278520469696</c:v>
                </c:pt>
                <c:pt idx="381">
                  <c:v>-0.42381508026785553</c:v>
                </c:pt>
                <c:pt idx="382">
                  <c:v>-0.42896743915461427</c:v>
                </c:pt>
                <c:pt idx="383">
                  <c:v>-0.43411986186411006</c:v>
                </c:pt>
                <c:pt idx="384">
                  <c:v>-0.43927234839547979</c:v>
                </c:pt>
                <c:pt idx="385">
                  <c:v>-0.4444248987478604</c:v>
                </c:pt>
                <c:pt idx="386">
                  <c:v>-0.44957751292038872</c:v>
                </c:pt>
                <c:pt idx="387">
                  <c:v>-0.45473019091220168</c:v>
                </c:pt>
                <c:pt idx="388">
                  <c:v>-0.45988293272243613</c:v>
                </c:pt>
                <c:pt idx="389">
                  <c:v>-0.46503573835022899</c:v>
                </c:pt>
                <c:pt idx="390">
                  <c:v>-0.47018860779471711</c:v>
                </c:pt>
                <c:pt idx="391">
                  <c:v>-0.4753415410550374</c:v>
                </c:pt>
                <c:pt idx="392">
                  <c:v>-0.48049453813032678</c:v>
                </c:pt>
                <c:pt idx="393">
                  <c:v>-0.4856475990197221</c:v>
                </c:pt>
                <c:pt idx="394">
                  <c:v>-0.49080072372236022</c:v>
                </c:pt>
                <c:pt idx="395">
                  <c:v>-0.49595391223737811</c:v>
                </c:pt>
                <c:pt idx="396">
                  <c:v>-0.50110716456391258</c:v>
                </c:pt>
                <c:pt idx="397">
                  <c:v>-0.50626048070110052</c:v>
                </c:pt>
                <c:pt idx="398">
                  <c:v>-0.51141386064807892</c:v>
                </c:pt>
                <c:pt idx="399">
                  <c:v>-0.51656730440398457</c:v>
                </c:pt>
                <c:pt idx="400">
                  <c:v>-0.52172081196795439</c:v>
                </c:pt>
                <c:pt idx="401">
                  <c:v>-0.52687438333912517</c:v>
                </c:pt>
                <c:pt idx="402">
                  <c:v>-0.53202801851663395</c:v>
                </c:pt>
                <c:pt idx="403">
                  <c:v>-0.53718171749961752</c:v>
                </c:pt>
                <c:pt idx="404">
                  <c:v>-0.54233548028721279</c:v>
                </c:pt>
                <c:pt idx="405">
                  <c:v>-0.54748930687855668</c:v>
                </c:pt>
                <c:pt idx="406">
                  <c:v>-0.55264319727278599</c:v>
                </c:pt>
                <c:pt idx="407">
                  <c:v>-0.55779715146903763</c:v>
                </c:pt>
                <c:pt idx="408">
                  <c:v>-0.56295116946644863</c:v>
                </c:pt>
                <c:pt idx="409">
                  <c:v>-0.56810525126415568</c:v>
                </c:pt>
                <c:pt idx="410">
                  <c:v>-0.57325939686129579</c:v>
                </c:pt>
                <c:pt idx="411">
                  <c:v>-0.57841360625700577</c:v>
                </c:pt>
                <c:pt idx="412">
                  <c:v>-0.58356787945042254</c:v>
                </c:pt>
                <c:pt idx="413">
                  <c:v>-0.58872221644068301</c:v>
                </c:pt>
                <c:pt idx="414">
                  <c:v>-0.59387661722692398</c:v>
                </c:pt>
                <c:pt idx="415">
                  <c:v>-0.59903108180828246</c:v>
                </c:pt>
                <c:pt idx="416">
                  <c:v>-0.60418561018389527</c:v>
                </c:pt>
                <c:pt idx="417">
                  <c:v>-0.60934020235289921</c:v>
                </c:pt>
                <c:pt idx="418">
                  <c:v>-0.61449485831443129</c:v>
                </c:pt>
                <c:pt idx="419">
                  <c:v>-0.61964957806762833</c:v>
                </c:pt>
                <c:pt idx="420">
                  <c:v>-0.62480436161162722</c:v>
                </c:pt>
                <c:pt idx="421">
                  <c:v>-0.6299592089455649</c:v>
                </c:pt>
                <c:pt idx="422">
                  <c:v>-0.63511412006857815</c:v>
                </c:pt>
                <c:pt idx="423">
                  <c:v>-0.640269094979804</c:v>
                </c:pt>
                <c:pt idx="424">
                  <c:v>-0.64542413367837925</c:v>
                </c:pt>
                <c:pt idx="425">
                  <c:v>-0.65057923616344071</c:v>
                </c:pt>
                <c:pt idx="426">
                  <c:v>-0.6557344024341254</c:v>
                </c:pt>
                <c:pt idx="427">
                  <c:v>-0.66088963248957011</c:v>
                </c:pt>
                <c:pt idx="428">
                  <c:v>-0.66604492632891177</c:v>
                </c:pt>
                <c:pt idx="429">
                  <c:v>-0.67120028395128717</c:v>
                </c:pt>
                <c:pt idx="430">
                  <c:v>-0.67635570535583334</c:v>
                </c:pt>
                <c:pt idx="431">
                  <c:v>-0.68151119054168707</c:v>
                </c:pt>
                <c:pt idx="432">
                  <c:v>-0.68666673950798529</c:v>
                </c:pt>
                <c:pt idx="433">
                  <c:v>-0.69182235225386479</c:v>
                </c:pt>
                <c:pt idx="434">
                  <c:v>-0.6969780287784626</c:v>
                </c:pt>
                <c:pt idx="435">
                  <c:v>-0.70213376908091552</c:v>
                </c:pt>
                <c:pt idx="436">
                  <c:v>-0.70728957316036034</c:v>
                </c:pt>
                <c:pt idx="437">
                  <c:v>-0.7124454410159341</c:v>
                </c:pt>
                <c:pt idx="438">
                  <c:v>-0.71760137264677359</c:v>
                </c:pt>
                <c:pt idx="439">
                  <c:v>-0.72275736805201574</c:v>
                </c:pt>
                <c:pt idx="440">
                  <c:v>-0.72791342723079744</c:v>
                </c:pt>
                <c:pt idx="441">
                  <c:v>-0.7330695501822555</c:v>
                </c:pt>
                <c:pt idx="442">
                  <c:v>-0.73822573690552684</c:v>
                </c:pt>
                <c:pt idx="443">
                  <c:v>-0.74338198739974837</c:v>
                </c:pt>
                <c:pt idx="444">
                  <c:v>-0.74853830166405688</c:v>
                </c:pt>
                <c:pt idx="445">
                  <c:v>-0.75369467969758941</c:v>
                </c:pt>
                <c:pt idx="446">
                  <c:v>-0.75885112149948275</c:v>
                </c:pt>
                <c:pt idx="447">
                  <c:v>-0.76400762706887371</c:v>
                </c:pt>
                <c:pt idx="448">
                  <c:v>-0.7691641964048993</c:v>
                </c:pt>
                <c:pt idx="449">
                  <c:v>-0.77432082950669634</c:v>
                </c:pt>
                <c:pt idx="450">
                  <c:v>-0.77947752637340173</c:v>
                </c:pt>
                <c:pt idx="451">
                  <c:v>-0.78463428700415228</c:v>
                </c:pt>
                <c:pt idx="452">
                  <c:v>-0.78979111139808489</c:v>
                </c:pt>
                <c:pt idx="453">
                  <c:v>-0.79494799955433648</c:v>
                </c:pt>
                <c:pt idx="454">
                  <c:v>-0.80010495147204397</c:v>
                </c:pt>
                <c:pt idx="455">
                  <c:v>-0.80526196715034415</c:v>
                </c:pt>
                <c:pt idx="456">
                  <c:v>-0.81041904658837394</c:v>
                </c:pt>
                <c:pt idx="457">
                  <c:v>-0.81557618978527024</c:v>
                </c:pt>
                <c:pt idx="458">
                  <c:v>-0.82073339674016998</c:v>
                </c:pt>
                <c:pt idx="459">
                  <c:v>-0.82589066745220996</c:v>
                </c:pt>
                <c:pt idx="460">
                  <c:v>-0.83104800192052708</c:v>
                </c:pt>
                <c:pt idx="461">
                  <c:v>-0.83620540014425815</c:v>
                </c:pt>
                <c:pt idx="462">
                  <c:v>-0.84136286212254008</c:v>
                </c:pt>
                <c:pt idx="463">
                  <c:v>-0.84652038785450978</c:v>
                </c:pt>
                <c:pt idx="464">
                  <c:v>-0.85167797733930417</c:v>
                </c:pt>
                <c:pt idx="465">
                  <c:v>-0.85683563057606005</c:v>
                </c:pt>
                <c:pt idx="466">
                  <c:v>-0.86199334756391444</c:v>
                </c:pt>
                <c:pt idx="467">
                  <c:v>-0.86715112830200403</c:v>
                </c:pt>
                <c:pt idx="468">
                  <c:v>-0.87230897278946584</c:v>
                </c:pt>
                <c:pt idx="469">
                  <c:v>-0.87746688102543668</c:v>
                </c:pt>
                <c:pt idx="470">
                  <c:v>-0.88262485300905347</c:v>
                </c:pt>
                <c:pt idx="471">
                  <c:v>-0.88778288873945299</c:v>
                </c:pt>
                <c:pt idx="472">
                  <c:v>-0.89294098821577217</c:v>
                </c:pt>
                <c:pt idx="473">
                  <c:v>-0.89809915143714791</c:v>
                </c:pt>
                <c:pt idx="474">
                  <c:v>-0.90325737840271714</c:v>
                </c:pt>
                <c:pt idx="475">
                  <c:v>-0.90841566911161664</c:v>
                </c:pt>
                <c:pt idx="476">
                  <c:v>-0.91357402356298334</c:v>
                </c:pt>
                <c:pt idx="477">
                  <c:v>-0.91873244175595414</c:v>
                </c:pt>
                <c:pt idx="478">
                  <c:v>-0.92389092368966586</c:v>
                </c:pt>
                <c:pt idx="479">
                  <c:v>-0.92904946936325539</c:v>
                </c:pt>
                <c:pt idx="480">
                  <c:v>-0.93420807877585965</c:v>
                </c:pt>
                <c:pt idx="481">
                  <c:v>-0.93936675192661545</c:v>
                </c:pt>
                <c:pt idx="482">
                  <c:v>-0.94452548881465981</c:v>
                </c:pt>
                <c:pt idx="483">
                  <c:v>-0.94968428943912941</c:v>
                </c:pt>
                <c:pt idx="484">
                  <c:v>-0.95484315379916129</c:v>
                </c:pt>
                <c:pt idx="485">
                  <c:v>-0.96000208189389225</c:v>
                </c:pt>
                <c:pt idx="486">
                  <c:v>-0.96516107372245918</c:v>
                </c:pt>
                <c:pt idx="487">
                  <c:v>-0.97032012928399891</c:v>
                </c:pt>
                <c:pt idx="488">
                  <c:v>-0.97547924857764834</c:v>
                </c:pt>
                <c:pt idx="489">
                  <c:v>-0.98063843160254438</c:v>
                </c:pt>
                <c:pt idx="490">
                  <c:v>-0.98579767835782395</c:v>
                </c:pt>
                <c:pt idx="491">
                  <c:v>-0.99095698884262384</c:v>
                </c:pt>
                <c:pt idx="492">
                  <c:v>-0.99611636305608098</c:v>
                </c:pt>
                <c:pt idx="493">
                  <c:v>-1.0012758009973322</c:v>
                </c:pt>
                <c:pt idx="494">
                  <c:v>-1.0064353026655144</c:v>
                </c:pt>
                <c:pt idx="495">
                  <c:v>-1.0115948680597644</c:v>
                </c:pt>
                <c:pt idx="496">
                  <c:v>-1.0167544971792191</c:v>
                </c:pt>
                <c:pt idx="497">
                  <c:v>-1.0219141900230155</c:v>
                </c:pt>
                <c:pt idx="498">
                  <c:v>-1.0270739465902905</c:v>
                </c:pt>
                <c:pt idx="499">
                  <c:v>-1.0322337668801806</c:v>
                </c:pt>
                <c:pt idx="500">
                  <c:v>-1.0373936508918231</c:v>
                </c:pt>
                <c:pt idx="501">
                  <c:v>-1.0425535986243546</c:v>
                </c:pt>
                <c:pt idx="502">
                  <c:v>-1.0477136100769122</c:v>
                </c:pt>
                <c:pt idx="503">
                  <c:v>-1.0528736852486327</c:v>
                </c:pt>
                <c:pt idx="504">
                  <c:v>-1.0580338241386529</c:v>
                </c:pt>
                <c:pt idx="505">
                  <c:v>-1.0631940267461097</c:v>
                </c:pt>
                <c:pt idx="506">
                  <c:v>-1.06835429307014</c:v>
                </c:pt>
                <c:pt idx="507">
                  <c:v>-1.0735146231098807</c:v>
                </c:pt>
                <c:pt idx="508">
                  <c:v>-1.0786750168644685</c:v>
                </c:pt>
                <c:pt idx="509">
                  <c:v>-1.0838354743330405</c:v>
                </c:pt>
                <c:pt idx="510">
                  <c:v>-1.0889959955147335</c:v>
                </c:pt>
                <c:pt idx="511">
                  <c:v>-1.0941565804086844</c:v>
                </c:pt>
                <c:pt idx="512">
                  <c:v>-1.0993172290140298</c:v>
                </c:pt>
                <c:pt idx="513">
                  <c:v>-1.1044779413299071</c:v>
                </c:pt>
                <c:pt idx="514">
                  <c:v>-1.1096387173554527</c:v>
                </c:pt>
                <c:pt idx="515">
                  <c:v>-1.1147995570898037</c:v>
                </c:pt>
                <c:pt idx="516">
                  <c:v>-1.119960460532097</c:v>
                </c:pt>
                <c:pt idx="517">
                  <c:v>-1.1251214276814694</c:v>
                </c:pt>
                <c:pt idx="518">
                  <c:v>-1.1302824585370577</c:v>
                </c:pt>
                <c:pt idx="519">
                  <c:v>-1.1354435530979987</c:v>
                </c:pt>
                <c:pt idx="520">
                  <c:v>-1.1406047113634297</c:v>
                </c:pt>
                <c:pt idx="521">
                  <c:v>-1.1457659333324872</c:v>
                </c:pt>
                <c:pt idx="522">
                  <c:v>-1.1509272190043083</c:v>
                </c:pt>
                <c:pt idx="523">
                  <c:v>-1.1560885683780295</c:v>
                </c:pt>
                <c:pt idx="524">
                  <c:v>-1.1612499814527881</c:v>
                </c:pt>
                <c:pt idx="525">
                  <c:v>-1.1664114582277207</c:v>
                </c:pt>
                <c:pt idx="526">
                  <c:v>-1.1715729987019643</c:v>
                </c:pt>
                <c:pt idx="527">
                  <c:v>-1.1767346028746557</c:v>
                </c:pt>
                <c:pt idx="528">
                  <c:v>-1.1818962707449319</c:v>
                </c:pt>
                <c:pt idx="529">
                  <c:v>-1.1870580023119297</c:v>
                </c:pt>
                <c:pt idx="530">
                  <c:v>-1.1922197975747859</c:v>
                </c:pt>
                <c:pt idx="531">
                  <c:v>-1.1973816565326374</c:v>
                </c:pt>
                <c:pt idx="532">
                  <c:v>-1.2025435791846211</c:v>
                </c:pt>
                <c:pt idx="533">
                  <c:v>-1.2077055655298738</c:v>
                </c:pt>
                <c:pt idx="534">
                  <c:v>-1.2128676155675326</c:v>
                </c:pt>
                <c:pt idx="535">
                  <c:v>-1.2180297292967344</c:v>
                </c:pt>
                <c:pt idx="536">
                  <c:v>-1.2231919067166157</c:v>
                </c:pt>
                <c:pt idx="537">
                  <c:v>-1.2283541478263136</c:v>
                </c:pt>
                <c:pt idx="538">
                  <c:v>-1.2335164526249649</c:v>
                </c:pt>
                <c:pt idx="539">
                  <c:v>-1.2386788211117066</c:v>
                </c:pt>
                <c:pt idx="540">
                  <c:v>-1.2438412532856755</c:v>
                </c:pt>
                <c:pt idx="541">
                  <c:v>-1.2490037491460084</c:v>
                </c:pt>
                <c:pt idx="542">
                  <c:v>-1.2541663086918422</c:v>
                </c:pt>
                <c:pt idx="543">
                  <c:v>-1.259328931922314</c:v>
                </c:pt>
                <c:pt idx="544">
                  <c:v>-1.2644916188365602</c:v>
                </c:pt>
                <c:pt idx="545">
                  <c:v>-1.2696543694337181</c:v>
                </c:pt>
                <c:pt idx="546">
                  <c:v>-1.2748171837129245</c:v>
                </c:pt>
                <c:pt idx="547">
                  <c:v>-1.2799800616733161</c:v>
                </c:pt>
                <c:pt idx="548">
                  <c:v>-1.2851430033140299</c:v>
                </c:pt>
                <c:pt idx="549">
                  <c:v>-1.2903060086342026</c:v>
                </c:pt>
                <c:pt idx="550">
                  <c:v>-1.2954690776329714</c:v>
                </c:pt>
                <c:pt idx="551">
                  <c:v>-1.300632210309473</c:v>
                </c:pt>
                <c:pt idx="552">
                  <c:v>-1.3057954066628441</c:v>
                </c:pt>
                <c:pt idx="553">
                  <c:v>-1.3109586666922217</c:v>
                </c:pt>
                <c:pt idx="554">
                  <c:v>-1.3161219903967429</c:v>
                </c:pt>
                <c:pt idx="555">
                  <c:v>-1.3212853777755442</c:v>
                </c:pt>
                <c:pt idx="556">
                  <c:v>-1.3264488288277627</c:v>
                </c:pt>
                <c:pt idx="557">
                  <c:v>-1.3316123435525353</c:v>
                </c:pt>
                <c:pt idx="558">
                  <c:v>-1.3367759219489987</c:v>
                </c:pt>
                <c:pt idx="559">
                  <c:v>-1.3419395640162899</c:v>
                </c:pt>
                <c:pt idx="560">
                  <c:v>-1.3471032697535457</c:v>
                </c:pt>
                <c:pt idx="561">
                  <c:v>-1.352267039159903</c:v>
                </c:pt>
                <c:pt idx="562">
                  <c:v>-1.3574308722344988</c:v>
                </c:pt>
                <c:pt idx="563">
                  <c:v>-1.3625947689764697</c:v>
                </c:pt>
                <c:pt idx="564">
                  <c:v>-1.3677587293849527</c:v>
                </c:pt>
                <c:pt idx="565">
                  <c:v>-1.3729227534590847</c:v>
                </c:pt>
                <c:pt idx="566">
                  <c:v>-1.3780868411980025</c:v>
                </c:pt>
                <c:pt idx="567">
                  <c:v>-1.3832509926008432</c:v>
                </c:pt>
                <c:pt idx="568">
                  <c:v>-1.3884152076667433</c:v>
                </c:pt>
                <c:pt idx="569">
                  <c:v>-1.3935794863948399</c:v>
                </c:pt>
                <c:pt idx="570">
                  <c:v>-1.3987438287842697</c:v>
                </c:pt>
                <c:pt idx="571">
                  <c:v>-1.4039082348341698</c:v>
                </c:pt>
                <c:pt idx="572">
                  <c:v>-1.4090727045436771</c:v>
                </c:pt>
                <c:pt idx="573">
                  <c:v>-1.4142372379119283</c:v>
                </c:pt>
                <c:pt idx="574">
                  <c:v>-1.4194018349380604</c:v>
                </c:pt>
                <c:pt idx="575">
                  <c:v>-1.4245664956212101</c:v>
                </c:pt>
                <c:pt idx="576">
                  <c:v>-1.4297312199605143</c:v>
                </c:pt>
                <c:pt idx="577">
                  <c:v>-1.4348960079551101</c:v>
                </c:pt>
                <c:pt idx="578">
                  <c:v>-1.440060859604134</c:v>
                </c:pt>
                <c:pt idx="579">
                  <c:v>-1.4452257749067232</c:v>
                </c:pt>
                <c:pt idx="580">
                  <c:v>-1.4503907538620144</c:v>
                </c:pt>
                <c:pt idx="581">
                  <c:v>-1.4555557964691446</c:v>
                </c:pt>
                <c:pt idx="582">
                  <c:v>-1.4607209027272503</c:v>
                </c:pt>
                <c:pt idx="583">
                  <c:v>-1.4658860726354688</c:v>
                </c:pt>
                <c:pt idx="584">
                  <c:v>-1.4710513061929367</c:v>
                </c:pt>
                <c:pt idx="585">
                  <c:v>-1.4762166033987911</c:v>
                </c:pt>
                <c:pt idx="586">
                  <c:v>-1.4813819642521688</c:v>
                </c:pt>
                <c:pt idx="587">
                  <c:v>-1.4865473887522065</c:v>
                </c:pt>
                <c:pt idx="588">
                  <c:v>-1.4917128768980412</c:v>
                </c:pt>
                <c:pt idx="589">
                  <c:v>-1.4968784286888099</c:v>
                </c:pt>
                <c:pt idx="590">
                  <c:v>-1.5020440441236493</c:v>
                </c:pt>
                <c:pt idx="591">
                  <c:v>-1.5072097232016963</c:v>
                </c:pt>
                <c:pt idx="592">
                  <c:v>-1.5123754659220878</c:v>
                </c:pt>
                <c:pt idx="593">
                  <c:v>-1.5175412722839605</c:v>
                </c:pt>
                <c:pt idx="594">
                  <c:v>-1.5227071422864515</c:v>
                </c:pt>
                <c:pt idx="595">
                  <c:v>-1.5278730759286976</c:v>
                </c:pt>
                <c:pt idx="596">
                  <c:v>-1.5330390732098356</c:v>
                </c:pt>
                <c:pt idx="597">
                  <c:v>-1.5382051341290024</c:v>
                </c:pt>
                <c:pt idx="598">
                  <c:v>-1.543371258685335</c:v>
                </c:pt>
                <c:pt idx="599">
                  <c:v>-1.54853744687797</c:v>
                </c:pt>
                <c:pt idx="600">
                  <c:v>-1.5537036987060444</c:v>
                </c:pt>
                <c:pt idx="601">
                  <c:v>-1.5588700141686951</c:v>
                </c:pt>
                <c:pt idx="602">
                  <c:v>-1.5640363932650589</c:v>
                </c:pt>
                <c:pt idx="603">
                  <c:v>-1.5692028359942729</c:v>
                </c:pt>
                <c:pt idx="604">
                  <c:v>-1.5743693423554737</c:v>
                </c:pt>
                <c:pt idx="605">
                  <c:v>-1.5795359123477983</c:v>
                </c:pt>
                <c:pt idx="606">
                  <c:v>-1.5847025459703836</c:v>
                </c:pt>
                <c:pt idx="607">
                  <c:v>-1.5898692432223664</c:v>
                </c:pt>
                <c:pt idx="608">
                  <c:v>-1.5950360041028835</c:v>
                </c:pt>
                <c:pt idx="609">
                  <c:v>-1.6002028286110719</c:v>
                </c:pt>
                <c:pt idx="610">
                  <c:v>-1.6053697167460683</c:v>
                </c:pt>
                <c:pt idx="611">
                  <c:v>-1.6105366685070097</c:v>
                </c:pt>
                <c:pt idx="612">
                  <c:v>-1.615703683893033</c:v>
                </c:pt>
                <c:pt idx="613">
                  <c:v>-1.620870762903275</c:v>
                </c:pt>
                <c:pt idx="614">
                  <c:v>-1.6260379055368726</c:v>
                </c:pt>
                <c:pt idx="615">
                  <c:v>-1.6312051117929625</c:v>
                </c:pt>
                <c:pt idx="616">
                  <c:v>-1.6363723816706819</c:v>
                </c:pt>
                <c:pt idx="617">
                  <c:v>-1.6415397151691673</c:v>
                </c:pt>
                <c:pt idx="618">
                  <c:v>-1.6467071122875558</c:v>
                </c:pt>
                <c:pt idx="619">
                  <c:v>-1.6518745730249844</c:v>
                </c:pt>
                <c:pt idx="620">
                  <c:v>-1.6570420973805897</c:v>
                </c:pt>
                <c:pt idx="621">
                  <c:v>-1.6622096853535087</c:v>
                </c:pt>
                <c:pt idx="622">
                  <c:v>-1.6673773369428782</c:v>
                </c:pt>
                <c:pt idx="623">
                  <c:v>-1.6725450521478349</c:v>
                </c:pt>
                <c:pt idx="624">
                  <c:v>-1.677712830967516</c:v>
                </c:pt>
                <c:pt idx="625">
                  <c:v>-1.6828806734010582</c:v>
                </c:pt>
                <c:pt idx="626">
                  <c:v>-1.6880485794475983</c:v>
                </c:pt>
                <c:pt idx="627">
                  <c:v>-1.6932165491062734</c:v>
                </c:pt>
                <c:pt idx="628">
                  <c:v>-1.6983845823762203</c:v>
                </c:pt>
                <c:pt idx="629">
                  <c:v>-1.7035526792565756</c:v>
                </c:pt>
                <c:pt idx="630">
                  <c:v>-1.7087208397464766</c:v>
                </c:pt>
                <c:pt idx="631">
                  <c:v>-1.7138890638450599</c:v>
                </c:pt>
                <c:pt idx="632">
                  <c:v>-1.7190573515514622</c:v>
                </c:pt>
                <c:pt idx="633">
                  <c:v>-1.7242257028648207</c:v>
                </c:pt>
                <c:pt idx="634">
                  <c:v>-1.7293941177842722</c:v>
                </c:pt>
                <c:pt idx="635">
                  <c:v>-1.7345625963089535</c:v>
                </c:pt>
                <c:pt idx="636">
                  <c:v>-1.7397311384380014</c:v>
                </c:pt>
                <c:pt idx="637">
                  <c:v>-1.7448997441705529</c:v>
                </c:pt>
                <c:pt idx="638">
                  <c:v>-1.7500684135057447</c:v>
                </c:pt>
                <c:pt idx="639">
                  <c:v>-1.7552371464427139</c:v>
                </c:pt>
                <c:pt idx="640">
                  <c:v>-1.7604059429805972</c:v>
                </c:pt>
                <c:pt idx="641">
                  <c:v>-1.7655748031185314</c:v>
                </c:pt>
                <c:pt idx="642">
                  <c:v>-1.7707437268556536</c:v>
                </c:pt>
                <c:pt idx="643">
                  <c:v>-1.7759127141911004</c:v>
                </c:pt>
                <c:pt idx="644">
                  <c:v>-1.781081765124009</c:v>
                </c:pt>
                <c:pt idx="645">
                  <c:v>-1.7862508796535159</c:v>
                </c:pt>
                <c:pt idx="646">
                  <c:v>-1.7914200577787582</c:v>
                </c:pt>
                <c:pt idx="647">
                  <c:v>-1.7965892994988728</c:v>
                </c:pt>
                <c:pt idx="648">
                  <c:v>-1.8017586048129963</c:v>
                </c:pt>
                <c:pt idx="649">
                  <c:v>-1.8069279737202659</c:v>
                </c:pt>
                <c:pt idx="650">
                  <c:v>-1.8120974062198183</c:v>
                </c:pt>
                <c:pt idx="651">
                  <c:v>-1.8172669023107904</c:v>
                </c:pt>
                <c:pt idx="652">
                  <c:v>-1.822436461992319</c:v>
                </c:pt>
                <c:pt idx="653">
                  <c:v>-1.827606085263541</c:v>
                </c:pt>
                <c:pt idx="654">
                  <c:v>-1.8327757721235931</c:v>
                </c:pt>
                <c:pt idx="655">
                  <c:v>-1.8379455225716126</c:v>
                </c:pt>
                <c:pt idx="656">
                  <c:v>-1.8431153366067361</c:v>
                </c:pt>
                <c:pt idx="657">
                  <c:v>-1.8482852142281003</c:v>
                </c:pt>
                <c:pt idx="658">
                  <c:v>-1.8534551554348424</c:v>
                </c:pt>
                <c:pt idx="659">
                  <c:v>-1.858625160226099</c:v>
                </c:pt>
                <c:pt idx="660">
                  <c:v>-1.8637952286010071</c:v>
                </c:pt>
                <c:pt idx="661">
                  <c:v>-1.8689653605587035</c:v>
                </c:pt>
                <c:pt idx="662">
                  <c:v>-1.8741355560983253</c:v>
                </c:pt>
                <c:pt idx="663">
                  <c:v>-1.879305815219009</c:v>
                </c:pt>
                <c:pt idx="664">
                  <c:v>-1.8844761379198918</c:v>
                </c:pt>
                <c:pt idx="665">
                  <c:v>-1.8896465242001104</c:v>
                </c:pt>
                <c:pt idx="666">
                  <c:v>-1.8948169740588017</c:v>
                </c:pt>
                <c:pt idx="667">
                  <c:v>-1.8999874874951024</c:v>
                </c:pt>
                <c:pt idx="668">
                  <c:v>-1.9051580645081496</c:v>
                </c:pt>
                <c:pt idx="669">
                  <c:v>-1.9103287050970801</c:v>
                </c:pt>
                <c:pt idx="670">
                  <c:v>-1.9154994092610307</c:v>
                </c:pt>
                <c:pt idx="671">
                  <c:v>-1.9206701769991383</c:v>
                </c:pt>
                <c:pt idx="672">
                  <c:v>-1.9258410083105397</c:v>
                </c:pt>
                <c:pt idx="673">
                  <c:v>-1.931011903194372</c:v>
                </c:pt>
                <c:pt idx="674">
                  <c:v>-1.9361828616497718</c:v>
                </c:pt>
                <c:pt idx="675">
                  <c:v>-1.9413538836758761</c:v>
                </c:pt>
                <c:pt idx="676">
                  <c:v>-1.9465249692718218</c:v>
                </c:pt>
                <c:pt idx="677">
                  <c:v>-1.9516961184367456</c:v>
                </c:pt>
                <c:pt idx="678">
                  <c:v>-1.9568673311697846</c:v>
                </c:pt>
                <c:pt idx="679">
                  <c:v>-1.9620386074700755</c:v>
                </c:pt>
                <c:pt idx="680">
                  <c:v>-1.9672099473367552</c:v>
                </c:pt>
                <c:pt idx="681">
                  <c:v>-1.9723813507689607</c:v>
                </c:pt>
                <c:pt idx="682">
                  <c:v>-1.9775528177658286</c:v>
                </c:pt>
                <c:pt idx="683">
                  <c:v>-1.9827243483264958</c:v>
                </c:pt>
                <c:pt idx="684">
                  <c:v>-1.9878959424500995</c:v>
                </c:pt>
                <c:pt idx="685">
                  <c:v>-1.9930676001357761</c:v>
                </c:pt>
                <c:pt idx="686">
                  <c:v>-1.9982393213826628</c:v>
                </c:pt>
                <c:pt idx="687">
                  <c:v>-2.0034111061898963</c:v>
                </c:pt>
                <c:pt idx="688">
                  <c:v>-2.0085829545566134</c:v>
                </c:pt>
                <c:pt idx="689">
                  <c:v>-2.0137548664819516</c:v>
                </c:pt>
                <c:pt idx="690">
                  <c:v>-2.018926841965047</c:v>
                </c:pt>
                <c:pt idx="691">
                  <c:v>-2.0240988810050369</c:v>
                </c:pt>
                <c:pt idx="692">
                  <c:v>-2.0292709836010578</c:v>
                </c:pt>
                <c:pt idx="693">
                  <c:v>-2.034443149752247</c:v>
                </c:pt>
                <c:pt idx="694">
                  <c:v>-2.0396153794577412</c:v>
                </c:pt>
                <c:pt idx="695">
                  <c:v>-2.0447876727166769</c:v>
                </c:pt>
                <c:pt idx="696">
                  <c:v>-2.0499600295281915</c:v>
                </c:pt>
                <c:pt idx="697">
                  <c:v>-2.0551324498914214</c:v>
                </c:pt>
                <c:pt idx="698">
                  <c:v>-2.0603049338055039</c:v>
                </c:pt>
                <c:pt idx="699">
                  <c:v>-2.0654774812695758</c:v>
                </c:pt>
                <c:pt idx="700">
                  <c:v>-2.0706500922827735</c:v>
                </c:pt>
                <c:pt idx="701">
                  <c:v>-2.0758227668442344</c:v>
                </c:pt>
                <c:pt idx="702">
                  <c:v>-2.080995504953095</c:v>
                </c:pt>
                <c:pt idx="703">
                  <c:v>-2.0861683066084926</c:v>
                </c:pt>
                <c:pt idx="704">
                  <c:v>-2.0913411718095638</c:v>
                </c:pt>
                <c:pt idx="705">
                  <c:v>-2.0965141005554453</c:v>
                </c:pt>
                <c:pt idx="706">
                  <c:v>-2.1016870928452742</c:v>
                </c:pt>
                <c:pt idx="707">
                  <c:v>-2.1068601486781873</c:v>
                </c:pt>
                <c:pt idx="708">
                  <c:v>-2.1120332680533211</c:v>
                </c:pt>
                <c:pt idx="709">
                  <c:v>-2.117206450969813</c:v>
                </c:pt>
                <c:pt idx="710">
                  <c:v>-2.1223796974267999</c:v>
                </c:pt>
                <c:pt idx="711">
                  <c:v>-2.1275530074234181</c:v>
                </c:pt>
                <c:pt idx="712">
                  <c:v>-2.1327263809588048</c:v>
                </c:pt>
                <c:pt idx="713">
                  <c:v>-2.1378998180320972</c:v>
                </c:pt>
                <c:pt idx="714">
                  <c:v>-2.1430733186424318</c:v>
                </c:pt>
                <c:pt idx="715">
                  <c:v>-2.1482468827889454</c:v>
                </c:pt>
                <c:pt idx="716">
                  <c:v>-2.1534205104707751</c:v>
                </c:pt>
                <c:pt idx="717">
                  <c:v>-2.1585942016870576</c:v>
                </c:pt>
                <c:pt idx="718">
                  <c:v>-2.1637679564369301</c:v>
                </c:pt>
                <c:pt idx="719">
                  <c:v>-2.1689417747195288</c:v>
                </c:pt>
                <c:pt idx="720">
                  <c:v>-2.1741156565339912</c:v>
                </c:pt>
                <c:pt idx="721">
                  <c:v>-2.1792896018794536</c:v>
                </c:pt>
                <c:pt idx="722">
                  <c:v>-2.1844636107550537</c:v>
                </c:pt>
                <c:pt idx="723">
                  <c:v>-2.1896376831599276</c:v>
                </c:pt>
                <c:pt idx="724">
                  <c:v>-2.1948118190932124</c:v>
                </c:pt>
                <c:pt idx="725">
                  <c:v>-2.199986018554045</c:v>
                </c:pt>
                <c:pt idx="726">
                  <c:v>-2.2051602815415623</c:v>
                </c:pt>
                <c:pt idx="727">
                  <c:v>-2.2103346080549011</c:v>
                </c:pt>
                <c:pt idx="728">
                  <c:v>-2.2155089980931981</c:v>
                </c:pt>
                <c:pt idx="729">
                  <c:v>-2.2206834516555904</c:v>
                </c:pt>
                <c:pt idx="730">
                  <c:v>-2.2258579687412148</c:v>
                </c:pt>
                <c:pt idx="731">
                  <c:v>-2.2310325493492082</c:v>
                </c:pt>
                <c:pt idx="732">
                  <c:v>-2.2362071934787076</c:v>
                </c:pt>
                <c:pt idx="733">
                  <c:v>-2.2413819011288494</c:v>
                </c:pt>
                <c:pt idx="734">
                  <c:v>-2.2465566722987709</c:v>
                </c:pt>
                <c:pt idx="735">
                  <c:v>-2.2517315069876092</c:v>
                </c:pt>
                <c:pt idx="736">
                  <c:v>-2.2569064051945005</c:v>
                </c:pt>
                <c:pt idx="737">
                  <c:v>-2.262081366918582</c:v>
                </c:pt>
                <c:pt idx="738">
                  <c:v>-2.2672563921589908</c:v>
                </c:pt>
                <c:pt idx="739">
                  <c:v>-2.2724314809148631</c:v>
                </c:pt>
                <c:pt idx="740">
                  <c:v>-2.2776066331853366</c:v>
                </c:pt>
                <c:pt idx="741">
                  <c:v>-2.2827818489695475</c:v>
                </c:pt>
                <c:pt idx="742">
                  <c:v>-2.2879571282666329</c:v>
                </c:pt>
                <c:pt idx="743">
                  <c:v>-2.2931324710757299</c:v>
                </c:pt>
                <c:pt idx="744">
                  <c:v>-2.2983078773959749</c:v>
                </c:pt>
                <c:pt idx="745">
                  <c:v>-2.3034833472265048</c:v>
                </c:pt>
                <c:pt idx="746">
                  <c:v>-2.308658880566457</c:v>
                </c:pt>
                <c:pt idx="747">
                  <c:v>-2.3138344774149679</c:v>
                </c:pt>
                <c:pt idx="748">
                  <c:v>-2.3190101377711745</c:v>
                </c:pt>
                <c:pt idx="749">
                  <c:v>-2.3241858616342137</c:v>
                </c:pt>
                <c:pt idx="750">
                  <c:v>-2.3293616490032223</c:v>
                </c:pt>
                <c:pt idx="751">
                  <c:v>-2.3345374998773374</c:v>
                </c:pt>
                <c:pt idx="752">
                  <c:v>-2.3397134142556957</c:v>
                </c:pt>
                <c:pt idx="753">
                  <c:v>-2.3448893921374339</c:v>
                </c:pt>
                <c:pt idx="754">
                  <c:v>-2.3500654335216891</c:v>
                </c:pt>
                <c:pt idx="755">
                  <c:v>-2.355241538407598</c:v>
                </c:pt>
                <c:pt idx="756">
                  <c:v>-2.3604177067942973</c:v>
                </c:pt>
                <c:pt idx="757">
                  <c:v>-2.3655939386809242</c:v>
                </c:pt>
                <c:pt idx="758">
                  <c:v>-2.3707702340666157</c:v>
                </c:pt>
                <c:pt idx="759">
                  <c:v>-2.3759465929505081</c:v>
                </c:pt>
                <c:pt idx="760">
                  <c:v>-2.3811230153317391</c:v>
                </c:pt>
                <c:pt idx="761">
                  <c:v>-2.3862995012094448</c:v>
                </c:pt>
                <c:pt idx="762">
                  <c:v>-2.3914760505827624</c:v>
                </c:pt>
                <c:pt idx="763">
                  <c:v>-2.3966526634508285</c:v>
                </c:pt>
                <c:pt idx="764">
                  <c:v>-2.4018293398127804</c:v>
                </c:pt>
                <c:pt idx="765">
                  <c:v>-2.4070060796677546</c:v>
                </c:pt>
                <c:pt idx="766">
                  <c:v>-2.4121828830148884</c:v>
                </c:pt>
                <c:pt idx="767">
                  <c:v>-2.4173597498533179</c:v>
                </c:pt>
                <c:pt idx="768">
                  <c:v>-2.4225366801821808</c:v>
                </c:pt>
                <c:pt idx="769">
                  <c:v>-2.4277136740006133</c:v>
                </c:pt>
                <c:pt idx="770">
                  <c:v>-2.4328907313077526</c:v>
                </c:pt>
                <c:pt idx="771">
                  <c:v>-2.4380678521027357</c:v>
                </c:pt>
                <c:pt idx="772">
                  <c:v>-2.4432450363846994</c:v>
                </c:pt>
                <c:pt idx="773">
                  <c:v>-2.4484222841527803</c:v>
                </c:pt>
                <c:pt idx="774">
                  <c:v>-2.4535995954061156</c:v>
                </c:pt>
                <c:pt idx="775">
                  <c:v>-2.458776970143842</c:v>
                </c:pt>
                <c:pt idx="776">
                  <c:v>-2.4639544083650962</c:v>
                </c:pt>
                <c:pt idx="777">
                  <c:v>-2.4691319100690152</c:v>
                </c:pt>
                <c:pt idx="778">
                  <c:v>-2.4743094752547359</c:v>
                </c:pt>
                <c:pt idx="779">
                  <c:v>-2.4794871039213953</c:v>
                </c:pt>
                <c:pt idx="780">
                  <c:v>-2.4846647960681301</c:v>
                </c:pt>
                <c:pt idx="781">
                  <c:v>-2.489842551694077</c:v>
                </c:pt>
                <c:pt idx="782">
                  <c:v>-2.4950203707983731</c:v>
                </c:pt>
                <c:pt idx="783">
                  <c:v>-2.5001982533801557</c:v>
                </c:pt>
                <c:pt idx="784">
                  <c:v>-2.5053761994385608</c:v>
                </c:pt>
                <c:pt idx="785">
                  <c:v>-2.5105542089727257</c:v>
                </c:pt>
                <c:pt idx="786">
                  <c:v>-2.5157322819817876</c:v>
                </c:pt>
                <c:pt idx="787">
                  <c:v>-2.5209104184648825</c:v>
                </c:pt>
                <c:pt idx="788">
                  <c:v>-2.5260886184211482</c:v>
                </c:pt>
                <c:pt idx="789">
                  <c:v>-2.5312668818497208</c:v>
                </c:pt>
                <c:pt idx="790">
                  <c:v>-2.5364452087497376</c:v>
                </c:pt>
                <c:pt idx="791">
                  <c:v>-2.5416235991203355</c:v>
                </c:pt>
                <c:pt idx="792">
                  <c:v>-2.546802052960651</c:v>
                </c:pt>
                <c:pt idx="793">
                  <c:v>-2.5519805702698215</c:v>
                </c:pt>
                <c:pt idx="794">
                  <c:v>-2.5571591510469833</c:v>
                </c:pt>
                <c:pt idx="795">
                  <c:v>-2.5623377952912736</c:v>
                </c:pt>
                <c:pt idx="796">
                  <c:v>-2.5675165030018294</c:v>
                </c:pt>
                <c:pt idx="797">
                  <c:v>-2.5726952741777875</c:v>
                </c:pt>
                <c:pt idx="798">
                  <c:v>-2.5778741088182846</c:v>
                </c:pt>
                <c:pt idx="799">
                  <c:v>-2.5830530069224573</c:v>
                </c:pt>
                <c:pt idx="800">
                  <c:v>-2.5882319684894428</c:v>
                </c:pt>
                <c:pt idx="801">
                  <c:v>-2.5934109935183782</c:v>
                </c:pt>
                <c:pt idx="802">
                  <c:v>-2.5985900820083998</c:v>
                </c:pt>
                <c:pt idx="803">
                  <c:v>-2.6037692339586451</c:v>
                </c:pt>
                <c:pt idx="804">
                  <c:v>-2.6089484493682504</c:v>
                </c:pt>
                <c:pt idx="805">
                  <c:v>-2.6141277282363529</c:v>
                </c:pt>
                <c:pt idx="806">
                  <c:v>-2.6193070705620896</c:v>
                </c:pt>
                <c:pt idx="807">
                  <c:v>-2.6244864763445968</c:v>
                </c:pt>
                <c:pt idx="808">
                  <c:v>-2.629665945583012</c:v>
                </c:pt>
                <c:pt idx="809">
                  <c:v>-2.6348454782764716</c:v>
                </c:pt>
                <c:pt idx="810">
                  <c:v>-2.6400250744241127</c:v>
                </c:pt>
                <c:pt idx="811">
                  <c:v>-2.6452047340250724</c:v>
                </c:pt>
                <c:pt idx="812">
                  <c:v>-2.6503844570784869</c:v>
                </c:pt>
                <c:pt idx="813">
                  <c:v>-2.6555642435834939</c:v>
                </c:pt>
                <c:pt idx="814">
                  <c:v>-2.6607440935392295</c:v>
                </c:pt>
                <c:pt idx="815">
                  <c:v>-2.6659240069448309</c:v>
                </c:pt>
                <c:pt idx="816">
                  <c:v>-2.6711039837994348</c:v>
                </c:pt>
                <c:pt idx="817">
                  <c:v>-2.6762840241021784</c:v>
                </c:pt>
                <c:pt idx="818">
                  <c:v>-2.6814641278521982</c:v>
                </c:pt>
                <c:pt idx="819">
                  <c:v>-2.6866442950486316</c:v>
                </c:pt>
                <c:pt idx="820">
                  <c:v>-2.691824525690615</c:v>
                </c:pt>
                <c:pt idx="821">
                  <c:v>-2.6970048197772853</c:v>
                </c:pt>
                <c:pt idx="822">
                  <c:v>-2.7021851773077796</c:v>
                </c:pt>
                <c:pt idx="823">
                  <c:v>-2.7073655982812346</c:v>
                </c:pt>
                <c:pt idx="824">
                  <c:v>-2.7125460826967873</c:v>
                </c:pt>
                <c:pt idx="825">
                  <c:v>-2.7177266305535746</c:v>
                </c:pt>
                <c:pt idx="826">
                  <c:v>-2.722907241850733</c:v>
                </c:pt>
                <c:pt idx="827">
                  <c:v>-2.7280879165873997</c:v>
                </c:pt>
                <c:pt idx="828">
                  <c:v>-2.7332686547627114</c:v>
                </c:pt>
                <c:pt idx="829">
                  <c:v>-2.7384494563758053</c:v>
                </c:pt>
                <c:pt idx="830">
                  <c:v>-2.743630321425818</c:v>
                </c:pt>
                <c:pt idx="831">
                  <c:v>-2.7488112499118862</c:v>
                </c:pt>
                <c:pt idx="832">
                  <c:v>-2.7539922418331471</c:v>
                </c:pt>
                <c:pt idx="833">
                  <c:v>-2.7591732971887373</c:v>
                </c:pt>
                <c:pt idx="834">
                  <c:v>-2.764354415977794</c:v>
                </c:pt>
                <c:pt idx="835">
                  <c:v>-2.7695355981994538</c:v>
                </c:pt>
                <c:pt idx="836">
                  <c:v>-2.7747168438528536</c:v>
                </c:pt>
                <c:pt idx="837">
                  <c:v>-2.7798981529371303</c:v>
                </c:pt>
                <c:pt idx="838">
                  <c:v>-2.7850795254514207</c:v>
                </c:pt>
                <c:pt idx="839">
                  <c:v>-2.7902609613948619</c:v>
                </c:pt>
                <c:pt idx="840">
                  <c:v>-2.7954424607665906</c:v>
                </c:pt>
                <c:pt idx="841">
                  <c:v>-2.8006240235657436</c:v>
                </c:pt>
                <c:pt idx="842">
                  <c:v>-2.8058056497914579</c:v>
                </c:pt>
                <c:pt idx="843">
                  <c:v>-2.8109873394428702</c:v>
                </c:pt>
                <c:pt idx="844">
                  <c:v>-2.8161690925191176</c:v>
                </c:pt>
                <c:pt idx="845">
                  <c:v>-2.8213509090193369</c:v>
                </c:pt>
                <c:pt idx="846">
                  <c:v>-2.8265327889426648</c:v>
                </c:pt>
                <c:pt idx="847">
                  <c:v>-2.8317147322882383</c:v>
                </c:pt>
                <c:pt idx="848">
                  <c:v>-2.8368967390551942</c:v>
                </c:pt>
                <c:pt idx="849">
                  <c:v>-2.8420788092426696</c:v>
                </c:pt>
                <c:pt idx="850">
                  <c:v>-2.8472609428498012</c:v>
                </c:pt>
                <c:pt idx="851">
                  <c:v>-2.8524431398757257</c:v>
                </c:pt>
                <c:pt idx="852">
                  <c:v>-2.8576254003195802</c:v>
                </c:pt>
                <c:pt idx="853">
                  <c:v>-2.8628077241805019</c:v>
                </c:pt>
                <c:pt idx="854">
                  <c:v>-2.8679901114576269</c:v>
                </c:pt>
                <c:pt idx="855">
                  <c:v>-2.8731725621500925</c:v>
                </c:pt>
                <c:pt idx="856">
                  <c:v>-2.8783550762570358</c:v>
                </c:pt>
                <c:pt idx="857">
                  <c:v>-2.8835376537775934</c:v>
                </c:pt>
                <c:pt idx="858">
                  <c:v>-2.8887202947109021</c:v>
                </c:pt>
                <c:pt idx="859">
                  <c:v>-2.8939029990560989</c:v>
                </c:pt>
                <c:pt idx="860">
                  <c:v>-2.8990857668123207</c:v>
                </c:pt>
                <c:pt idx="861">
                  <c:v>-2.904268597978704</c:v>
                </c:pt>
                <c:pt idx="862">
                  <c:v>-2.909451492554386</c:v>
                </c:pt>
                <c:pt idx="863">
                  <c:v>-2.9146344505385033</c:v>
                </c:pt>
                <c:pt idx="864">
                  <c:v>-2.9198174719301933</c:v>
                </c:pt>
                <c:pt idx="865">
                  <c:v>-2.9250005567285924</c:v>
                </c:pt>
                <c:pt idx="866">
                  <c:v>-2.9301837049328379</c:v>
                </c:pt>
                <c:pt idx="867">
                  <c:v>-2.9353669165420659</c:v>
                </c:pt>
                <c:pt idx="868">
                  <c:v>-2.9405501915554142</c:v>
                </c:pt>
                <c:pt idx="869">
                  <c:v>-2.9457335299720193</c:v>
                </c:pt>
                <c:pt idx="870">
                  <c:v>-2.950916931791018</c:v>
                </c:pt>
                <c:pt idx="871">
                  <c:v>-2.9561003970115469</c:v>
                </c:pt>
                <c:pt idx="872">
                  <c:v>-2.9612839256327432</c:v>
                </c:pt>
                <c:pt idx="873">
                  <c:v>-2.9664675176537436</c:v>
                </c:pt>
                <c:pt idx="874">
                  <c:v>-2.9716511730736852</c:v>
                </c:pt>
                <c:pt idx="875">
                  <c:v>-2.9768348918917047</c:v>
                </c:pt>
                <c:pt idx="876">
                  <c:v>-2.9820186741069392</c:v>
                </c:pt>
                <c:pt idx="877">
                  <c:v>-2.9872025197185255</c:v>
                </c:pt>
                <c:pt idx="878">
                  <c:v>-2.9923864287256001</c:v>
                </c:pt>
                <c:pt idx="879">
                  <c:v>-2.9975704011273003</c:v>
                </c:pt>
                <c:pt idx="880">
                  <c:v>-3.0027544369227628</c:v>
                </c:pt>
                <c:pt idx="881">
                  <c:v>-3.0079385361111246</c:v>
                </c:pt>
                <c:pt idx="882">
                  <c:v>-3.0131226986915225</c:v>
                </c:pt>
                <c:pt idx="883">
                  <c:v>-3.0183069246630931</c:v>
                </c:pt>
                <c:pt idx="884">
                  <c:v>-3.0234912140249737</c:v>
                </c:pt>
                <c:pt idx="885">
                  <c:v>-3.0286755667763008</c:v>
                </c:pt>
                <c:pt idx="886">
                  <c:v>-3.0338599829162116</c:v>
                </c:pt>
                <c:pt idx="887">
                  <c:v>-3.0390444624438429</c:v>
                </c:pt>
                <c:pt idx="888">
                  <c:v>-3.0442290053583316</c:v>
                </c:pt>
                <c:pt idx="889">
                  <c:v>-3.0494136116588142</c:v>
                </c:pt>
                <c:pt idx="890">
                  <c:v>-3.0545982813444281</c:v>
                </c:pt>
                <c:pt idx="891">
                  <c:v>-3.0597830144143097</c:v>
                </c:pt>
                <c:pt idx="892">
                  <c:v>-3.0649678108675964</c:v>
                </c:pt>
                <c:pt idx="893">
                  <c:v>-3.0701526707034246</c:v>
                </c:pt>
                <c:pt idx="894">
                  <c:v>-3.0753375939209313</c:v>
                </c:pt>
                <c:pt idx="895">
                  <c:v>-3.0805225805192533</c:v>
                </c:pt>
                <c:pt idx="896">
                  <c:v>-3.0857076304975277</c:v>
                </c:pt>
                <c:pt idx="897">
                  <c:v>-3.0908927438548912</c:v>
                </c:pt>
                <c:pt idx="898">
                  <c:v>-3.0960779205904809</c:v>
                </c:pt>
                <c:pt idx="899">
                  <c:v>-3.1012631607034336</c:v>
                </c:pt>
                <c:pt idx="900">
                  <c:v>-3.1064484641928858</c:v>
                </c:pt>
                <c:pt idx="901">
                  <c:v>-3.1116338310579748</c:v>
                </c:pt>
                <c:pt idx="902">
                  <c:v>-3.1168192612978372</c:v>
                </c:pt>
                <c:pt idx="903">
                  <c:v>-3.1220047549116101</c:v>
                </c:pt>
                <c:pt idx="904">
                  <c:v>-3.1271903118984303</c:v>
                </c:pt>
                <c:pt idx="905">
                  <c:v>-3.1323759322574345</c:v>
                </c:pt>
                <c:pt idx="906">
                  <c:v>-3.1375616159877597</c:v>
                </c:pt>
                <c:pt idx="907">
                  <c:v>-3.1427473630885427</c:v>
                </c:pt>
                <c:pt idx="908">
                  <c:v>-3.1479331735589207</c:v>
                </c:pt>
                <c:pt idx="909">
                  <c:v>-3.1531190473980302</c:v>
                </c:pt>
                <c:pt idx="910">
                  <c:v>-3.1583049846050084</c:v>
                </c:pt>
                <c:pt idx="911">
                  <c:v>-3.1634909851789916</c:v>
                </c:pt>
                <c:pt idx="912">
                  <c:v>-3.1686770491191174</c:v>
                </c:pt>
                <c:pt idx="913">
                  <c:v>-3.1738631764245224</c:v>
                </c:pt>
                <c:pt idx="914">
                  <c:v>-3.1790493670943434</c:v>
                </c:pt>
                <c:pt idx="915">
                  <c:v>-3.184235621127717</c:v>
                </c:pt>
                <c:pt idx="916">
                  <c:v>-3.1894219385237803</c:v>
                </c:pt>
                <c:pt idx="917">
                  <c:v>-3.1946083192816705</c:v>
                </c:pt>
                <c:pt idx="918">
                  <c:v>-3.1997947634005239</c:v>
                </c:pt>
                <c:pt idx="919">
                  <c:v>-3.204981270879478</c:v>
                </c:pt>
                <c:pt idx="920">
                  <c:v>-3.2101678417176691</c:v>
                </c:pt>
                <c:pt idx="921">
                  <c:v>-3.2153544759142343</c:v>
                </c:pt>
                <c:pt idx="922">
                  <c:v>-3.2205411734683107</c:v>
                </c:pt>
                <c:pt idx="923">
                  <c:v>-3.225727934379035</c:v>
                </c:pt>
                <c:pt idx="924">
                  <c:v>-3.230914758645544</c:v>
                </c:pt>
                <c:pt idx="925">
                  <c:v>-3.2361016462669747</c:v>
                </c:pt>
                <c:pt idx="926">
                  <c:v>-3.2412885972424639</c:v>
                </c:pt>
                <c:pt idx="927">
                  <c:v>-3.2464756115711482</c:v>
                </c:pt>
                <c:pt idx="928">
                  <c:v>-3.2516626892521647</c:v>
                </c:pt>
                <c:pt idx="929">
                  <c:v>-3.2568498302846507</c:v>
                </c:pt>
                <c:pt idx="930">
                  <c:v>-3.2620370346677423</c:v>
                </c:pt>
                <c:pt idx="931">
                  <c:v>-3.2672243024005772</c:v>
                </c:pt>
                <c:pt idx="932">
                  <c:v>-3.2724116334822915</c:v>
                </c:pt>
                <c:pt idx="933">
                  <c:v>-3.2775990279120224</c:v>
                </c:pt>
                <c:pt idx="934">
                  <c:v>-3.2827864856889071</c:v>
                </c:pt>
                <c:pt idx="935">
                  <c:v>-3.2879740068120822</c:v>
                </c:pt>
                <c:pt idx="936">
                  <c:v>-3.2931615912806844</c:v>
                </c:pt>
                <c:pt idx="937">
                  <c:v>-3.2983492390938509</c:v>
                </c:pt>
                <c:pt idx="938">
                  <c:v>-3.3035369502507184</c:v>
                </c:pt>
                <c:pt idx="939">
                  <c:v>-3.3087247247504235</c:v>
                </c:pt>
                <c:pt idx="940">
                  <c:v>-3.3139125625921033</c:v>
                </c:pt>
                <c:pt idx="941">
                  <c:v>-3.3191004637748951</c:v>
                </c:pt>
                <c:pt idx="942">
                  <c:v>-3.324288428297935</c:v>
                </c:pt>
                <c:pt idx="943">
                  <c:v>-3.3294764561603607</c:v>
                </c:pt>
                <c:pt idx="944">
                  <c:v>-3.3346645473613084</c:v>
                </c:pt>
                <c:pt idx="945">
                  <c:v>-3.3398527018999151</c:v>
                </c:pt>
                <c:pt idx="946">
                  <c:v>-3.3450409197753181</c:v>
                </c:pt>
                <c:pt idx="947">
                  <c:v>-3.3502292009866541</c:v>
                </c:pt>
                <c:pt idx="948">
                  <c:v>-3.3554175455330597</c:v>
                </c:pt>
                <c:pt idx="949">
                  <c:v>-3.3606059534136721</c:v>
                </c:pt>
                <c:pt idx="950">
                  <c:v>-3.3657944246276279</c:v>
                </c:pt>
                <c:pt idx="951">
                  <c:v>-3.3709829591740643</c:v>
                </c:pt>
                <c:pt idx="952">
                  <c:v>-3.376171557052118</c:v>
                </c:pt>
                <c:pt idx="953">
                  <c:v>-3.3813602182609257</c:v>
                </c:pt>
                <c:pt idx="954">
                  <c:v>-3.3865489427996245</c:v>
                </c:pt>
                <c:pt idx="955">
                  <c:v>-3.3917377306673511</c:v>
                </c:pt>
                <c:pt idx="956">
                  <c:v>-3.3969265818632426</c:v>
                </c:pt>
                <c:pt idx="957">
                  <c:v>-3.4021154963864357</c:v>
                </c:pt>
                <c:pt idx="958">
                  <c:v>-3.4073044742360672</c:v>
                </c:pt>
                <c:pt idx="959">
                  <c:v>-3.4124935154112741</c:v>
                </c:pt>
                <c:pt idx="960">
                  <c:v>-3.4176826199111936</c:v>
                </c:pt>
                <c:pt idx="961">
                  <c:v>-3.4228717877349624</c:v>
                </c:pt>
                <c:pt idx="962">
                  <c:v>-3.4280610188817171</c:v>
                </c:pt>
                <c:pt idx="963">
                  <c:v>-3.4332503133505945</c:v>
                </c:pt>
                <c:pt idx="964">
                  <c:v>-3.4384396711407317</c:v>
                </c:pt>
                <c:pt idx="965">
                  <c:v>-3.4436290922512658</c:v>
                </c:pt>
                <c:pt idx="966">
                  <c:v>-3.4488185766813335</c:v>
                </c:pt>
                <c:pt idx="967">
                  <c:v>-3.4540081244300715</c:v>
                </c:pt>
                <c:pt idx="968">
                  <c:v>-3.459197735496617</c:v>
                </c:pt>
                <c:pt idx="969">
                  <c:v>-3.4643874098801066</c:v>
                </c:pt>
                <c:pt idx="970">
                  <c:v>-3.4695771475796775</c:v>
                </c:pt>
                <c:pt idx="971">
                  <c:v>-3.4747669485944663</c:v>
                </c:pt>
                <c:pt idx="972">
                  <c:v>-3.4799568129236098</c:v>
                </c:pt>
                <c:pt idx="973">
                  <c:v>-3.4851467405662451</c:v>
                </c:pt>
                <c:pt idx="974">
                  <c:v>-3.4903367315215088</c:v>
                </c:pt>
                <c:pt idx="975">
                  <c:v>-3.4955267857885381</c:v>
                </c:pt>
                <c:pt idx="976">
                  <c:v>-3.5007169033664698</c:v>
                </c:pt>
                <c:pt idx="977">
                  <c:v>-3.5059070842544409</c:v>
                </c:pt>
                <c:pt idx="978">
                  <c:v>-3.5110973284515881</c:v>
                </c:pt>
                <c:pt idx="979">
                  <c:v>-3.5162876359570481</c:v>
                </c:pt>
                <c:pt idx="980">
                  <c:v>-3.521478006769958</c:v>
                </c:pt>
                <c:pt idx="981">
                  <c:v>-3.5266684408894551</c:v>
                </c:pt>
                <c:pt idx="982">
                  <c:v>-3.5318589383146755</c:v>
                </c:pt>
                <c:pt idx="983">
                  <c:v>-3.5370494990447563</c:v>
                </c:pt>
                <c:pt idx="984">
                  <c:v>-3.5422401230788347</c:v>
                </c:pt>
                <c:pt idx="985">
                  <c:v>-3.5474308104160475</c:v>
                </c:pt>
                <c:pt idx="986">
                  <c:v>-3.5526215610555316</c:v>
                </c:pt>
                <c:pt idx="987">
                  <c:v>-3.5578123749964234</c:v>
                </c:pt>
                <c:pt idx="988">
                  <c:v>-3.5630032522378605</c:v>
                </c:pt>
                <c:pt idx="989">
                  <c:v>-3.5681941927789791</c:v>
                </c:pt>
                <c:pt idx="990">
                  <c:v>-3.5733851966189167</c:v>
                </c:pt>
                <c:pt idx="991">
                  <c:v>-3.5785762637568097</c:v>
                </c:pt>
                <c:pt idx="992">
                  <c:v>-3.5837673941917951</c:v>
                </c:pt>
                <c:pt idx="993">
                  <c:v>-3.5889585879230101</c:v>
                </c:pt>
                <c:pt idx="994">
                  <c:v>-3.5941498449495914</c:v>
                </c:pt>
                <c:pt idx="995">
                  <c:v>-3.5993411652706757</c:v>
                </c:pt>
                <c:pt idx="996">
                  <c:v>-3.6045325488854001</c:v>
                </c:pt>
                <c:pt idx="997">
                  <c:v>-3.6097239957929013</c:v>
                </c:pt>
                <c:pt idx="998">
                  <c:v>-3.6149155059923159</c:v>
                </c:pt>
                <c:pt idx="999">
                  <c:v>-3.6201070794827812</c:v>
                </c:pt>
                <c:pt idx="1000">
                  <c:v>-3.6252987162634343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3B-6442-AFEC-07E56791BA28}"/>
            </c:ext>
          </c:extLst>
        </c:ser>
        <c:ser>
          <c:idx val="2"/>
          <c:order val="2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Calculs!$J$4:$J$1004</c:f>
              <c:numCache>
                <c:formatCode>0.00</c:formatCode>
                <c:ptCount val="1001"/>
                <c:pt idx="0">
                  <c:v>0</c:v>
                </c:pt>
                <c:pt idx="1">
                  <c:v>8.3524827960201642E-5</c:v>
                </c:pt>
                <c:pt idx="2">
                  <c:v>5.8649762222008292E-4</c:v>
                </c:pt>
                <c:pt idx="3">
                  <c:v>1.8675808986983043E-3</c:v>
                </c:pt>
                <c:pt idx="4">
                  <c:v>3.9928650356980538E-3</c:v>
                </c:pt>
                <c:pt idx="5">
                  <c:v>6.9012891718933343E-3</c:v>
                </c:pt>
                <c:pt idx="6">
                  <c:v>1.0570408442541958E-2</c:v>
                </c:pt>
                <c:pt idx="7">
                  <c:v>1.4997096559587402E-2</c:v>
                </c:pt>
                <c:pt idx="8">
                  <c:v>2.0178206078337903E-2</c:v>
                </c:pt>
                <c:pt idx="9">
                  <c:v>2.6110568592058871E-2</c:v>
                </c:pt>
                <c:pt idx="10">
                  <c:v>3.279099492825599E-2</c:v>
                </c:pt>
                <c:pt idx="11">
                  <c:v>4.0216275346606337E-2</c:v>
                </c:pt>
                <c:pt idx="12">
                  <c:v>4.8383179738494715E-2</c:v>
                </c:pt>
                <c:pt idx="13">
                  <c:v>5.7288457828112135E-2</c:v>
                </c:pt>
                <c:pt idx="14">
                  <c:v>6.692883937507306E-2</c:v>
                </c:pt>
                <c:pt idx="15">
                  <c:v>7.7301034378508035E-2</c:v>
                </c:pt>
                <c:pt idx="16">
                  <c:v>8.8401733282587838E-2</c:v>
                </c:pt>
                <c:pt idx="17">
                  <c:v>0.10022760718343551</c:v>
                </c:pt>
                <c:pt idx="18">
                  <c:v>0.112775308037382</c:v>
                </c:pt>
                <c:pt idx="19">
                  <c:v>0.12604146887052148</c:v>
                </c:pt>
                <c:pt idx="20">
                  <c:v>0.14002270398952182</c:v>
                </c:pt>
                <c:pt idx="21">
                  <c:v>0.15471560919364616</c:v>
                </c:pt>
                <c:pt idx="22">
                  <c:v>0.17011676198794062</c:v>
                </c:pt>
                <c:pt idx="23">
                  <c:v>0.18622272179754418</c:v>
                </c:pt>
                <c:pt idx="24">
                  <c:v>0.20303003018307539</c:v>
                </c:pt>
                <c:pt idx="25">
                  <c:v>0.22053521105705204</c:v>
                </c:pt>
                <c:pt idx="26">
                  <c:v>0.23877737840893182</c:v>
                </c:pt>
                <c:pt idx="27">
                  <c:v>0.25779738521624063</c:v>
                </c:pt>
                <c:pt idx="28">
                  <c:v>0.27759516596525524</c:v>
                </c:pt>
                <c:pt idx="29">
                  <c:v>0.29817052085483275</c:v>
                </c:pt>
                <c:pt idx="30">
                  <c:v>0.31952310296841918</c:v>
                </c:pt>
                <c:pt idx="31">
                  <c:v>0.34165242626501902</c:v>
                </c:pt>
                <c:pt idx="32">
                  <c:v>0.36455787282569657</c:v>
                </c:pt>
                <c:pt idx="33">
                  <c:v>0.38823869944937978</c:v>
                </c:pt>
                <c:pt idx="34">
                  <c:v>0.41269404367733931</c:v>
                </c:pt>
                <c:pt idx="35">
                  <c:v>0.43792292931390325</c:v>
                </c:pt>
                <c:pt idx="36">
                  <c:v>0.46392427150120941</c:v>
                </c:pt>
                <c:pt idx="37">
                  <c:v>0.4906968813976913</c:v>
                </c:pt>
                <c:pt idx="38">
                  <c:v>0.51823947050321695</c:v>
                </c:pt>
                <c:pt idx="39">
                  <c:v>0.54655065466810826</c:v>
                </c:pt>
                <c:pt idx="40">
                  <c:v>0.57562895781846135</c:v>
                </c:pt>
                <c:pt idx="41">
                  <c:v>0.60547281542610931</c:v>
                </c:pt>
                <c:pt idx="42">
                  <c:v>0.63608057774809335</c:v>
                </c:pt>
                <c:pt idx="43">
                  <c:v>0.66745051285753176</c:v>
                </c:pt>
                <c:pt idx="44">
                  <c:v>0.69958080948522117</c:v>
                </c:pt>
                <c:pt idx="45">
                  <c:v>0.73246957968909543</c:v>
                </c:pt>
                <c:pt idx="46">
                  <c:v>0.76611486136676077</c:v>
                </c:pt>
                <c:pt idx="47">
                  <c:v>0.80051462062466394</c:v>
                </c:pt>
                <c:pt idx="48">
                  <c:v>0.83566675401600421</c:v>
                </c:pt>
                <c:pt idx="49">
                  <c:v>0.87156909065823485</c:v>
                </c:pt>
                <c:pt idx="50">
                  <c:v>0.90821939423989062</c:v>
                </c:pt>
                <c:pt idx="51">
                  <c:v>0.94561536492550058</c:v>
                </c:pt>
                <c:pt idx="52">
                  <c:v>0.98375464116648548</c:v>
                </c:pt>
                <c:pt idx="53">
                  <c:v>1.0226348014251767</c:v>
                </c:pt>
                <c:pt idx="54">
                  <c:v>1.0622533658184206</c:v>
                </c:pt>
                <c:pt idx="55">
                  <c:v>1.1026077976866273</c:v>
                </c:pt>
                <c:pt idx="56">
                  <c:v>1.1436955050935966</c:v>
                </c:pt>
                <c:pt idx="57">
                  <c:v>1.1855138422619667</c:v>
                </c:pt>
                <c:pt idx="58">
                  <c:v>1.228060110948711</c:v>
                </c:pt>
                <c:pt idx="59">
                  <c:v>1.2713315617647261</c:v>
                </c:pt>
                <c:pt idx="60">
                  <c:v>1.3153253954422028</c:v>
                </c:pt>
                <c:pt idx="61">
                  <c:v>1.3600387640531713</c:v>
                </c:pt>
                <c:pt idx="62">
                  <c:v>1.4054687721823258</c:v>
                </c:pt>
                <c:pt idx="63">
                  <c:v>1.4516105790291467</c:v>
                </c:pt>
                <c:pt idx="64">
                  <c:v>1.4984554882091905</c:v>
                </c:pt>
                <c:pt idx="65">
                  <c:v>1.5459928330418893</c:v>
                </c:pt>
                <c:pt idx="66">
                  <c:v>1.5942118746837153</c:v>
                </c:pt>
                <c:pt idx="67">
                  <c:v>1.6431000485443112</c:v>
                </c:pt>
                <c:pt idx="68">
                  <c:v>1.6926412001406765</c:v>
                </c:pt>
                <c:pt idx="69">
                  <c:v>1.7428141948182807</c:v>
                </c:pt>
                <c:pt idx="70">
                  <c:v>1.7935915206118958</c:v>
                </c:pt>
                <c:pt idx="71">
                  <c:v>1.8449424061006585</c:v>
                </c:pt>
                <c:pt idx="72">
                  <c:v>1.8968359570828017</c:v>
                </c:pt>
                <c:pt idx="73">
                  <c:v>1.9492411614747478</c:v>
                </c:pt>
                <c:pt idx="74">
                  <c:v>2.0021268939446468</c:v>
                </c:pt>
                <c:pt idx="75">
                  <c:v>2.0554619202908366</c:v>
                </c:pt>
                <c:pt idx="76">
                  <c:v>2.1092149015743527</c:v>
                </c:pt>
                <c:pt idx="77">
                  <c:v>2.1633543980134209</c:v>
                </c:pt>
                <c:pt idx="78">
                  <c:v>2.2178488726467904</c:v>
                </c:pt>
                <c:pt idx="79">
                  <c:v>2.2726666947717837</c:v>
                </c:pt>
                <c:pt idx="80">
                  <c:v>2.3277761431620623</c:v>
                </c:pt>
                <c:pt idx="81">
                  <c:v>2.3831492256086912</c:v>
                </c:pt>
                <c:pt idx="82">
                  <c:v>2.4387655150076659</c:v>
                </c:pt>
                <c:pt idx="83">
                  <c:v>2.494608353881512</c:v>
                </c:pt>
                <c:pt idx="84">
                  <c:v>2.550661041238222</c:v>
                </c:pt>
                <c:pt idx="85">
                  <c:v>2.6069068334187615</c:v>
                </c:pt>
                <c:pt idx="86">
                  <c:v>2.6633289448870863</c:v>
                </c:pt>
                <c:pt idx="87">
                  <c:v>2.7199105489630351</c:v>
                </c:pt>
                <c:pt idx="88">
                  <c:v>2.776634778498368</c:v>
                </c:pt>
                <c:pt idx="89">
                  <c:v>2.8334859498320646</c:v>
                </c:pt>
                <c:pt idx="90">
                  <c:v>2.8904507916823059</c:v>
                </c:pt>
                <c:pt idx="91">
                  <c:v>2.9475172277725568</c:v>
                </c:pt>
                <c:pt idx="92">
                  <c:v>3.0046731543113485</c:v>
                </c:pt>
                <c:pt idx="93">
                  <c:v>3.0619067482660571</c:v>
                </c:pt>
                <c:pt idx="94">
                  <c:v>3.1192067768399125</c:v>
                </c:pt>
                <c:pt idx="95">
                  <c:v>3.1765622909122451</c:v>
                </c:pt>
                <c:pt idx="96">
                  <c:v>3.2339623172035163</c:v>
                </c:pt>
                <c:pt idx="97">
                  <c:v>3.2913970994579018</c:v>
                </c:pt>
                <c:pt idx="98">
                  <c:v>3.3488593445038952</c:v>
                </c:pt>
                <c:pt idx="99">
                  <c:v>3.4063429865208139</c:v>
                </c:pt>
                <c:pt idx="100">
                  <c:v>3.4638419463636878</c:v>
                </c:pt>
                <c:pt idx="101">
                  <c:v>3.5213501315166944</c:v>
                </c:pt>
                <c:pt idx="102">
                  <c:v>3.57886143603888</c:v>
                </c:pt>
                <c:pt idx="103">
                  <c:v>3.6363697405020861</c:v>
                </c:pt>
                <c:pt idx="104">
                  <c:v>3.6938689119209958</c:v>
                </c:pt>
                <c:pt idx="105">
                  <c:v>3.7513528036752084</c:v>
                </c:pt>
                <c:pt idx="106">
                  <c:v>3.8088152554232475</c:v>
                </c:pt>
                <c:pt idx="107">
                  <c:v>3.8662500930084001</c:v>
                </c:pt>
                <c:pt idx="108">
                  <c:v>3.9236511283562749</c:v>
                </c:pt>
                <c:pt idx="109">
                  <c:v>3.9810137444101565</c:v>
                </c:pt>
                <c:pt idx="110">
                  <c:v>4.0383364863691735</c:v>
                </c:pt>
                <c:pt idx="111">
                  <c:v>4.0956194834908093</c:v>
                </c:pt>
                <c:pt idx="112">
                  <c:v>4.1528628646448533</c:v>
                </c:pt>
                <c:pt idx="113">
                  <c:v>4.2100667583153033</c:v>
                </c:pt>
                <c:pt idx="114">
                  <c:v>4.2672312926022551</c:v>
                </c:pt>
                <c:pt idx="115">
                  <c:v>4.3243565952237804</c:v>
                </c:pt>
                <c:pt idx="116">
                  <c:v>4.3814427935177989</c:v>
                </c:pt>
                <c:pt idx="117">
                  <c:v>4.4384900144439348</c:v>
                </c:pt>
                <c:pt idx="118">
                  <c:v>4.4954983845853649</c:v>
                </c:pt>
                <c:pt idx="119">
                  <c:v>4.5524680301506573</c:v>
                </c:pt>
                <c:pt idx="120">
                  <c:v>4.6093990769755981</c:v>
                </c:pt>
                <c:pt idx="121">
                  <c:v>4.66629165052501</c:v>
                </c:pt>
                <c:pt idx="122">
                  <c:v>4.7231458758945584</c:v>
                </c:pt>
                <c:pt idx="123">
                  <c:v>4.779961877812549</c:v>
                </c:pt>
                <c:pt idx="124">
                  <c:v>4.8367397806417154</c:v>
                </c:pt>
                <c:pt idx="125">
                  <c:v>4.8934797083809967</c:v>
                </c:pt>
                <c:pt idx="126">
                  <c:v>4.9501817846673042</c:v>
                </c:pt>
                <c:pt idx="127">
                  <c:v>5.006846132777282</c:v>
                </c:pt>
                <c:pt idx="128">
                  <c:v>5.063472875629051</c:v>
                </c:pt>
                <c:pt idx="129">
                  <c:v>5.1200621357839511</c:v>
                </c:pt>
                <c:pt idx="130">
                  <c:v>5.1766140354482681</c:v>
                </c:pt>
                <c:pt idx="131">
                  <c:v>5.2331286964749539</c:v>
                </c:pt>
                <c:pt idx="132">
                  <c:v>5.2896062403653366</c:v>
                </c:pt>
                <c:pt idx="133">
                  <c:v>5.3460467882708214</c:v>
                </c:pt>
                <c:pt idx="134">
                  <c:v>5.4024504609945811</c:v>
                </c:pt>
                <c:pt idx="135">
                  <c:v>5.4588173789932393</c:v>
                </c:pt>
                <c:pt idx="136">
                  <c:v>5.5151476623785429</c:v>
                </c:pt>
                <c:pt idx="137">
                  <c:v>5.571441430919025</c:v>
                </c:pt>
                <c:pt idx="138">
                  <c:v>5.6276988040416622</c:v>
                </c:pt>
                <c:pt idx="139">
                  <c:v>5.6839199008335184</c:v>
                </c:pt>
                <c:pt idx="140">
                  <c:v>5.7401048400433821</c:v>
                </c:pt>
                <c:pt idx="141">
                  <c:v>5.7962537400833947</c:v>
                </c:pt>
                <c:pt idx="142">
                  <c:v>5.8523667190306687</c:v>
                </c:pt>
                <c:pt idx="143">
                  <c:v>5.9084438946288991</c:v>
                </c:pt>
                <c:pt idx="144">
                  <c:v>5.9644853842899659</c:v>
                </c:pt>
                <c:pt idx="145">
                  <c:v>6.0204913050955247</c:v>
                </c:pt>
                <c:pt idx="146">
                  <c:v>6.0764617737985933</c:v>
                </c:pt>
                <c:pt idx="147">
                  <c:v>6.1323969068251278</c:v>
                </c:pt>
                <c:pt idx="148">
                  <c:v>6.1882968202755881</c:v>
                </c:pt>
                <c:pt idx="149">
                  <c:v>6.2441616299264986</c:v>
                </c:pt>
                <c:pt idx="150">
                  <c:v>6.2999914512319979</c:v>
                </c:pt>
                <c:pt idx="151">
                  <c:v>6.3557863993253836</c:v>
                </c:pt>
                <c:pt idx="152">
                  <c:v>6.4115465890206425</c:v>
                </c:pt>
                <c:pt idx="153">
                  <c:v>6.4672721348139799</c:v>
                </c:pt>
                <c:pt idx="154">
                  <c:v>6.522963150885337</c:v>
                </c:pt>
                <c:pt idx="155">
                  <c:v>6.5786197510998976</c:v>
                </c:pt>
                <c:pt idx="156">
                  <c:v>6.634242049009595</c:v>
                </c:pt>
                <c:pt idx="157">
                  <c:v>6.6898301578546002</c:v>
                </c:pt>
                <c:pt idx="158">
                  <c:v>6.7453841905648124</c:v>
                </c:pt>
                <c:pt idx="159">
                  <c:v>6.8009042597613334</c:v>
                </c:pt>
                <c:pt idx="160">
                  <c:v>6.8563904777579392</c:v>
                </c:pt>
                <c:pt idx="161">
                  <c:v>6.911842956562543</c:v>
                </c:pt>
                <c:pt idx="162">
                  <c:v>6.9672618078786481</c:v>
                </c:pt>
                <c:pt idx="163">
                  <c:v>7.0226471431067958</c:v>
                </c:pt>
                <c:pt idx="164">
                  <c:v>7.077999073346005</c:v>
                </c:pt>
                <c:pt idx="165">
                  <c:v>7.1333177093952038</c:v>
                </c:pt>
                <c:pt idx="166">
                  <c:v>7.188603161754652</c:v>
                </c:pt>
                <c:pt idx="167">
                  <c:v>7.2438555406273597</c:v>
                </c:pt>
                <c:pt idx="168">
                  <c:v>7.2990749559204957</c:v>
                </c:pt>
                <c:pt idx="169">
                  <c:v>7.3542615172467904</c:v>
                </c:pt>
                <c:pt idx="170">
                  <c:v>7.4094153339259279</c:v>
                </c:pt>
                <c:pt idx="171">
                  <c:v>7.4645365149859364</c:v>
                </c:pt>
                <c:pt idx="172">
                  <c:v>7.5196251691645655</c:v>
                </c:pt>
                <c:pt idx="173">
                  <c:v>7.5746814049106597</c:v>
                </c:pt>
                <c:pt idx="174">
                  <c:v>7.6297053303855265</c:v>
                </c:pt>
                <c:pt idx="175">
                  <c:v>7.6846970534642907</c:v>
                </c:pt>
                <c:pt idx="176">
                  <c:v>7.739656681737249</c:v>
                </c:pt>
                <c:pt idx="177">
                  <c:v>7.7945843225112128</c:v>
                </c:pt>
                <c:pt idx="178">
                  <c:v>7.8494800828108469</c:v>
                </c:pt>
                <c:pt idx="179">
                  <c:v>7.9043440693799996</c:v>
                </c:pt>
                <c:pt idx="180">
                  <c:v>7.9591763886830256</c:v>
                </c:pt>
                <c:pt idx="181">
                  <c:v>8.0139771469061039</c:v>
                </c:pt>
                <c:pt idx="182">
                  <c:v>8.068746449958546</c:v>
                </c:pt>
                <c:pt idx="183">
                  <c:v>8.1234844034741034</c:v>
                </c:pt>
                <c:pt idx="184">
                  <c:v>8.1781911128122591</c:v>
                </c:pt>
                <c:pt idx="185">
                  <c:v>8.2328666830595196</c:v>
                </c:pt>
                <c:pt idx="186">
                  <c:v>8.2875112190306996</c:v>
                </c:pt>
                <c:pt idx="187">
                  <c:v>8.3421248252701954</c:v>
                </c:pt>
                <c:pt idx="188">
                  <c:v>8.3967076060532584</c:v>
                </c:pt>
                <c:pt idx="189">
                  <c:v>8.4512596653872549</c:v>
                </c:pt>
                <c:pt idx="190">
                  <c:v>8.505781107012929</c:v>
                </c:pt>
                <c:pt idx="191">
                  <c:v>8.5602720344056458</c:v>
                </c:pt>
                <c:pt idx="192">
                  <c:v>8.6147325507766421</c:v>
                </c:pt>
                <c:pt idx="193">
                  <c:v>8.669162759074263</c:v>
                </c:pt>
                <c:pt idx="194">
                  <c:v>8.723562761985189</c:v>
                </c:pt>
                <c:pt idx="195">
                  <c:v>8.777932661935667</c:v>
                </c:pt>
                <c:pt idx="196">
                  <c:v>8.8322725610927257</c:v>
                </c:pt>
                <c:pt idx="197">
                  <c:v>8.8865825613653922</c:v>
                </c:pt>
                <c:pt idx="198">
                  <c:v>8.940862764405896</c:v>
                </c:pt>
                <c:pt idx="199">
                  <c:v>8.9951132716108706</c:v>
                </c:pt>
                <c:pt idx="200">
                  <c:v>9.0493341841225465</c:v>
                </c:pt>
                <c:pt idx="201">
                  <c:v>9.5899234171647869</c:v>
                </c:pt>
                <c:pt idx="202">
                  <c:v>10.127618327409479</c:v>
                </c:pt>
                <c:pt idx="203">
                  <c:v>10.662517729990645</c:v>
                </c:pt>
                <c:pt idx="204">
                  <c:v>11.194718048448015</c:v>
                </c:pt>
                <c:pt idx="205">
                  <c:v>11.724313424195326</c:v>
                </c:pt>
                <c:pt idx="206">
                  <c:v>12.251395820605335</c:v>
                </c:pt>
                <c:pt idx="207">
                  <c:v>12.776055122003505</c:v>
                </c:pt>
                <c:pt idx="208">
                  <c:v>13.298379227834875</c:v>
                </c:pt>
                <c:pt idx="209">
                  <c:v>13.818454142241725</c:v>
                </c:pt>
                <c:pt idx="210">
                  <c:v>14.336364059263044</c:v>
                </c:pt>
                <c:pt idx="211">
                  <c:v>14.852191443839683</c:v>
                </c:pt>
                <c:pt idx="212">
                  <c:v>15.366017108781218</c:v>
                </c:pt>
                <c:pt idx="213">
                  <c:v>15.877920287820933</c:v>
                </c:pt>
                <c:pt idx="214">
                  <c:v>16.387978704853243</c:v>
                </c:pt>
                <c:pt idx="215">
                  <c:v>16.896268639412234</c:v>
                </c:pt>
                <c:pt idx="216">
                  <c:v>17.402864988409178</c:v>
                </c:pt>
                <c:pt idx="217">
                  <c:v>17.907841324099163</c:v>
                </c:pt>
                <c:pt idx="218">
                  <c:v>18.411269948189883</c:v>
                </c:pt>
                <c:pt idx="219">
                  <c:v>18.913221941935422</c:v>
                </c:pt>
                <c:pt idx="220">
                  <c:v>19.413767211970509</c:v>
                </c:pt>
                <c:pt idx="221">
                  <c:v>19.912974531529137</c:v>
                </c:pt>
                <c:pt idx="222">
                  <c:v>20.410911576547253</c:v>
                </c:pt>
                <c:pt idx="223">
                  <c:v>20.907644955959363</c:v>
                </c:pt>
                <c:pt idx="224">
                  <c:v>21.40324023524548</c:v>
                </c:pt>
                <c:pt idx="225">
                  <c:v>21.897761951941344</c:v>
                </c:pt>
                <c:pt idx="226">
                  <c:v>22.39127362135288</c:v>
                </c:pt>
                <c:pt idx="227">
                  <c:v>22.883837730058119</c:v>
                </c:pt>
                <c:pt idx="228">
                  <c:v>23.375515713850458</c:v>
                </c:pt>
                <c:pt idx="229">
                  <c:v>23.866367915446702</c:v>
                </c:pt>
                <c:pt idx="230">
                  <c:v>24.356453515354556</c:v>
                </c:pt>
                <c:pt idx="231">
                  <c:v>24.84583042646819</c:v>
                </c:pt>
                <c:pt idx="232">
                  <c:v>25.334555138788868</c:v>
                </c:pt>
                <c:pt idx="233">
                  <c:v>25.822682494503351</c:v>
                </c:pt>
                <c:pt idx="234">
                  <c:v>26.310265364644128</c:v>
                </c:pt>
                <c:pt idx="235">
                  <c:v>26.79735418584783</c:v>
                </c:pt>
                <c:pt idx="236">
                  <c:v>27.283996299345254</c:v>
                </c:pt>
                <c:pt idx="237">
                  <c:v>27.770235017881646</c:v>
                </c:pt>
                <c:pt idx="238">
                  <c:v>28.25610834355841</c:v>
                </c:pt>
                <c:pt idx="239">
                  <c:v>28.741647304996103</c:v>
                </c:pt>
                <c:pt idx="240">
                  <c:v>29.226874030041252</c:v>
                </c:pt>
                <c:pt idx="241">
                  <c:v>29.711799935101809</c:v>
                </c:pt>
                <c:pt idx="242">
                  <c:v>30.196424637439879</c:v>
                </c:pt>
                <c:pt idx="243">
                  <c:v>30.680736075208188</c:v>
                </c:pt>
                <c:pt idx="244">
                  <c:v>31.164711798701649</c:v>
                </c:pt>
                <c:pt idx="245">
                  <c:v>31.648320907264981</c:v>
                </c:pt>
                <c:pt idx="246">
                  <c:v>32.13152603919395</c:v>
                </c:pt>
                <c:pt idx="247">
                  <c:v>32.614285068440722</c:v>
                </c:pt>
                <c:pt idx="248">
                  <c:v>33.096552417210866</c:v>
                </c:pt>
                <c:pt idx="249">
                  <c:v>33.578280026632314</c:v>
                </c:pt>
                <c:pt idx="250">
                  <c:v>34.059418064473391</c:v>
                </c:pt>
                <c:pt idx="251">
                  <c:v>34.539915442980885</c:v>
                </c:pt>
                <c:pt idx="252">
                  <c:v>35.019720202855851</c:v>
                </c:pt>
                <c:pt idx="253">
                  <c:v>35.498779803249114</c:v>
                </c:pt>
                <c:pt idx="254">
                  <c:v>35.977041345362842</c:v>
                </c:pt>
                <c:pt idx="255">
                  <c:v>36.454451748596298</c:v>
                </c:pt>
                <c:pt idx="256">
                  <c:v>36.930957892278265</c:v>
                </c:pt>
                <c:pt idx="257">
                  <c:v>37.406506732046353</c:v>
                </c:pt>
                <c:pt idx="258">
                  <c:v>37.881045397238339</c:v>
                </c:pt>
                <c:pt idx="259">
                  <c:v>38.354521273822911</c:v>
                </c:pt>
                <c:pt idx="260">
                  <c:v>38.826882076130886</c:v>
                </c:pt>
                <c:pt idx="261">
                  <c:v>39.298075909764833</c:v>
                </c:pt>
                <c:pt idx="262">
                  <c:v>39.768051327441853</c:v>
                </c:pt>
                <c:pt idx="263">
                  <c:v>40.236757379078881</c:v>
                </c:pt>
                <c:pt idx="264">
                  <c:v>40.704143657107913</c:v>
                </c:pt>
                <c:pt idx="265">
                  <c:v>41.170160337773211</c:v>
                </c:pt>
                <c:pt idx="266">
                  <c:v>41.634758218988722</c:v>
                </c:pt>
                <c:pt idx="267">
                  <c:v>42.097888755204117</c:v>
                </c:pt>
                <c:pt idx="268">
                  <c:v>42.559504089630359</c:v>
                </c:pt>
                <c:pt idx="269">
                  <c:v>43.01955708410155</c:v>
                </c:pt>
                <c:pt idx="270">
                  <c:v>43.478001346793185</c:v>
                </c:pt>
                <c:pt idx="271">
                  <c:v>43.934791257973494</c:v>
                </c:pt>
                <c:pt idx="272">
                  <c:v>44.389881993930715</c:v>
                </c:pt>
                <c:pt idx="273">
                  <c:v>44.843229549193111</c:v>
                </c:pt>
                <c:pt idx="274">
                  <c:v>45.294790757138045</c:v>
                </c:pt>
                <c:pt idx="275">
                  <c:v>45.744523309070509</c:v>
                </c:pt>
                <c:pt idx="276">
                  <c:v>46.192385771839028</c:v>
                </c:pt>
                <c:pt idx="277">
                  <c:v>46.638337604047038</c:v>
                </c:pt>
                <c:pt idx="278">
                  <c:v>47.082339170910245</c:v>
                </c:pt>
                <c:pt idx="279">
                  <c:v>47.524351757804453</c:v>
                </c:pt>
                <c:pt idx="280">
                  <c:v>47.964337582543727</c:v>
                </c:pt>
                <c:pt idx="281">
                  <c:v>48.402259806425249</c:v>
                </c:pt>
                <c:pt idx="282">
                  <c:v>48.838082544074368</c:v>
                </c:pt>
                <c:pt idx="283">
                  <c:v>49.271770872121436</c:v>
                </c:pt>
                <c:pt idx="284">
                  <c:v>49.703290836740386</c:v>
                </c:pt>
                <c:pt idx="285">
                  <c:v>50.132609460077994</c:v>
                </c:pt>
                <c:pt idx="286">
                  <c:v>50.559694745601924</c:v>
                </c:pt>
                <c:pt idx="287">
                  <c:v>50.984515682395291</c:v>
                </c:pt>
                <c:pt idx="288">
                  <c:v>51.407042248425029</c:v>
                </c:pt>
                <c:pt idx="289">
                  <c:v>51.827245412811337</c:v>
                </c:pt>
                <c:pt idx="290">
                  <c:v>52.245097137125484</c:v>
                </c:pt>
                <c:pt idx="291">
                  <c:v>52.660570375743177</c:v>
                </c:pt>
                <c:pt idx="292">
                  <c:v>53.073639075281051</c:v>
                </c:pt>
                <c:pt idx="293">
                  <c:v>53.484278173143814</c:v>
                </c:pt>
                <c:pt idx="294">
                  <c:v>53.892463595209932</c:v>
                </c:pt>
                <c:pt idx="295">
                  <c:v>54.298172252683848</c:v>
                </c:pt>
                <c:pt idx="296">
                  <c:v>54.701382038142945</c:v>
                </c:pt>
                <c:pt idx="297">
                  <c:v>55.102071820807737</c:v>
                </c:pt>
                <c:pt idx="298">
                  <c:v>55.500221441063765</c:v>
                </c:pt>
                <c:pt idx="299">
                  <c:v>55.895811704263963</c:v>
                </c:pt>
                <c:pt idx="300">
                  <c:v>56.288824373840264</c:v>
                </c:pt>
                <c:pt idx="301">
                  <c:v>56.288824373840264</c:v>
                </c:pt>
                <c:pt idx="302">
                  <c:v>56.288824373840264</c:v>
                </c:pt>
                <c:pt idx="303">
                  <c:v>56.288824373840264</c:v>
                </c:pt>
                <c:pt idx="304">
                  <c:v>56.288824373840264</c:v>
                </c:pt>
                <c:pt idx="305">
                  <c:v>56.288824373840264</c:v>
                </c:pt>
                <c:pt idx="306">
                  <c:v>56.288824373840264</c:v>
                </c:pt>
                <c:pt idx="307">
                  <c:v>56.288824373840264</c:v>
                </c:pt>
                <c:pt idx="308">
                  <c:v>56.288824373840264</c:v>
                </c:pt>
                <c:pt idx="309">
                  <c:v>56.288824373840264</c:v>
                </c:pt>
                <c:pt idx="310">
                  <c:v>56.288824373840264</c:v>
                </c:pt>
                <c:pt idx="311">
                  <c:v>56.288824373840264</c:v>
                </c:pt>
                <c:pt idx="312">
                  <c:v>56.288824373840264</c:v>
                </c:pt>
                <c:pt idx="313">
                  <c:v>56.288824373840264</c:v>
                </c:pt>
                <c:pt idx="314">
                  <c:v>56.288824373840264</c:v>
                </c:pt>
                <c:pt idx="315">
                  <c:v>56.288824373840264</c:v>
                </c:pt>
                <c:pt idx="316">
                  <c:v>56.288824373840264</c:v>
                </c:pt>
                <c:pt idx="317">
                  <c:v>56.288824373840264</c:v>
                </c:pt>
                <c:pt idx="318">
                  <c:v>56.288824373840264</c:v>
                </c:pt>
                <c:pt idx="319">
                  <c:v>56.288824373840264</c:v>
                </c:pt>
                <c:pt idx="320">
                  <c:v>56.288824373840264</c:v>
                </c:pt>
                <c:pt idx="321">
                  <c:v>56.288824373840264</c:v>
                </c:pt>
                <c:pt idx="322">
                  <c:v>56.288824373840264</c:v>
                </c:pt>
                <c:pt idx="323">
                  <c:v>56.288824373840264</c:v>
                </c:pt>
                <c:pt idx="324">
                  <c:v>56.288824373840264</c:v>
                </c:pt>
                <c:pt idx="325">
                  <c:v>56.288824373840264</c:v>
                </c:pt>
                <c:pt idx="326">
                  <c:v>56.288824373840264</c:v>
                </c:pt>
                <c:pt idx="327">
                  <c:v>56.288824373840264</c:v>
                </c:pt>
                <c:pt idx="328">
                  <c:v>56.288824373840264</c:v>
                </c:pt>
                <c:pt idx="329">
                  <c:v>56.288824373840264</c:v>
                </c:pt>
                <c:pt idx="330">
                  <c:v>56.288824373840264</c:v>
                </c:pt>
                <c:pt idx="331">
                  <c:v>56.288824373840264</c:v>
                </c:pt>
                <c:pt idx="332">
                  <c:v>56.288824373840264</c:v>
                </c:pt>
                <c:pt idx="333">
                  <c:v>56.288824373840264</c:v>
                </c:pt>
                <c:pt idx="334">
                  <c:v>56.288824373840264</c:v>
                </c:pt>
                <c:pt idx="335">
                  <c:v>56.288824373840264</c:v>
                </c:pt>
                <c:pt idx="336">
                  <c:v>56.288824373840264</c:v>
                </c:pt>
                <c:pt idx="337">
                  <c:v>56.288824373840264</c:v>
                </c:pt>
                <c:pt idx="338">
                  <c:v>56.288824373840264</c:v>
                </c:pt>
                <c:pt idx="339">
                  <c:v>56.288824373840264</c:v>
                </c:pt>
                <c:pt idx="340">
                  <c:v>56.288824373840264</c:v>
                </c:pt>
                <c:pt idx="341">
                  <c:v>56.288824373840264</c:v>
                </c:pt>
                <c:pt idx="342">
                  <c:v>56.288824373840264</c:v>
                </c:pt>
                <c:pt idx="343">
                  <c:v>56.288824373840264</c:v>
                </c:pt>
                <c:pt idx="344">
                  <c:v>56.288824373840264</c:v>
                </c:pt>
                <c:pt idx="345">
                  <c:v>56.288824373840264</c:v>
                </c:pt>
                <c:pt idx="346">
                  <c:v>56.288824373840264</c:v>
                </c:pt>
                <c:pt idx="347">
                  <c:v>56.288824373840264</c:v>
                </c:pt>
                <c:pt idx="348">
                  <c:v>56.288824373840264</c:v>
                </c:pt>
                <c:pt idx="349">
                  <c:v>56.288824373840264</c:v>
                </c:pt>
                <c:pt idx="350">
                  <c:v>56.288824373840264</c:v>
                </c:pt>
                <c:pt idx="351">
                  <c:v>56.288824373840264</c:v>
                </c:pt>
                <c:pt idx="352">
                  <c:v>56.288824373840264</c:v>
                </c:pt>
                <c:pt idx="353">
                  <c:v>56.288824373840264</c:v>
                </c:pt>
                <c:pt idx="354">
                  <c:v>56.288824373840264</c:v>
                </c:pt>
                <c:pt idx="355">
                  <c:v>56.288824373840264</c:v>
                </c:pt>
                <c:pt idx="356">
                  <c:v>56.288824373840264</c:v>
                </c:pt>
                <c:pt idx="357">
                  <c:v>56.288824373840264</c:v>
                </c:pt>
                <c:pt idx="358">
                  <c:v>56.288824373840264</c:v>
                </c:pt>
                <c:pt idx="359">
                  <c:v>56.288824373840264</c:v>
                </c:pt>
                <c:pt idx="360">
                  <c:v>56.288824373840264</c:v>
                </c:pt>
                <c:pt idx="361">
                  <c:v>56.288824373840264</c:v>
                </c:pt>
                <c:pt idx="362">
                  <c:v>56.288824373840264</c:v>
                </c:pt>
                <c:pt idx="363">
                  <c:v>56.288824373840264</c:v>
                </c:pt>
                <c:pt idx="364">
                  <c:v>56.288824373840264</c:v>
                </c:pt>
                <c:pt idx="365">
                  <c:v>56.288824373840264</c:v>
                </c:pt>
                <c:pt idx="366">
                  <c:v>56.288824373840264</c:v>
                </c:pt>
                <c:pt idx="367">
                  <c:v>56.288824373840264</c:v>
                </c:pt>
                <c:pt idx="368">
                  <c:v>56.288824373840264</c:v>
                </c:pt>
                <c:pt idx="369">
                  <c:v>56.288824373840264</c:v>
                </c:pt>
                <c:pt idx="370">
                  <c:v>56.288824373840264</c:v>
                </c:pt>
                <c:pt idx="371">
                  <c:v>56.288824373840264</c:v>
                </c:pt>
                <c:pt idx="372">
                  <c:v>56.288824373840264</c:v>
                </c:pt>
                <c:pt idx="373">
                  <c:v>56.288824373840264</c:v>
                </c:pt>
                <c:pt idx="374">
                  <c:v>56.288824373840264</c:v>
                </c:pt>
                <c:pt idx="375">
                  <c:v>56.288824373840264</c:v>
                </c:pt>
                <c:pt idx="376">
                  <c:v>56.288824373840264</c:v>
                </c:pt>
                <c:pt idx="377">
                  <c:v>56.288824373840264</c:v>
                </c:pt>
                <c:pt idx="378">
                  <c:v>56.288824373840264</c:v>
                </c:pt>
                <c:pt idx="379">
                  <c:v>56.288824373840264</c:v>
                </c:pt>
                <c:pt idx="380">
                  <c:v>56.288824373840264</c:v>
                </c:pt>
                <c:pt idx="381">
                  <c:v>56.288824373840264</c:v>
                </c:pt>
                <c:pt idx="382">
                  <c:v>56.288824373840264</c:v>
                </c:pt>
                <c:pt idx="383">
                  <c:v>56.288824373840264</c:v>
                </c:pt>
                <c:pt idx="384">
                  <c:v>56.288824373840264</c:v>
                </c:pt>
                <c:pt idx="385">
                  <c:v>56.288824373840264</c:v>
                </c:pt>
                <c:pt idx="386">
                  <c:v>56.288824373840264</c:v>
                </c:pt>
                <c:pt idx="387">
                  <c:v>56.288824373840264</c:v>
                </c:pt>
                <c:pt idx="388">
                  <c:v>56.288824373840264</c:v>
                </c:pt>
                <c:pt idx="389">
                  <c:v>56.288824373840264</c:v>
                </c:pt>
                <c:pt idx="390">
                  <c:v>56.288824373840264</c:v>
                </c:pt>
                <c:pt idx="391">
                  <c:v>56.288824373840264</c:v>
                </c:pt>
                <c:pt idx="392">
                  <c:v>56.288824373840264</c:v>
                </c:pt>
                <c:pt idx="393">
                  <c:v>56.288824373840264</c:v>
                </c:pt>
                <c:pt idx="394">
                  <c:v>56.288824373840264</c:v>
                </c:pt>
                <c:pt idx="395">
                  <c:v>56.288824373840264</c:v>
                </c:pt>
                <c:pt idx="396">
                  <c:v>56.288824373840264</c:v>
                </c:pt>
                <c:pt idx="397">
                  <c:v>56.288824373840264</c:v>
                </c:pt>
                <c:pt idx="398">
                  <c:v>56.288824373840264</c:v>
                </c:pt>
                <c:pt idx="399">
                  <c:v>56.288824373840264</c:v>
                </c:pt>
                <c:pt idx="400">
                  <c:v>56.288824373840264</c:v>
                </c:pt>
                <c:pt idx="401">
                  <c:v>56.288824373840264</c:v>
                </c:pt>
                <c:pt idx="402">
                  <c:v>56.288824373840264</c:v>
                </c:pt>
                <c:pt idx="403">
                  <c:v>56.288824373840264</c:v>
                </c:pt>
                <c:pt idx="404">
                  <c:v>56.288824373840264</c:v>
                </c:pt>
                <c:pt idx="405">
                  <c:v>56.288824373840264</c:v>
                </c:pt>
                <c:pt idx="406">
                  <c:v>56.288824373840264</c:v>
                </c:pt>
                <c:pt idx="407">
                  <c:v>56.288824373840264</c:v>
                </c:pt>
                <c:pt idx="408">
                  <c:v>56.288824373840264</c:v>
                </c:pt>
                <c:pt idx="409">
                  <c:v>56.288824373840264</c:v>
                </c:pt>
                <c:pt idx="410">
                  <c:v>56.288824373840264</c:v>
                </c:pt>
                <c:pt idx="411">
                  <c:v>56.288824373840264</c:v>
                </c:pt>
                <c:pt idx="412">
                  <c:v>56.288824373840264</c:v>
                </c:pt>
                <c:pt idx="413">
                  <c:v>56.288824373840264</c:v>
                </c:pt>
                <c:pt idx="414">
                  <c:v>56.288824373840264</c:v>
                </c:pt>
                <c:pt idx="415">
                  <c:v>56.288824373840264</c:v>
                </c:pt>
                <c:pt idx="416">
                  <c:v>56.288824373840264</c:v>
                </c:pt>
                <c:pt idx="417">
                  <c:v>56.288824373840264</c:v>
                </c:pt>
                <c:pt idx="418">
                  <c:v>56.288824373840264</c:v>
                </c:pt>
                <c:pt idx="419">
                  <c:v>56.288824373840264</c:v>
                </c:pt>
                <c:pt idx="420">
                  <c:v>56.288824373840264</c:v>
                </c:pt>
                <c:pt idx="421">
                  <c:v>56.288824373840264</c:v>
                </c:pt>
                <c:pt idx="422">
                  <c:v>56.288824373840264</c:v>
                </c:pt>
                <c:pt idx="423">
                  <c:v>56.288824373840264</c:v>
                </c:pt>
                <c:pt idx="424">
                  <c:v>56.288824373840264</c:v>
                </c:pt>
                <c:pt idx="425">
                  <c:v>56.288824373840264</c:v>
                </c:pt>
                <c:pt idx="426">
                  <c:v>56.288824373840264</c:v>
                </c:pt>
                <c:pt idx="427">
                  <c:v>56.288824373840264</c:v>
                </c:pt>
                <c:pt idx="428">
                  <c:v>56.288824373840264</c:v>
                </c:pt>
                <c:pt idx="429">
                  <c:v>56.288824373840264</c:v>
                </c:pt>
                <c:pt idx="430">
                  <c:v>56.288824373840264</c:v>
                </c:pt>
                <c:pt idx="431">
                  <c:v>56.288824373840264</c:v>
                </c:pt>
                <c:pt idx="432">
                  <c:v>56.288824373840264</c:v>
                </c:pt>
                <c:pt idx="433">
                  <c:v>56.288824373840264</c:v>
                </c:pt>
                <c:pt idx="434">
                  <c:v>56.288824373840264</c:v>
                </c:pt>
                <c:pt idx="435">
                  <c:v>56.288824373840264</c:v>
                </c:pt>
                <c:pt idx="436">
                  <c:v>56.288824373840264</c:v>
                </c:pt>
                <c:pt idx="437">
                  <c:v>56.288824373840264</c:v>
                </c:pt>
                <c:pt idx="438">
                  <c:v>56.288824373840264</c:v>
                </c:pt>
                <c:pt idx="439">
                  <c:v>56.288824373840264</c:v>
                </c:pt>
                <c:pt idx="440">
                  <c:v>56.288824373840264</c:v>
                </c:pt>
                <c:pt idx="441">
                  <c:v>56.288824373840264</c:v>
                </c:pt>
                <c:pt idx="442">
                  <c:v>56.288824373840264</c:v>
                </c:pt>
                <c:pt idx="443">
                  <c:v>56.288824373840264</c:v>
                </c:pt>
                <c:pt idx="444">
                  <c:v>56.288824373840264</c:v>
                </c:pt>
                <c:pt idx="445">
                  <c:v>56.288824373840264</c:v>
                </c:pt>
                <c:pt idx="446">
                  <c:v>56.288824373840264</c:v>
                </c:pt>
                <c:pt idx="447">
                  <c:v>56.288824373840264</c:v>
                </c:pt>
                <c:pt idx="448">
                  <c:v>56.288824373840264</c:v>
                </c:pt>
                <c:pt idx="449">
                  <c:v>56.288824373840264</c:v>
                </c:pt>
                <c:pt idx="450">
                  <c:v>56.288824373840264</c:v>
                </c:pt>
                <c:pt idx="451">
                  <c:v>56.288824373840264</c:v>
                </c:pt>
                <c:pt idx="452">
                  <c:v>56.288824373840264</c:v>
                </c:pt>
                <c:pt idx="453">
                  <c:v>56.288824373840264</c:v>
                </c:pt>
                <c:pt idx="454">
                  <c:v>56.288824373840264</c:v>
                </c:pt>
                <c:pt idx="455">
                  <c:v>56.288824373840264</c:v>
                </c:pt>
                <c:pt idx="456">
                  <c:v>56.288824373840264</c:v>
                </c:pt>
                <c:pt idx="457">
                  <c:v>56.288824373840264</c:v>
                </c:pt>
                <c:pt idx="458">
                  <c:v>56.288824373840264</c:v>
                </c:pt>
                <c:pt idx="459">
                  <c:v>56.288824373840264</c:v>
                </c:pt>
                <c:pt idx="460">
                  <c:v>56.288824373840264</c:v>
                </c:pt>
                <c:pt idx="461">
                  <c:v>56.288824373840264</c:v>
                </c:pt>
                <c:pt idx="462">
                  <c:v>56.288824373840264</c:v>
                </c:pt>
                <c:pt idx="463">
                  <c:v>56.288824373840264</c:v>
                </c:pt>
                <c:pt idx="464">
                  <c:v>56.288824373840264</c:v>
                </c:pt>
                <c:pt idx="465">
                  <c:v>56.288824373840264</c:v>
                </c:pt>
                <c:pt idx="466">
                  <c:v>56.288824373840264</c:v>
                </c:pt>
                <c:pt idx="467">
                  <c:v>56.288824373840264</c:v>
                </c:pt>
                <c:pt idx="468">
                  <c:v>56.288824373840264</c:v>
                </c:pt>
                <c:pt idx="469">
                  <c:v>56.288824373840264</c:v>
                </c:pt>
                <c:pt idx="470">
                  <c:v>56.288824373840264</c:v>
                </c:pt>
                <c:pt idx="471">
                  <c:v>56.288824373840264</c:v>
                </c:pt>
                <c:pt idx="472">
                  <c:v>56.288824373840264</c:v>
                </c:pt>
                <c:pt idx="473">
                  <c:v>56.288824373840264</c:v>
                </c:pt>
                <c:pt idx="474">
                  <c:v>56.288824373840264</c:v>
                </c:pt>
                <c:pt idx="475">
                  <c:v>56.288824373840264</c:v>
                </c:pt>
                <c:pt idx="476">
                  <c:v>56.288824373840264</c:v>
                </c:pt>
                <c:pt idx="477">
                  <c:v>56.288824373840264</c:v>
                </c:pt>
                <c:pt idx="478">
                  <c:v>56.288824373840264</c:v>
                </c:pt>
                <c:pt idx="479">
                  <c:v>56.288824373840264</c:v>
                </c:pt>
                <c:pt idx="480">
                  <c:v>56.288824373840264</c:v>
                </c:pt>
                <c:pt idx="481">
                  <c:v>56.288824373840264</c:v>
                </c:pt>
                <c:pt idx="482">
                  <c:v>56.288824373840264</c:v>
                </c:pt>
                <c:pt idx="483">
                  <c:v>56.288824373840264</c:v>
                </c:pt>
                <c:pt idx="484">
                  <c:v>56.288824373840264</c:v>
                </c:pt>
                <c:pt idx="485">
                  <c:v>56.288824373840264</c:v>
                </c:pt>
                <c:pt idx="486">
                  <c:v>56.288824373840264</c:v>
                </c:pt>
                <c:pt idx="487">
                  <c:v>56.288824373840264</c:v>
                </c:pt>
                <c:pt idx="488">
                  <c:v>56.288824373840264</c:v>
                </c:pt>
                <c:pt idx="489">
                  <c:v>56.288824373840264</c:v>
                </c:pt>
                <c:pt idx="490">
                  <c:v>56.288824373840264</c:v>
                </c:pt>
                <c:pt idx="491">
                  <c:v>56.288824373840264</c:v>
                </c:pt>
                <c:pt idx="492">
                  <c:v>56.288824373840264</c:v>
                </c:pt>
                <c:pt idx="493">
                  <c:v>56.288824373840264</c:v>
                </c:pt>
                <c:pt idx="494">
                  <c:v>56.288824373840264</c:v>
                </c:pt>
                <c:pt idx="495">
                  <c:v>56.288824373840264</c:v>
                </c:pt>
                <c:pt idx="496">
                  <c:v>56.288824373840264</c:v>
                </c:pt>
                <c:pt idx="497">
                  <c:v>56.288824373840264</c:v>
                </c:pt>
                <c:pt idx="498">
                  <c:v>56.288824373840264</c:v>
                </c:pt>
                <c:pt idx="499">
                  <c:v>56.288824373840264</c:v>
                </c:pt>
                <c:pt idx="500">
                  <c:v>56.288824373840264</c:v>
                </c:pt>
                <c:pt idx="501">
                  <c:v>56.288824373840264</c:v>
                </c:pt>
                <c:pt idx="502">
                  <c:v>56.288824373840264</c:v>
                </c:pt>
                <c:pt idx="503">
                  <c:v>56.288824373840264</c:v>
                </c:pt>
                <c:pt idx="504">
                  <c:v>56.288824373840264</c:v>
                </c:pt>
                <c:pt idx="505">
                  <c:v>56.288824373840264</c:v>
                </c:pt>
                <c:pt idx="506">
                  <c:v>56.288824373840264</c:v>
                </c:pt>
                <c:pt idx="507">
                  <c:v>56.288824373840264</c:v>
                </c:pt>
                <c:pt idx="508">
                  <c:v>56.288824373840264</c:v>
                </c:pt>
                <c:pt idx="509">
                  <c:v>56.288824373840264</c:v>
                </c:pt>
                <c:pt idx="510">
                  <c:v>56.288824373840264</c:v>
                </c:pt>
                <c:pt idx="511">
                  <c:v>56.288824373840264</c:v>
                </c:pt>
                <c:pt idx="512">
                  <c:v>56.288824373840264</c:v>
                </c:pt>
                <c:pt idx="513">
                  <c:v>56.288824373840264</c:v>
                </c:pt>
                <c:pt idx="514">
                  <c:v>56.288824373840264</c:v>
                </c:pt>
                <c:pt idx="515">
                  <c:v>56.288824373840264</c:v>
                </c:pt>
                <c:pt idx="516">
                  <c:v>56.288824373840264</c:v>
                </c:pt>
                <c:pt idx="517">
                  <c:v>56.288824373840264</c:v>
                </c:pt>
                <c:pt idx="518">
                  <c:v>56.288824373840264</c:v>
                </c:pt>
                <c:pt idx="519">
                  <c:v>56.288824373840264</c:v>
                </c:pt>
                <c:pt idx="520">
                  <c:v>56.288824373840264</c:v>
                </c:pt>
                <c:pt idx="521">
                  <c:v>56.288824373840264</c:v>
                </c:pt>
                <c:pt idx="522">
                  <c:v>56.288824373840264</c:v>
                </c:pt>
                <c:pt idx="523">
                  <c:v>56.288824373840264</c:v>
                </c:pt>
                <c:pt idx="524">
                  <c:v>56.288824373840264</c:v>
                </c:pt>
                <c:pt idx="525">
                  <c:v>56.288824373840264</c:v>
                </c:pt>
                <c:pt idx="526">
                  <c:v>56.288824373840264</c:v>
                </c:pt>
                <c:pt idx="527">
                  <c:v>56.288824373840264</c:v>
                </c:pt>
                <c:pt idx="528">
                  <c:v>56.288824373840264</c:v>
                </c:pt>
                <c:pt idx="529">
                  <c:v>56.288824373840264</c:v>
                </c:pt>
                <c:pt idx="530">
                  <c:v>56.288824373840264</c:v>
                </c:pt>
                <c:pt idx="531">
                  <c:v>56.288824373840264</c:v>
                </c:pt>
                <c:pt idx="532">
                  <c:v>56.288824373840264</c:v>
                </c:pt>
                <c:pt idx="533">
                  <c:v>56.288824373840264</c:v>
                </c:pt>
                <c:pt idx="534">
                  <c:v>56.288824373840264</c:v>
                </c:pt>
                <c:pt idx="535">
                  <c:v>56.288824373840264</c:v>
                </c:pt>
                <c:pt idx="536">
                  <c:v>56.288824373840264</c:v>
                </c:pt>
                <c:pt idx="537">
                  <c:v>56.288824373840264</c:v>
                </c:pt>
                <c:pt idx="538">
                  <c:v>56.288824373840264</c:v>
                </c:pt>
                <c:pt idx="539">
                  <c:v>56.288824373840264</c:v>
                </c:pt>
                <c:pt idx="540">
                  <c:v>56.288824373840264</c:v>
                </c:pt>
                <c:pt idx="541">
                  <c:v>56.288824373840264</c:v>
                </c:pt>
                <c:pt idx="542">
                  <c:v>56.288824373840264</c:v>
                </c:pt>
                <c:pt idx="543">
                  <c:v>56.288824373840264</c:v>
                </c:pt>
                <c:pt idx="544">
                  <c:v>56.288824373840264</c:v>
                </c:pt>
                <c:pt idx="545">
                  <c:v>56.288824373840264</c:v>
                </c:pt>
                <c:pt idx="546">
                  <c:v>56.288824373840264</c:v>
                </c:pt>
                <c:pt idx="547">
                  <c:v>56.288824373840264</c:v>
                </c:pt>
                <c:pt idx="548">
                  <c:v>56.288824373840264</c:v>
                </c:pt>
                <c:pt idx="549">
                  <c:v>56.288824373840264</c:v>
                </c:pt>
                <c:pt idx="550">
                  <c:v>56.288824373840264</c:v>
                </c:pt>
                <c:pt idx="551">
                  <c:v>56.288824373840264</c:v>
                </c:pt>
                <c:pt idx="552">
                  <c:v>56.288824373840264</c:v>
                </c:pt>
                <c:pt idx="553">
                  <c:v>56.288824373840264</c:v>
                </c:pt>
                <c:pt idx="554">
                  <c:v>56.288824373840264</c:v>
                </c:pt>
                <c:pt idx="555">
                  <c:v>56.288824373840264</c:v>
                </c:pt>
                <c:pt idx="556">
                  <c:v>56.288824373840264</c:v>
                </c:pt>
                <c:pt idx="557">
                  <c:v>56.288824373840264</c:v>
                </c:pt>
                <c:pt idx="558">
                  <c:v>56.288824373840264</c:v>
                </c:pt>
                <c:pt idx="559">
                  <c:v>56.288824373840264</c:v>
                </c:pt>
                <c:pt idx="560">
                  <c:v>56.288824373840264</c:v>
                </c:pt>
                <c:pt idx="561">
                  <c:v>56.288824373840264</c:v>
                </c:pt>
                <c:pt idx="562">
                  <c:v>56.288824373840264</c:v>
                </c:pt>
                <c:pt idx="563">
                  <c:v>56.288824373840264</c:v>
                </c:pt>
                <c:pt idx="564">
                  <c:v>56.288824373840264</c:v>
                </c:pt>
                <c:pt idx="565">
                  <c:v>56.288824373840264</c:v>
                </c:pt>
                <c:pt idx="566">
                  <c:v>56.288824373840264</c:v>
                </c:pt>
                <c:pt idx="567">
                  <c:v>56.288824373840264</c:v>
                </c:pt>
                <c:pt idx="568">
                  <c:v>56.288824373840264</c:v>
                </c:pt>
                <c:pt idx="569">
                  <c:v>56.288824373840264</c:v>
                </c:pt>
                <c:pt idx="570">
                  <c:v>56.288824373840264</c:v>
                </c:pt>
                <c:pt idx="571">
                  <c:v>56.288824373840264</c:v>
                </c:pt>
                <c:pt idx="572">
                  <c:v>56.288824373840264</c:v>
                </c:pt>
                <c:pt idx="573">
                  <c:v>56.288824373840264</c:v>
                </c:pt>
                <c:pt idx="574">
                  <c:v>56.288824373840264</c:v>
                </c:pt>
                <c:pt idx="575">
                  <c:v>56.288824373840264</c:v>
                </c:pt>
                <c:pt idx="576">
                  <c:v>56.288824373840264</c:v>
                </c:pt>
                <c:pt idx="577">
                  <c:v>56.288824373840264</c:v>
                </c:pt>
                <c:pt idx="578">
                  <c:v>56.288824373840264</c:v>
                </c:pt>
                <c:pt idx="579">
                  <c:v>56.288824373840264</c:v>
                </c:pt>
                <c:pt idx="580">
                  <c:v>56.288824373840264</c:v>
                </c:pt>
                <c:pt idx="581">
                  <c:v>56.288824373840264</c:v>
                </c:pt>
                <c:pt idx="582">
                  <c:v>56.288824373840264</c:v>
                </c:pt>
                <c:pt idx="583">
                  <c:v>56.288824373840264</c:v>
                </c:pt>
                <c:pt idx="584">
                  <c:v>56.288824373840264</c:v>
                </c:pt>
                <c:pt idx="585">
                  <c:v>56.288824373840264</c:v>
                </c:pt>
                <c:pt idx="586">
                  <c:v>56.288824373840264</c:v>
                </c:pt>
                <c:pt idx="587">
                  <c:v>56.288824373840264</c:v>
                </c:pt>
                <c:pt idx="588">
                  <c:v>56.288824373840264</c:v>
                </c:pt>
                <c:pt idx="589">
                  <c:v>56.288824373840264</c:v>
                </c:pt>
                <c:pt idx="590">
                  <c:v>56.288824373840264</c:v>
                </c:pt>
                <c:pt idx="591">
                  <c:v>56.288824373840264</c:v>
                </c:pt>
                <c:pt idx="592">
                  <c:v>56.288824373840264</c:v>
                </c:pt>
                <c:pt idx="593">
                  <c:v>56.288824373840264</c:v>
                </c:pt>
                <c:pt idx="594">
                  <c:v>56.288824373840264</c:v>
                </c:pt>
                <c:pt idx="595">
                  <c:v>56.288824373840264</c:v>
                </c:pt>
                <c:pt idx="596">
                  <c:v>56.288824373840264</c:v>
                </c:pt>
                <c:pt idx="597">
                  <c:v>56.288824373840264</c:v>
                </c:pt>
                <c:pt idx="598">
                  <c:v>56.288824373840264</c:v>
                </c:pt>
                <c:pt idx="599">
                  <c:v>56.288824373840264</c:v>
                </c:pt>
                <c:pt idx="600">
                  <c:v>56.288824373840264</c:v>
                </c:pt>
                <c:pt idx="601">
                  <c:v>56.288824373840264</c:v>
                </c:pt>
                <c:pt idx="602">
                  <c:v>56.288824373840264</c:v>
                </c:pt>
                <c:pt idx="603">
                  <c:v>56.288824373840264</c:v>
                </c:pt>
                <c:pt idx="604">
                  <c:v>56.288824373840264</c:v>
                </c:pt>
                <c:pt idx="605">
                  <c:v>56.288824373840264</c:v>
                </c:pt>
                <c:pt idx="606">
                  <c:v>56.288824373840264</c:v>
                </c:pt>
                <c:pt idx="607">
                  <c:v>56.288824373840264</c:v>
                </c:pt>
                <c:pt idx="608">
                  <c:v>56.288824373840264</c:v>
                </c:pt>
                <c:pt idx="609">
                  <c:v>56.288824373840264</c:v>
                </c:pt>
                <c:pt idx="610">
                  <c:v>56.288824373840264</c:v>
                </c:pt>
                <c:pt idx="611">
                  <c:v>56.288824373840264</c:v>
                </c:pt>
                <c:pt idx="612">
                  <c:v>56.288824373840264</c:v>
                </c:pt>
                <c:pt idx="613">
                  <c:v>56.288824373840264</c:v>
                </c:pt>
                <c:pt idx="614">
                  <c:v>56.288824373840264</c:v>
                </c:pt>
                <c:pt idx="615">
                  <c:v>56.288824373840264</c:v>
                </c:pt>
                <c:pt idx="616">
                  <c:v>56.288824373840264</c:v>
                </c:pt>
                <c:pt idx="617">
                  <c:v>56.288824373840264</c:v>
                </c:pt>
                <c:pt idx="618">
                  <c:v>56.288824373840264</c:v>
                </c:pt>
                <c:pt idx="619">
                  <c:v>56.288824373840264</c:v>
                </c:pt>
                <c:pt idx="620">
                  <c:v>56.288824373840264</c:v>
                </c:pt>
                <c:pt idx="621">
                  <c:v>56.288824373840264</c:v>
                </c:pt>
                <c:pt idx="622">
                  <c:v>56.288824373840264</c:v>
                </c:pt>
                <c:pt idx="623">
                  <c:v>56.288824373840264</c:v>
                </c:pt>
                <c:pt idx="624">
                  <c:v>56.288824373840264</c:v>
                </c:pt>
                <c:pt idx="625">
                  <c:v>56.288824373840264</c:v>
                </c:pt>
                <c:pt idx="626">
                  <c:v>56.288824373840264</c:v>
                </c:pt>
                <c:pt idx="627">
                  <c:v>56.288824373840264</c:v>
                </c:pt>
                <c:pt idx="628">
                  <c:v>56.288824373840264</c:v>
                </c:pt>
                <c:pt idx="629">
                  <c:v>56.288824373840264</c:v>
                </c:pt>
                <c:pt idx="630">
                  <c:v>56.288824373840264</c:v>
                </c:pt>
                <c:pt idx="631">
                  <c:v>56.288824373840264</c:v>
                </c:pt>
                <c:pt idx="632">
                  <c:v>56.288824373840264</c:v>
                </c:pt>
                <c:pt idx="633">
                  <c:v>56.288824373840264</c:v>
                </c:pt>
                <c:pt idx="634">
                  <c:v>56.288824373840264</c:v>
                </c:pt>
                <c:pt idx="635">
                  <c:v>56.288824373840264</c:v>
                </c:pt>
                <c:pt idx="636">
                  <c:v>56.288824373840264</c:v>
                </c:pt>
                <c:pt idx="637">
                  <c:v>56.288824373840264</c:v>
                </c:pt>
                <c:pt idx="638">
                  <c:v>56.288824373840264</c:v>
                </c:pt>
                <c:pt idx="639">
                  <c:v>56.288824373840264</c:v>
                </c:pt>
                <c:pt idx="640">
                  <c:v>56.288824373840264</c:v>
                </c:pt>
                <c:pt idx="641">
                  <c:v>56.288824373840264</c:v>
                </c:pt>
                <c:pt idx="642">
                  <c:v>56.288824373840264</c:v>
                </c:pt>
                <c:pt idx="643">
                  <c:v>56.288824373840264</c:v>
                </c:pt>
                <c:pt idx="644">
                  <c:v>56.288824373840264</c:v>
                </c:pt>
                <c:pt idx="645">
                  <c:v>56.288824373840264</c:v>
                </c:pt>
                <c:pt idx="646">
                  <c:v>56.288824373840264</c:v>
                </c:pt>
                <c:pt idx="647">
                  <c:v>56.288824373840264</c:v>
                </c:pt>
                <c:pt idx="648">
                  <c:v>56.288824373840264</c:v>
                </c:pt>
                <c:pt idx="649">
                  <c:v>56.288824373840264</c:v>
                </c:pt>
                <c:pt idx="650">
                  <c:v>56.288824373840264</c:v>
                </c:pt>
                <c:pt idx="651">
                  <c:v>56.288824373840264</c:v>
                </c:pt>
                <c:pt idx="652">
                  <c:v>56.288824373840264</c:v>
                </c:pt>
                <c:pt idx="653">
                  <c:v>56.288824373840264</c:v>
                </c:pt>
                <c:pt idx="654">
                  <c:v>56.288824373840264</c:v>
                </c:pt>
                <c:pt idx="655">
                  <c:v>56.288824373840264</c:v>
                </c:pt>
                <c:pt idx="656">
                  <c:v>56.288824373840264</c:v>
                </c:pt>
                <c:pt idx="657">
                  <c:v>56.288824373840264</c:v>
                </c:pt>
                <c:pt idx="658">
                  <c:v>56.288824373840264</c:v>
                </c:pt>
                <c:pt idx="659">
                  <c:v>56.288824373840264</c:v>
                </c:pt>
                <c:pt idx="660">
                  <c:v>56.288824373840264</c:v>
                </c:pt>
                <c:pt idx="661">
                  <c:v>56.288824373840264</c:v>
                </c:pt>
                <c:pt idx="662">
                  <c:v>56.288824373840264</c:v>
                </c:pt>
                <c:pt idx="663">
                  <c:v>56.288824373840264</c:v>
                </c:pt>
                <c:pt idx="664">
                  <c:v>56.288824373840264</c:v>
                </c:pt>
                <c:pt idx="665">
                  <c:v>56.288824373840264</c:v>
                </c:pt>
                <c:pt idx="666">
                  <c:v>56.288824373840264</c:v>
                </c:pt>
                <c:pt idx="667">
                  <c:v>56.288824373840264</c:v>
                </c:pt>
                <c:pt idx="668">
                  <c:v>56.288824373840264</c:v>
                </c:pt>
                <c:pt idx="669">
                  <c:v>56.288824373840264</c:v>
                </c:pt>
                <c:pt idx="670">
                  <c:v>56.288824373840264</c:v>
                </c:pt>
                <c:pt idx="671">
                  <c:v>56.288824373840264</c:v>
                </c:pt>
                <c:pt idx="672">
                  <c:v>56.288824373840264</c:v>
                </c:pt>
                <c:pt idx="673">
                  <c:v>56.288824373840264</c:v>
                </c:pt>
                <c:pt idx="674">
                  <c:v>56.288824373840264</c:v>
                </c:pt>
                <c:pt idx="675">
                  <c:v>56.288824373840264</c:v>
                </c:pt>
                <c:pt idx="676">
                  <c:v>56.288824373840264</c:v>
                </c:pt>
                <c:pt idx="677">
                  <c:v>56.288824373840264</c:v>
                </c:pt>
                <c:pt idx="678">
                  <c:v>56.288824373840264</c:v>
                </c:pt>
                <c:pt idx="679">
                  <c:v>56.288824373840264</c:v>
                </c:pt>
                <c:pt idx="680">
                  <c:v>56.288824373840264</c:v>
                </c:pt>
                <c:pt idx="681">
                  <c:v>56.288824373840264</c:v>
                </c:pt>
                <c:pt idx="682">
                  <c:v>56.288824373840264</c:v>
                </c:pt>
                <c:pt idx="683">
                  <c:v>56.288824373840264</c:v>
                </c:pt>
                <c:pt idx="684">
                  <c:v>56.288824373840264</c:v>
                </c:pt>
                <c:pt idx="685">
                  <c:v>56.288824373840264</c:v>
                </c:pt>
                <c:pt idx="686">
                  <c:v>56.288824373840264</c:v>
                </c:pt>
                <c:pt idx="687">
                  <c:v>56.288824373840264</c:v>
                </c:pt>
                <c:pt idx="688">
                  <c:v>56.288824373840264</c:v>
                </c:pt>
                <c:pt idx="689">
                  <c:v>56.288824373840264</c:v>
                </c:pt>
                <c:pt idx="690">
                  <c:v>56.288824373840264</c:v>
                </c:pt>
                <c:pt idx="691">
                  <c:v>56.288824373840264</c:v>
                </c:pt>
                <c:pt idx="692">
                  <c:v>56.288824373840264</c:v>
                </c:pt>
                <c:pt idx="693">
                  <c:v>56.288824373840264</c:v>
                </c:pt>
                <c:pt idx="694">
                  <c:v>56.288824373840264</c:v>
                </c:pt>
                <c:pt idx="695">
                  <c:v>56.288824373840264</c:v>
                </c:pt>
                <c:pt idx="696">
                  <c:v>56.288824373840264</c:v>
                </c:pt>
                <c:pt idx="697">
                  <c:v>56.288824373840264</c:v>
                </c:pt>
                <c:pt idx="698">
                  <c:v>56.288824373840264</c:v>
                </c:pt>
                <c:pt idx="699">
                  <c:v>56.288824373840264</c:v>
                </c:pt>
                <c:pt idx="700">
                  <c:v>56.288824373840264</c:v>
                </c:pt>
                <c:pt idx="701">
                  <c:v>56.288824373840264</c:v>
                </c:pt>
                <c:pt idx="702">
                  <c:v>56.288824373840264</c:v>
                </c:pt>
                <c:pt idx="703">
                  <c:v>56.288824373840264</c:v>
                </c:pt>
                <c:pt idx="704">
                  <c:v>56.288824373840264</c:v>
                </c:pt>
                <c:pt idx="705">
                  <c:v>56.288824373840264</c:v>
                </c:pt>
                <c:pt idx="706">
                  <c:v>56.288824373840264</c:v>
                </c:pt>
                <c:pt idx="707">
                  <c:v>56.288824373840264</c:v>
                </c:pt>
                <c:pt idx="708">
                  <c:v>56.288824373840264</c:v>
                </c:pt>
                <c:pt idx="709">
                  <c:v>56.288824373840264</c:v>
                </c:pt>
                <c:pt idx="710">
                  <c:v>56.288824373840264</c:v>
                </c:pt>
                <c:pt idx="711">
                  <c:v>56.288824373840264</c:v>
                </c:pt>
                <c:pt idx="712">
                  <c:v>56.288824373840264</c:v>
                </c:pt>
                <c:pt idx="713">
                  <c:v>56.288824373840264</c:v>
                </c:pt>
                <c:pt idx="714">
                  <c:v>56.288824373840264</c:v>
                </c:pt>
                <c:pt idx="715">
                  <c:v>56.288824373840264</c:v>
                </c:pt>
                <c:pt idx="716">
                  <c:v>56.288824373840264</c:v>
                </c:pt>
                <c:pt idx="717">
                  <c:v>56.288824373840264</c:v>
                </c:pt>
                <c:pt idx="718">
                  <c:v>56.288824373840264</c:v>
                </c:pt>
                <c:pt idx="719">
                  <c:v>56.288824373840264</c:v>
                </c:pt>
                <c:pt idx="720">
                  <c:v>56.288824373840264</c:v>
                </c:pt>
                <c:pt idx="721">
                  <c:v>56.288824373840264</c:v>
                </c:pt>
                <c:pt idx="722">
                  <c:v>56.288824373840264</c:v>
                </c:pt>
                <c:pt idx="723">
                  <c:v>56.288824373840264</c:v>
                </c:pt>
                <c:pt idx="724">
                  <c:v>56.288824373840264</c:v>
                </c:pt>
                <c:pt idx="725">
                  <c:v>56.288824373840264</c:v>
                </c:pt>
                <c:pt idx="726">
                  <c:v>56.288824373840264</c:v>
                </c:pt>
                <c:pt idx="727">
                  <c:v>56.288824373840264</c:v>
                </c:pt>
                <c:pt idx="728">
                  <c:v>56.288824373840264</c:v>
                </c:pt>
                <c:pt idx="729">
                  <c:v>56.288824373840264</c:v>
                </c:pt>
                <c:pt idx="730">
                  <c:v>56.288824373840264</c:v>
                </c:pt>
                <c:pt idx="731">
                  <c:v>56.288824373840264</c:v>
                </c:pt>
                <c:pt idx="732">
                  <c:v>56.288824373840264</c:v>
                </c:pt>
                <c:pt idx="733">
                  <c:v>56.288824373840264</c:v>
                </c:pt>
                <c:pt idx="734">
                  <c:v>56.288824373840264</c:v>
                </c:pt>
                <c:pt idx="735">
                  <c:v>56.288824373840264</c:v>
                </c:pt>
                <c:pt idx="736">
                  <c:v>56.288824373840264</c:v>
                </c:pt>
                <c:pt idx="737">
                  <c:v>56.288824373840264</c:v>
                </c:pt>
                <c:pt idx="738">
                  <c:v>56.288824373840264</c:v>
                </c:pt>
                <c:pt idx="739">
                  <c:v>56.288824373840264</c:v>
                </c:pt>
                <c:pt idx="740">
                  <c:v>56.288824373840264</c:v>
                </c:pt>
                <c:pt idx="741">
                  <c:v>56.288824373840264</c:v>
                </c:pt>
                <c:pt idx="742">
                  <c:v>56.288824373840264</c:v>
                </c:pt>
                <c:pt idx="743">
                  <c:v>56.288824373840264</c:v>
                </c:pt>
                <c:pt idx="744">
                  <c:v>56.288824373840264</c:v>
                </c:pt>
                <c:pt idx="745">
                  <c:v>56.288824373840264</c:v>
                </c:pt>
                <c:pt idx="746">
                  <c:v>56.288824373840264</c:v>
                </c:pt>
                <c:pt idx="747">
                  <c:v>56.288824373840264</c:v>
                </c:pt>
                <c:pt idx="748">
                  <c:v>56.288824373840264</c:v>
                </c:pt>
                <c:pt idx="749">
                  <c:v>56.288824373840264</c:v>
                </c:pt>
                <c:pt idx="750">
                  <c:v>56.288824373840264</c:v>
                </c:pt>
                <c:pt idx="751">
                  <c:v>56.288824373840264</c:v>
                </c:pt>
                <c:pt idx="752">
                  <c:v>56.288824373840264</c:v>
                </c:pt>
                <c:pt idx="753">
                  <c:v>56.288824373840264</c:v>
                </c:pt>
                <c:pt idx="754">
                  <c:v>56.288824373840264</c:v>
                </c:pt>
                <c:pt idx="755">
                  <c:v>56.288824373840264</c:v>
                </c:pt>
                <c:pt idx="756">
                  <c:v>56.288824373840264</c:v>
                </c:pt>
                <c:pt idx="757">
                  <c:v>56.288824373840264</c:v>
                </c:pt>
                <c:pt idx="758">
                  <c:v>56.288824373840264</c:v>
                </c:pt>
                <c:pt idx="759">
                  <c:v>56.288824373840264</c:v>
                </c:pt>
                <c:pt idx="760">
                  <c:v>56.288824373840264</c:v>
                </c:pt>
                <c:pt idx="761">
                  <c:v>56.288824373840264</c:v>
                </c:pt>
                <c:pt idx="762">
                  <c:v>56.288824373840264</c:v>
                </c:pt>
                <c:pt idx="763">
                  <c:v>56.288824373840264</c:v>
                </c:pt>
                <c:pt idx="764">
                  <c:v>56.288824373840264</c:v>
                </c:pt>
                <c:pt idx="765">
                  <c:v>56.288824373840264</c:v>
                </c:pt>
                <c:pt idx="766">
                  <c:v>56.288824373840264</c:v>
                </c:pt>
                <c:pt idx="767">
                  <c:v>56.288824373840264</c:v>
                </c:pt>
                <c:pt idx="768">
                  <c:v>56.288824373840264</c:v>
                </c:pt>
                <c:pt idx="769">
                  <c:v>56.288824373840264</c:v>
                </c:pt>
                <c:pt idx="770">
                  <c:v>56.288824373840264</c:v>
                </c:pt>
                <c:pt idx="771">
                  <c:v>56.288824373840264</c:v>
                </c:pt>
                <c:pt idx="772">
                  <c:v>56.288824373840264</c:v>
                </c:pt>
                <c:pt idx="773">
                  <c:v>56.288824373840264</c:v>
                </c:pt>
                <c:pt idx="774">
                  <c:v>56.288824373840264</c:v>
                </c:pt>
                <c:pt idx="775">
                  <c:v>56.288824373840264</c:v>
                </c:pt>
                <c:pt idx="776">
                  <c:v>56.288824373840264</c:v>
                </c:pt>
                <c:pt idx="777">
                  <c:v>56.288824373840264</c:v>
                </c:pt>
                <c:pt idx="778">
                  <c:v>56.288824373840264</c:v>
                </c:pt>
                <c:pt idx="779">
                  <c:v>56.288824373840264</c:v>
                </c:pt>
                <c:pt idx="780">
                  <c:v>56.288824373840264</c:v>
                </c:pt>
                <c:pt idx="781">
                  <c:v>56.288824373840264</c:v>
                </c:pt>
                <c:pt idx="782">
                  <c:v>56.288824373840264</c:v>
                </c:pt>
                <c:pt idx="783">
                  <c:v>56.288824373840264</c:v>
                </c:pt>
                <c:pt idx="784">
                  <c:v>56.288824373840264</c:v>
                </c:pt>
                <c:pt idx="785">
                  <c:v>56.288824373840264</c:v>
                </c:pt>
                <c:pt idx="786">
                  <c:v>56.288824373840264</c:v>
                </c:pt>
                <c:pt idx="787">
                  <c:v>56.288824373840264</c:v>
                </c:pt>
                <c:pt idx="788">
                  <c:v>56.288824373840264</c:v>
                </c:pt>
                <c:pt idx="789">
                  <c:v>56.288824373840264</c:v>
                </c:pt>
                <c:pt idx="790">
                  <c:v>56.288824373840264</c:v>
                </c:pt>
                <c:pt idx="791">
                  <c:v>56.288824373840264</c:v>
                </c:pt>
                <c:pt idx="792">
                  <c:v>56.288824373840264</c:v>
                </c:pt>
                <c:pt idx="793">
                  <c:v>56.288824373840264</c:v>
                </c:pt>
                <c:pt idx="794">
                  <c:v>56.288824373840264</c:v>
                </c:pt>
                <c:pt idx="795">
                  <c:v>56.288824373840264</c:v>
                </c:pt>
                <c:pt idx="796">
                  <c:v>56.288824373840264</c:v>
                </c:pt>
                <c:pt idx="797">
                  <c:v>56.288824373840264</c:v>
                </c:pt>
                <c:pt idx="798">
                  <c:v>56.288824373840264</c:v>
                </c:pt>
                <c:pt idx="799">
                  <c:v>56.288824373840264</c:v>
                </c:pt>
                <c:pt idx="800">
                  <c:v>56.288824373840264</c:v>
                </c:pt>
                <c:pt idx="801">
                  <c:v>56.288824373840264</c:v>
                </c:pt>
                <c:pt idx="802">
                  <c:v>56.288824373840264</c:v>
                </c:pt>
                <c:pt idx="803">
                  <c:v>56.288824373840264</c:v>
                </c:pt>
                <c:pt idx="804">
                  <c:v>56.288824373840264</c:v>
                </c:pt>
                <c:pt idx="805">
                  <c:v>56.288824373840264</c:v>
                </c:pt>
                <c:pt idx="806">
                  <c:v>56.288824373840264</c:v>
                </c:pt>
                <c:pt idx="807">
                  <c:v>56.288824373840264</c:v>
                </c:pt>
                <c:pt idx="808">
                  <c:v>56.288824373840264</c:v>
                </c:pt>
                <c:pt idx="809">
                  <c:v>56.288824373840264</c:v>
                </c:pt>
                <c:pt idx="810">
                  <c:v>56.288824373840264</c:v>
                </c:pt>
                <c:pt idx="811">
                  <c:v>56.288824373840264</c:v>
                </c:pt>
                <c:pt idx="812">
                  <c:v>56.288824373840264</c:v>
                </c:pt>
                <c:pt idx="813">
                  <c:v>56.288824373840264</c:v>
                </c:pt>
                <c:pt idx="814">
                  <c:v>56.288824373840264</c:v>
                </c:pt>
                <c:pt idx="815">
                  <c:v>56.288824373840264</c:v>
                </c:pt>
                <c:pt idx="816">
                  <c:v>56.288824373840264</c:v>
                </c:pt>
                <c:pt idx="817">
                  <c:v>56.288824373840264</c:v>
                </c:pt>
                <c:pt idx="818">
                  <c:v>56.288824373840264</c:v>
                </c:pt>
                <c:pt idx="819">
                  <c:v>56.288824373840264</c:v>
                </c:pt>
                <c:pt idx="820">
                  <c:v>56.288824373840264</c:v>
                </c:pt>
                <c:pt idx="821">
                  <c:v>56.288824373840264</c:v>
                </c:pt>
                <c:pt idx="822">
                  <c:v>56.288824373840264</c:v>
                </c:pt>
                <c:pt idx="823">
                  <c:v>56.288824373840264</c:v>
                </c:pt>
                <c:pt idx="824">
                  <c:v>56.288824373840264</c:v>
                </c:pt>
                <c:pt idx="825">
                  <c:v>56.288824373840264</c:v>
                </c:pt>
                <c:pt idx="826">
                  <c:v>56.288824373840264</c:v>
                </c:pt>
                <c:pt idx="827">
                  <c:v>56.288824373840264</c:v>
                </c:pt>
                <c:pt idx="828">
                  <c:v>56.288824373840264</c:v>
                </c:pt>
                <c:pt idx="829">
                  <c:v>56.288824373840264</c:v>
                </c:pt>
                <c:pt idx="830">
                  <c:v>56.288824373840264</c:v>
                </c:pt>
                <c:pt idx="831">
                  <c:v>56.288824373840264</c:v>
                </c:pt>
                <c:pt idx="832">
                  <c:v>56.288824373840264</c:v>
                </c:pt>
                <c:pt idx="833">
                  <c:v>56.288824373840264</c:v>
                </c:pt>
                <c:pt idx="834">
                  <c:v>56.288824373840264</c:v>
                </c:pt>
                <c:pt idx="835">
                  <c:v>56.288824373840264</c:v>
                </c:pt>
                <c:pt idx="836">
                  <c:v>56.288824373840264</c:v>
                </c:pt>
                <c:pt idx="837">
                  <c:v>56.288824373840264</c:v>
                </c:pt>
                <c:pt idx="838">
                  <c:v>56.288824373840264</c:v>
                </c:pt>
                <c:pt idx="839">
                  <c:v>56.288824373840264</c:v>
                </c:pt>
                <c:pt idx="840">
                  <c:v>56.288824373840264</c:v>
                </c:pt>
                <c:pt idx="841">
                  <c:v>56.288824373840264</c:v>
                </c:pt>
                <c:pt idx="842">
                  <c:v>56.288824373840264</c:v>
                </c:pt>
                <c:pt idx="843">
                  <c:v>56.288824373840264</c:v>
                </c:pt>
                <c:pt idx="844">
                  <c:v>56.288824373840264</c:v>
                </c:pt>
                <c:pt idx="845">
                  <c:v>56.288824373840264</c:v>
                </c:pt>
                <c:pt idx="846">
                  <c:v>56.288824373840264</c:v>
                </c:pt>
                <c:pt idx="847">
                  <c:v>56.288824373840264</c:v>
                </c:pt>
                <c:pt idx="848">
                  <c:v>56.288824373840264</c:v>
                </c:pt>
                <c:pt idx="849">
                  <c:v>56.288824373840264</c:v>
                </c:pt>
                <c:pt idx="850">
                  <c:v>56.288824373840264</c:v>
                </c:pt>
                <c:pt idx="851">
                  <c:v>56.288824373840264</c:v>
                </c:pt>
                <c:pt idx="852">
                  <c:v>56.288824373840264</c:v>
                </c:pt>
                <c:pt idx="853">
                  <c:v>56.288824373840264</c:v>
                </c:pt>
                <c:pt idx="854">
                  <c:v>56.288824373840264</c:v>
                </c:pt>
                <c:pt idx="855">
                  <c:v>56.288824373840264</c:v>
                </c:pt>
                <c:pt idx="856">
                  <c:v>56.288824373840264</c:v>
                </c:pt>
                <c:pt idx="857">
                  <c:v>56.288824373840264</c:v>
                </c:pt>
                <c:pt idx="858">
                  <c:v>56.288824373840264</c:v>
                </c:pt>
                <c:pt idx="859">
                  <c:v>56.288824373840264</c:v>
                </c:pt>
                <c:pt idx="860">
                  <c:v>56.288824373840264</c:v>
                </c:pt>
                <c:pt idx="861">
                  <c:v>56.288824373840264</c:v>
                </c:pt>
                <c:pt idx="862">
                  <c:v>56.288824373840264</c:v>
                </c:pt>
                <c:pt idx="863">
                  <c:v>56.288824373840264</c:v>
                </c:pt>
                <c:pt idx="864">
                  <c:v>56.288824373840264</c:v>
                </c:pt>
                <c:pt idx="865">
                  <c:v>56.288824373840264</c:v>
                </c:pt>
                <c:pt idx="866">
                  <c:v>56.288824373840264</c:v>
                </c:pt>
                <c:pt idx="867">
                  <c:v>56.288824373840264</c:v>
                </c:pt>
                <c:pt idx="868">
                  <c:v>56.288824373840264</c:v>
                </c:pt>
                <c:pt idx="869">
                  <c:v>56.288824373840264</c:v>
                </c:pt>
                <c:pt idx="870">
                  <c:v>56.288824373840264</c:v>
                </c:pt>
                <c:pt idx="871">
                  <c:v>56.288824373840264</c:v>
                </c:pt>
                <c:pt idx="872">
                  <c:v>56.288824373840264</c:v>
                </c:pt>
                <c:pt idx="873">
                  <c:v>56.288824373840264</c:v>
                </c:pt>
                <c:pt idx="874">
                  <c:v>56.288824373840264</c:v>
                </c:pt>
                <c:pt idx="875">
                  <c:v>56.288824373840264</c:v>
                </c:pt>
                <c:pt idx="876">
                  <c:v>56.288824373840264</c:v>
                </c:pt>
                <c:pt idx="877">
                  <c:v>56.288824373840264</c:v>
                </c:pt>
                <c:pt idx="878">
                  <c:v>56.288824373840264</c:v>
                </c:pt>
                <c:pt idx="879">
                  <c:v>56.288824373840264</c:v>
                </c:pt>
                <c:pt idx="880">
                  <c:v>56.288824373840264</c:v>
                </c:pt>
                <c:pt idx="881">
                  <c:v>56.288824373840264</c:v>
                </c:pt>
                <c:pt idx="882">
                  <c:v>56.288824373840264</c:v>
                </c:pt>
                <c:pt idx="883">
                  <c:v>56.288824373840264</c:v>
                </c:pt>
                <c:pt idx="884">
                  <c:v>56.288824373840264</c:v>
                </c:pt>
                <c:pt idx="885">
                  <c:v>56.288824373840264</c:v>
                </c:pt>
                <c:pt idx="886">
                  <c:v>56.288824373840264</c:v>
                </c:pt>
                <c:pt idx="887">
                  <c:v>56.288824373840264</c:v>
                </c:pt>
                <c:pt idx="888">
                  <c:v>56.288824373840264</c:v>
                </c:pt>
                <c:pt idx="889">
                  <c:v>56.288824373840264</c:v>
                </c:pt>
                <c:pt idx="890">
                  <c:v>56.288824373840264</c:v>
                </c:pt>
                <c:pt idx="891">
                  <c:v>56.288824373840264</c:v>
                </c:pt>
                <c:pt idx="892">
                  <c:v>56.288824373840264</c:v>
                </c:pt>
                <c:pt idx="893">
                  <c:v>56.288824373840264</c:v>
                </c:pt>
                <c:pt idx="894">
                  <c:v>56.288824373840264</c:v>
                </c:pt>
                <c:pt idx="895">
                  <c:v>56.288824373840264</c:v>
                </c:pt>
                <c:pt idx="896">
                  <c:v>56.288824373840264</c:v>
                </c:pt>
                <c:pt idx="897">
                  <c:v>56.288824373840264</c:v>
                </c:pt>
                <c:pt idx="898">
                  <c:v>56.288824373840264</c:v>
                </c:pt>
                <c:pt idx="899">
                  <c:v>56.288824373840264</c:v>
                </c:pt>
                <c:pt idx="900">
                  <c:v>56.288824373840264</c:v>
                </c:pt>
                <c:pt idx="901">
                  <c:v>56.288824373840264</c:v>
                </c:pt>
                <c:pt idx="902">
                  <c:v>56.288824373840264</c:v>
                </c:pt>
                <c:pt idx="903">
                  <c:v>56.288824373840264</c:v>
                </c:pt>
                <c:pt idx="904">
                  <c:v>56.288824373840264</c:v>
                </c:pt>
                <c:pt idx="905">
                  <c:v>56.288824373840264</c:v>
                </c:pt>
                <c:pt idx="906">
                  <c:v>56.288824373840264</c:v>
                </c:pt>
                <c:pt idx="907">
                  <c:v>56.288824373840264</c:v>
                </c:pt>
                <c:pt idx="908">
                  <c:v>56.288824373840264</c:v>
                </c:pt>
                <c:pt idx="909">
                  <c:v>56.288824373840264</c:v>
                </c:pt>
                <c:pt idx="910">
                  <c:v>56.288824373840264</c:v>
                </c:pt>
                <c:pt idx="911">
                  <c:v>56.288824373840264</c:v>
                </c:pt>
                <c:pt idx="912">
                  <c:v>56.288824373840264</c:v>
                </c:pt>
                <c:pt idx="913">
                  <c:v>56.288824373840264</c:v>
                </c:pt>
                <c:pt idx="914">
                  <c:v>56.288824373840264</c:v>
                </c:pt>
                <c:pt idx="915">
                  <c:v>56.288824373840264</c:v>
                </c:pt>
                <c:pt idx="916">
                  <c:v>56.288824373840264</c:v>
                </c:pt>
                <c:pt idx="917">
                  <c:v>56.288824373840264</c:v>
                </c:pt>
                <c:pt idx="918">
                  <c:v>56.288824373840264</c:v>
                </c:pt>
                <c:pt idx="919">
                  <c:v>56.288824373840264</c:v>
                </c:pt>
                <c:pt idx="920">
                  <c:v>56.288824373840264</c:v>
                </c:pt>
                <c:pt idx="921">
                  <c:v>56.288824373840264</c:v>
                </c:pt>
                <c:pt idx="922">
                  <c:v>56.288824373840264</c:v>
                </c:pt>
                <c:pt idx="923">
                  <c:v>56.288824373840264</c:v>
                </c:pt>
                <c:pt idx="924">
                  <c:v>56.288824373840264</c:v>
                </c:pt>
                <c:pt idx="925">
                  <c:v>56.288824373840264</c:v>
                </c:pt>
                <c:pt idx="926">
                  <c:v>56.288824373840264</c:v>
                </c:pt>
                <c:pt idx="927">
                  <c:v>56.288824373840264</c:v>
                </c:pt>
                <c:pt idx="928">
                  <c:v>56.288824373840264</c:v>
                </c:pt>
                <c:pt idx="929">
                  <c:v>56.288824373840264</c:v>
                </c:pt>
                <c:pt idx="930">
                  <c:v>56.288824373840264</c:v>
                </c:pt>
                <c:pt idx="931">
                  <c:v>56.288824373840264</c:v>
                </c:pt>
                <c:pt idx="932">
                  <c:v>56.288824373840264</c:v>
                </c:pt>
                <c:pt idx="933">
                  <c:v>56.288824373840264</c:v>
                </c:pt>
                <c:pt idx="934">
                  <c:v>56.288824373840264</c:v>
                </c:pt>
                <c:pt idx="935">
                  <c:v>56.288824373840264</c:v>
                </c:pt>
                <c:pt idx="936">
                  <c:v>56.288824373840264</c:v>
                </c:pt>
                <c:pt idx="937">
                  <c:v>56.288824373840264</c:v>
                </c:pt>
                <c:pt idx="938">
                  <c:v>56.288824373840264</c:v>
                </c:pt>
                <c:pt idx="939">
                  <c:v>56.288824373840264</c:v>
                </c:pt>
                <c:pt idx="940">
                  <c:v>56.288824373840264</c:v>
                </c:pt>
                <c:pt idx="941">
                  <c:v>56.288824373840264</c:v>
                </c:pt>
                <c:pt idx="942">
                  <c:v>56.288824373840264</c:v>
                </c:pt>
                <c:pt idx="943">
                  <c:v>56.288824373840264</c:v>
                </c:pt>
                <c:pt idx="944">
                  <c:v>56.288824373840264</c:v>
                </c:pt>
                <c:pt idx="945">
                  <c:v>56.288824373840264</c:v>
                </c:pt>
                <c:pt idx="946">
                  <c:v>56.288824373840264</c:v>
                </c:pt>
                <c:pt idx="947">
                  <c:v>56.288824373840264</c:v>
                </c:pt>
                <c:pt idx="948">
                  <c:v>56.288824373840264</c:v>
                </c:pt>
                <c:pt idx="949">
                  <c:v>56.288824373840264</c:v>
                </c:pt>
                <c:pt idx="950">
                  <c:v>56.288824373840264</c:v>
                </c:pt>
                <c:pt idx="951">
                  <c:v>56.288824373840264</c:v>
                </c:pt>
                <c:pt idx="952">
                  <c:v>56.288824373840264</c:v>
                </c:pt>
                <c:pt idx="953">
                  <c:v>56.288824373840264</c:v>
                </c:pt>
                <c:pt idx="954">
                  <c:v>56.288824373840264</c:v>
                </c:pt>
                <c:pt idx="955">
                  <c:v>56.288824373840264</c:v>
                </c:pt>
                <c:pt idx="956">
                  <c:v>56.288824373840264</c:v>
                </c:pt>
                <c:pt idx="957">
                  <c:v>56.288824373840264</c:v>
                </c:pt>
                <c:pt idx="958">
                  <c:v>56.288824373840264</c:v>
                </c:pt>
                <c:pt idx="959">
                  <c:v>56.288824373840264</c:v>
                </c:pt>
                <c:pt idx="960">
                  <c:v>56.288824373840264</c:v>
                </c:pt>
                <c:pt idx="961">
                  <c:v>56.288824373840264</c:v>
                </c:pt>
                <c:pt idx="962">
                  <c:v>56.288824373840264</c:v>
                </c:pt>
                <c:pt idx="963">
                  <c:v>56.288824373840264</c:v>
                </c:pt>
                <c:pt idx="964">
                  <c:v>56.288824373840264</c:v>
                </c:pt>
                <c:pt idx="965">
                  <c:v>56.288824373840264</c:v>
                </c:pt>
                <c:pt idx="966">
                  <c:v>56.288824373840264</c:v>
                </c:pt>
                <c:pt idx="967">
                  <c:v>56.288824373840264</c:v>
                </c:pt>
                <c:pt idx="968">
                  <c:v>56.288824373840264</c:v>
                </c:pt>
                <c:pt idx="969">
                  <c:v>56.288824373840264</c:v>
                </c:pt>
                <c:pt idx="970">
                  <c:v>56.288824373840264</c:v>
                </c:pt>
                <c:pt idx="971">
                  <c:v>56.288824373840264</c:v>
                </c:pt>
                <c:pt idx="972">
                  <c:v>56.288824373840264</c:v>
                </c:pt>
                <c:pt idx="973">
                  <c:v>56.288824373840264</c:v>
                </c:pt>
                <c:pt idx="974">
                  <c:v>56.288824373840264</c:v>
                </c:pt>
                <c:pt idx="975">
                  <c:v>56.288824373840264</c:v>
                </c:pt>
                <c:pt idx="976">
                  <c:v>56.288824373840264</c:v>
                </c:pt>
                <c:pt idx="977">
                  <c:v>56.288824373840264</c:v>
                </c:pt>
                <c:pt idx="978">
                  <c:v>56.288824373840264</c:v>
                </c:pt>
                <c:pt idx="979">
                  <c:v>56.288824373840264</c:v>
                </c:pt>
                <c:pt idx="980">
                  <c:v>56.288824373840264</c:v>
                </c:pt>
                <c:pt idx="981">
                  <c:v>56.288824373840264</c:v>
                </c:pt>
                <c:pt idx="982">
                  <c:v>56.288824373840264</c:v>
                </c:pt>
                <c:pt idx="983">
                  <c:v>56.288824373840264</c:v>
                </c:pt>
                <c:pt idx="984">
                  <c:v>56.288824373840264</c:v>
                </c:pt>
                <c:pt idx="985">
                  <c:v>56.288824373840264</c:v>
                </c:pt>
                <c:pt idx="986">
                  <c:v>56.288824373840264</c:v>
                </c:pt>
                <c:pt idx="987">
                  <c:v>56.288824373840264</c:v>
                </c:pt>
                <c:pt idx="988">
                  <c:v>56.288824373840264</c:v>
                </c:pt>
                <c:pt idx="989">
                  <c:v>56.288824373840264</c:v>
                </c:pt>
                <c:pt idx="990">
                  <c:v>56.288824373840264</c:v>
                </c:pt>
                <c:pt idx="991">
                  <c:v>56.288824373840264</c:v>
                </c:pt>
                <c:pt idx="992">
                  <c:v>56.288824373840264</c:v>
                </c:pt>
                <c:pt idx="993">
                  <c:v>56.288824373840264</c:v>
                </c:pt>
                <c:pt idx="994">
                  <c:v>56.288824373840264</c:v>
                </c:pt>
                <c:pt idx="995">
                  <c:v>56.288824373840264</c:v>
                </c:pt>
                <c:pt idx="996">
                  <c:v>56.288824373840264</c:v>
                </c:pt>
                <c:pt idx="997">
                  <c:v>56.288824373840264</c:v>
                </c:pt>
                <c:pt idx="998">
                  <c:v>56.288824373840264</c:v>
                </c:pt>
                <c:pt idx="999">
                  <c:v>56.288824373840264</c:v>
                </c:pt>
                <c:pt idx="1000">
                  <c:v>56.288824373840264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9.5476849499258624E-4</c:v>
                </c:pt>
                <c:pt idx="2">
                  <c:v>6.7041506585954914E-3</c:v>
                </c:pt>
                <c:pt idx="3">
                  <c:v>2.1347892084722167E-2</c:v>
                </c:pt>
                <c:pt idx="4">
                  <c:v>4.5641448750859806E-2</c:v>
                </c:pt>
                <c:pt idx="5">
                  <c:v>7.8886855363211827E-2</c:v>
                </c:pt>
                <c:pt idx="6">
                  <c:v>0.12082755256820427</c:v>
                </c:pt>
                <c:pt idx="7">
                  <c:v>0.17142780490487936</c:v>
                </c:pt>
                <c:pt idx="8">
                  <c:v>0.23065163508789061</c:v>
                </c:pt>
                <c:pt idx="9">
                  <c:v>0.29846282623171161</c:v>
                </c:pt>
                <c:pt idx="10">
                  <c:v>0.37482492409416895</c:v>
                </c:pt>
                <c:pt idx="11">
                  <c:v>0.45970123933881296</c:v>
                </c:pt>
                <c:pt idx="12">
                  <c:v>0.55305484981563557</c:v>
                </c:pt>
                <c:pt idx="13">
                  <c:v>0.65484860285964364</c:v>
                </c:pt>
                <c:pt idx="14">
                  <c:v>0.76504511760679228</c:v>
                </c:pt>
                <c:pt idx="15">
                  <c:v>0.88360678732678144</c:v>
                </c:pt>
                <c:pt idx="16">
                  <c:v>1.010495781772216</c:v>
                </c:pt>
                <c:pt idx="17">
                  <c:v>1.1456740495436277</c:v>
                </c:pt>
                <c:pt idx="18">
                  <c:v>1.2891033204698563</c:v>
                </c:pt>
                <c:pt idx="19">
                  <c:v>1.4407451080032851</c:v>
                </c:pt>
                <c:pt idx="20">
                  <c:v>1.6005607116294238</c:v>
                </c:pt>
                <c:pt idx="21">
                  <c:v>1.7685112192903334</c:v>
                </c:pt>
                <c:pt idx="22">
                  <c:v>1.9445575098213814</c:v>
                </c:pt>
                <c:pt idx="23">
                  <c:v>2.1286602554008214</c:v>
                </c:pt>
                <c:pt idx="24">
                  <c:v>2.3207799240116849</c:v>
                </c:pt>
                <c:pt idx="25">
                  <c:v>2.5208767819154749</c:v>
                </c:pt>
                <c:pt idx="26">
                  <c:v>2.7289071684632513</c:v>
                </c:pt>
                <c:pt idx="27">
                  <c:v>2.9448270722619618</c:v>
                </c:pt>
                <c:pt idx="28">
                  <c:v>3.1685958650668411</c:v>
                </c:pt>
                <c:pt idx="29">
                  <c:v>3.4001727359070255</c:v>
                </c:pt>
                <c:pt idx="30">
                  <c:v>3.6395166948821154</c:v>
                </c:pt>
                <c:pt idx="31">
                  <c:v>3.8865865751309832</c:v>
                </c:pt>
                <c:pt idx="32">
                  <c:v>4.1413410348610018</c:v>
                </c:pt>
                <c:pt idx="33">
                  <c:v>4.4037385594307912</c:v>
                </c:pt>
                <c:pt idx="34">
                  <c:v>4.6737374634805438</c:v>
                </c:pt>
                <c:pt idx="35">
                  <c:v>4.9512958931047795</c:v>
                </c:pt>
                <c:pt idx="36">
                  <c:v>5.2363718280630369</c:v>
                </c:pt>
                <c:pt idx="37">
                  <c:v>5.5289230840245649</c:v>
                </c:pt>
                <c:pt idx="38">
                  <c:v>5.8289073148435193</c:v>
                </c:pt>
                <c:pt idx="39">
                  <c:v>6.1362820148615835</c:v>
                </c:pt>
                <c:pt idx="40">
                  <c:v>6.4510045212352356</c:v>
                </c:pt>
                <c:pt idx="41">
                  <c:v>6.773032016285188</c:v>
                </c:pt>
                <c:pt idx="42">
                  <c:v>7.1023215298657449</c:v>
                </c:pt>
                <c:pt idx="43">
                  <c:v>7.4388299417520543</c:v>
                </c:pt>
                <c:pt idx="44">
                  <c:v>7.7825139840433817</c:v>
                </c:pt>
                <c:pt idx="45">
                  <c:v>8.133330243580712</c:v>
                </c:pt>
                <c:pt idx="46">
                  <c:v>8.4912351643771107</c:v>
                </c:pt>
                <c:pt idx="47">
                  <c:v>8.856185050059393</c:v>
                </c:pt>
                <c:pt idx="48">
                  <c:v>9.2281360663197596</c:v>
                </c:pt>
                <c:pt idx="49">
                  <c:v>9.6070442433761354</c:v>
                </c:pt>
                <c:pt idx="50">
                  <c:v>9.9928654784400557</c:v>
                </c:pt>
                <c:pt idx="51">
                  <c:v>10.385555538190985</c:v>
                </c:pt>
                <c:pt idx="52">
                  <c:v>10.785070061256034</c:v>
                </c:pt>
                <c:pt idx="53">
                  <c:v>11.191364560694105</c:v>
                </c:pt>
                <c:pt idx="54">
                  <c:v>11.604394426483534</c:v>
                </c:pt>
                <c:pt idx="55">
                  <c:v>12.024114928012343</c:v>
                </c:pt>
                <c:pt idx="56">
                  <c:v>12.450481216570271</c:v>
                </c:pt>
                <c:pt idx="57">
                  <c:v>12.883448327841787</c:v>
                </c:pt>
                <c:pt idx="58">
                  <c:v>13.322971184399307</c:v>
                </c:pt>
                <c:pt idx="59">
                  <c:v>13.769004598195895</c:v>
                </c:pt>
                <c:pt idx="60">
                  <c:v>14.221503273056737</c:v>
                </c:pt>
                <c:pt idx="61">
                  <c:v>14.680421807168704</c:v>
                </c:pt>
                <c:pt idx="62">
                  <c:v>15.145714695567374</c:v>
                </c:pt>
                <c:pt idx="63">
                  <c:v>15.617316903013398</c:v>
                </c:pt>
                <c:pt idx="64">
                  <c:v>16.095124431270687</c:v>
                </c:pt>
                <c:pt idx="65">
                  <c:v>16.579013756530479</c:v>
                </c:pt>
                <c:pt idx="66">
                  <c:v>17.068861275233086</c:v>
                </c:pt>
                <c:pt idx="67">
                  <c:v>17.564525493092628</c:v>
                </c:pt>
                <c:pt idx="68">
                  <c:v>18.065829212405738</c:v>
                </c:pt>
                <c:pt idx="69">
                  <c:v>18.572545671116956</c:v>
                </c:pt>
                <c:pt idx="70">
                  <c:v>19.084384688712674</c:v>
                </c:pt>
                <c:pt idx="71">
                  <c:v>19.601024408415785</c:v>
                </c:pt>
                <c:pt idx="72">
                  <c:v>20.122143044437539</c:v>
                </c:pt>
                <c:pt idx="73">
                  <c:v>20.647418910002198</c:v>
                </c:pt>
                <c:pt idx="74">
                  <c:v>21.17653044456943</c:v>
                </c:pt>
                <c:pt idx="75">
                  <c:v>21.709156240248184</c:v>
                </c:pt>
                <c:pt idx="76">
                  <c:v>22.244975067396553</c:v>
                </c:pt>
                <c:pt idx="77">
                  <c:v>22.783665899402816</c:v>
                </c:pt>
                <c:pt idx="78">
                  <c:v>23.324907936643587</c:v>
                </c:pt>
                <c:pt idx="79">
                  <c:v>23.868380629615611</c:v>
                </c:pt>
                <c:pt idx="80">
                  <c:v>24.413763701238416</c:v>
                </c:pt>
                <c:pt idx="81">
                  <c:v>24.960774904383236</c:v>
                </c:pt>
                <c:pt idx="82">
                  <c:v>25.509207741852734</c:v>
                </c:pt>
                <c:pt idx="83">
                  <c:v>26.058893663775766</c:v>
                </c:pt>
                <c:pt idx="84">
                  <c:v>26.609664294624221</c:v>
                </c:pt>
                <c:pt idx="85">
                  <c:v>27.161351439129472</c:v>
                </c:pt>
                <c:pt idx="86">
                  <c:v>27.713787087965549</c:v>
                </c:pt>
                <c:pt idx="87">
                  <c:v>28.266803423199537</c:v>
                </c:pt>
                <c:pt idx="88">
                  <c:v>28.820232823509691</c:v>
                </c:pt>
                <c:pt idx="89">
                  <c:v>29.373919794083825</c:v>
                </c:pt>
                <c:pt idx="90">
                  <c:v>29.927732881649849</c:v>
                </c:pt>
                <c:pt idx="91">
                  <c:v>30.481552722841503</c:v>
                </c:pt>
                <c:pt idx="92">
                  <c:v>31.035260105954482</c:v>
                </c:pt>
                <c:pt idx="93">
                  <c:v>31.588738954775391</c:v>
                </c:pt>
                <c:pt idx="94">
                  <c:v>32.141879308374747</c:v>
                </c:pt>
                <c:pt idx="95">
                  <c:v>32.694574333077455</c:v>
                </c:pt>
                <c:pt idx="96">
                  <c:v>33.246717338059348</c:v>
                </c:pt>
                <c:pt idx="97">
                  <c:v>33.79821370453071</c:v>
                </c:pt>
                <c:pt idx="98">
                  <c:v>34.348992798283383</c:v>
                </c:pt>
                <c:pt idx="99">
                  <c:v>34.898996009247092</c:v>
                </c:pt>
                <c:pt idx="100">
                  <c:v>35.448164807077475</c:v>
                </c:pt>
                <c:pt idx="101">
                  <c:v>35.996440741261011</c:v>
                </c:pt>
                <c:pt idx="102">
                  <c:v>36.543765441193187</c:v>
                </c:pt>
                <c:pt idx="103">
                  <c:v>37.090080616230161</c:v>
                </c:pt>
                <c:pt idx="104">
                  <c:v>37.63532805571402</c:v>
                </c:pt>
                <c:pt idx="105">
                  <c:v>38.179449628971888</c:v>
                </c:pt>
                <c:pt idx="106">
                  <c:v>38.72238728528901</c:v>
                </c:pt>
                <c:pt idx="107">
                  <c:v>39.264083053856019</c:v>
                </c:pt>
                <c:pt idx="108">
                  <c:v>39.804479043690584</c:v>
                </c:pt>
                <c:pt idx="109">
                  <c:v>40.343532352230483</c:v>
                </c:pt>
                <c:pt idx="110">
                  <c:v>40.881229951784142</c:v>
                </c:pt>
                <c:pt idx="111">
                  <c:v>41.41757373720128</c:v>
                </c:pt>
                <c:pt idx="112">
                  <c:v>41.952565595747878</c:v>
                </c:pt>
                <c:pt idx="113">
                  <c:v>42.486207407138416</c:v>
                </c:pt>
                <c:pt idx="114">
                  <c:v>43.018501043567888</c:v>
                </c:pt>
                <c:pt idx="115">
                  <c:v>43.549448369743658</c:v>
                </c:pt>
                <c:pt idx="116">
                  <c:v>44.079051242917082</c:v>
                </c:pt>
                <c:pt idx="117">
                  <c:v>44.607311512914997</c:v>
                </c:pt>
                <c:pt idx="118">
                  <c:v>45.134231022170979</c:v>
                </c:pt>
                <c:pt idx="119">
                  <c:v>45.659811605756445</c:v>
                </c:pt>
                <c:pt idx="120">
                  <c:v>46.184055091411544</c:v>
                </c:pt>
                <c:pt idx="121">
                  <c:v>46.706963299575904</c:v>
                </c:pt>
                <c:pt idx="122">
                  <c:v>47.228538043419157</c:v>
                </c:pt>
                <c:pt idx="123">
                  <c:v>47.748781128871315</c:v>
                </c:pt>
                <c:pt idx="124">
                  <c:v>48.267694354652932</c:v>
                </c:pt>
                <c:pt idx="125">
                  <c:v>48.785279512305145</c:v>
                </c:pt>
                <c:pt idx="126">
                  <c:v>49.30153838621947</c:v>
                </c:pt>
                <c:pt idx="127">
                  <c:v>49.816472753667476</c:v>
                </c:pt>
                <c:pt idx="128">
                  <c:v>50.330084384830265</c:v>
                </c:pt>
                <c:pt idx="129">
                  <c:v>50.842375042827769</c:v>
                </c:pt>
                <c:pt idx="130">
                  <c:v>51.353346483747899</c:v>
                </c:pt>
                <c:pt idx="131">
                  <c:v>51.863000456675501</c:v>
                </c:pt>
                <c:pt idx="132">
                  <c:v>52.371338703721158</c:v>
                </c:pt>
                <c:pt idx="133">
                  <c:v>52.878362960049799</c:v>
                </c:pt>
                <c:pt idx="134">
                  <c:v>53.384074953909192</c:v>
                </c:pt>
                <c:pt idx="135">
                  <c:v>53.888476406658214</c:v>
                </c:pt>
                <c:pt idx="136">
                  <c:v>54.391569032794976</c:v>
                </c:pt>
                <c:pt idx="137">
                  <c:v>54.893354539984799</c:v>
                </c:pt>
                <c:pt idx="138">
                  <c:v>55.393834629088019</c:v>
                </c:pt>
                <c:pt idx="139">
                  <c:v>55.893010994187613</c:v>
                </c:pt>
                <c:pt idx="140">
                  <c:v>56.390885322616697</c:v>
                </c:pt>
                <c:pt idx="141">
                  <c:v>56.887459294985817</c:v>
                </c:pt>
                <c:pt idx="142">
                  <c:v>57.382734585210144</c:v>
                </c:pt>
                <c:pt idx="143">
                  <c:v>57.876712860536443</c:v>
                </c:pt>
                <c:pt idx="144">
                  <c:v>58.369395781569949</c:v>
                </c:pt>
                <c:pt idx="145">
                  <c:v>58.860785002301036</c:v>
                </c:pt>
                <c:pt idx="146">
                  <c:v>59.350882170131769</c:v>
                </c:pt>
                <c:pt idx="147">
                  <c:v>59.839688925902266</c:v>
                </c:pt>
                <c:pt idx="148">
                  <c:v>60.327206903916952</c:v>
                </c:pt>
                <c:pt idx="149">
                  <c:v>60.813437731970623</c:v>
                </c:pt>
                <c:pt idx="150">
                  <c:v>61.298383031374371</c:v>
                </c:pt>
                <c:pt idx="151">
                  <c:v>61.782044416981378</c:v>
                </c:pt>
                <c:pt idx="152">
                  <c:v>62.264423497212526</c:v>
                </c:pt>
                <c:pt idx="153">
                  <c:v>62.745521874081895</c:v>
                </c:pt>
                <c:pt idx="154">
                  <c:v>63.225341143222082</c:v>
                </c:pt>
                <c:pt idx="155">
                  <c:v>63.703882893909409</c:v>
                </c:pt>
                <c:pt idx="156">
                  <c:v>64.181148709088944</c:v>
                </c:pt>
                <c:pt idx="157">
                  <c:v>64.657140165399426</c:v>
                </c:pt>
                <c:pt idx="158">
                  <c:v>65.13185883319801</c:v>
                </c:pt>
                <c:pt idx="159">
                  <c:v>65.605306276584869</c:v>
                </c:pt>
                <c:pt idx="160">
                  <c:v>66.07748405342771</c:v>
                </c:pt>
                <c:pt idx="161">
                  <c:v>66.548393715386041</c:v>
                </c:pt>
                <c:pt idx="162">
                  <c:v>67.018036807935431</c:v>
                </c:pt>
                <c:pt idx="163">
                  <c:v>67.486414870391528</c:v>
                </c:pt>
                <c:pt idx="164">
                  <c:v>67.953529435933987</c:v>
                </c:pt>
                <c:pt idx="165">
                  <c:v>68.419382031630249</c:v>
                </c:pt>
                <c:pt idx="166">
                  <c:v>68.883974178459198</c:v>
                </c:pt>
                <c:pt idx="167">
                  <c:v>69.347307391334652</c:v>
                </c:pt>
                <c:pt idx="168">
                  <c:v>69.809383179128758</c:v>
                </c:pt>
                <c:pt idx="169">
                  <c:v>70.270203044695222</c:v>
                </c:pt>
                <c:pt idx="170">
                  <c:v>70.729768484892418</c:v>
                </c:pt>
                <c:pt idx="171">
                  <c:v>71.188080990606366</c:v>
                </c:pt>
                <c:pt idx="172">
                  <c:v>71.6451420467736</c:v>
                </c:pt>
                <c:pt idx="173">
                  <c:v>72.100953132403873</c:v>
                </c:pt>
                <c:pt idx="174">
                  <c:v>72.555515720602742</c:v>
                </c:pt>
                <c:pt idx="175">
                  <c:v>73.008831278594016</c:v>
                </c:pt>
                <c:pt idx="176">
                  <c:v>73.460901267742116</c:v>
                </c:pt>
                <c:pt idx="177">
                  <c:v>73.911727143574268</c:v>
                </c:pt>
                <c:pt idx="178">
                  <c:v>74.361310355802573</c:v>
                </c:pt>
                <c:pt idx="179">
                  <c:v>74.809652348345992</c:v>
                </c:pt>
                <c:pt idx="180">
                  <c:v>75.256754559352117</c:v>
                </c:pt>
                <c:pt idx="181">
                  <c:v>75.702618421218958</c:v>
                </c:pt>
                <c:pt idx="182">
                  <c:v>76.147245360616452</c:v>
                </c:pt>
                <c:pt idx="183">
                  <c:v>76.590636798507987</c:v>
                </c:pt>
                <c:pt idx="184">
                  <c:v>77.032794150171682</c:v>
                </c:pt>
                <c:pt idx="185">
                  <c:v>77.473718825221653</c:v>
                </c:pt>
                <c:pt idx="186">
                  <c:v>77.913412227629081</c:v>
                </c:pt>
                <c:pt idx="187">
                  <c:v>78.351875755743237</c:v>
                </c:pt>
                <c:pt idx="188">
                  <c:v>78.789110802312294</c:v>
                </c:pt>
                <c:pt idx="189">
                  <c:v>79.225118754504081</c:v>
                </c:pt>
                <c:pt idx="190">
                  <c:v>79.659900993926755</c:v>
                </c:pt>
                <c:pt idx="191">
                  <c:v>80.093458896649238</c:v>
                </c:pt>
                <c:pt idx="192">
                  <c:v>80.525793833221684</c:v>
                </c:pt>
                <c:pt idx="193">
                  <c:v>80.956907168695707</c:v>
                </c:pt>
                <c:pt idx="194">
                  <c:v>81.386800262644599</c:v>
                </c:pt>
                <c:pt idx="195">
                  <c:v>81.815474469183314</c:v>
                </c:pt>
                <c:pt idx="196">
                  <c:v>82.242931136988474</c:v>
                </c:pt>
                <c:pt idx="197">
                  <c:v>82.66917160931817</c:v>
                </c:pt>
                <c:pt idx="198">
                  <c:v>83.09419722403166</c:v>
                </c:pt>
                <c:pt idx="199">
                  <c:v>83.518009313609014</c:v>
                </c:pt>
                <c:pt idx="200">
                  <c:v>83.940609205170588</c:v>
                </c:pt>
                <c:pt idx="201">
                  <c:v>88.10003960790084</c:v>
                </c:pt>
                <c:pt idx="202">
                  <c:v>92.13909652460832</c:v>
                </c:pt>
                <c:pt idx="203">
                  <c:v>96.059050358541484</c:v>
                </c:pt>
                <c:pt idx="204">
                  <c:v>99.861120497665453</c:v>
                </c:pt>
                <c:pt idx="205">
                  <c:v>103.5464770759672</c:v>
                </c:pt>
                <c:pt idx="206">
                  <c:v>107.11624263826782</c:v>
                </c:pt>
                <c:pt idx="207">
                  <c:v>110.5714937140406</c:v>
                </c:pt>
                <c:pt idx="208">
                  <c:v>113.91326230534288</c:v>
                </c:pt>
                <c:pt idx="209">
                  <c:v>117.14253729360945</c:v>
                </c:pt>
                <c:pt idx="210">
                  <c:v>120.26026576972284</c:v>
                </c:pt>
                <c:pt idx="211">
                  <c:v>123.26735429146969</c:v>
                </c:pt>
                <c:pt idx="212">
                  <c:v>126.16467007220953</c:v>
                </c:pt>
                <c:pt idx="213">
                  <c:v>128.95304210432133</c:v>
                </c:pt>
                <c:pt idx="214">
                  <c:v>131.6332622207529</c:v>
                </c:pt>
                <c:pt idx="215">
                  <c:v>134.20608609777705</c:v>
                </c:pt>
                <c:pt idx="216">
                  <c:v>136.67223420185522</c:v>
                </c:pt>
                <c:pt idx="217">
                  <c:v>139.03239268332396</c:v>
                </c:pt>
                <c:pt idx="218">
                  <c:v>141.28721421945218</c:v>
                </c:pt>
                <c:pt idx="219">
                  <c:v>143.43731880926651</c:v>
                </c:pt>
                <c:pt idx="220">
                  <c:v>145.48329452241197</c:v>
                </c:pt>
                <c:pt idx="221">
                  <c:v>147.4256982042053</c:v>
                </c:pt>
                <c:pt idx="222">
                  <c:v>149.26505613895472</c:v>
                </c:pt>
                <c:pt idx="223">
                  <c:v>151.00186467356687</c:v>
                </c:pt>
                <c:pt idx="224">
                  <c:v>152.63659080345235</c:v>
                </c:pt>
                <c:pt idx="225">
                  <c:v>154.16967272278825</c:v>
                </c:pt>
                <c:pt idx="226">
                  <c:v>155.60152034132884</c:v>
                </c:pt>
                <c:pt idx="227">
                  <c:v>156.9325157702136</c:v>
                </c:pt>
                <c:pt idx="228">
                  <c:v>158.16301377967667</c:v>
                </c:pt>
                <c:pt idx="229">
                  <c:v>159.29334223232712</c:v>
                </c:pt>
                <c:pt idx="230">
                  <c:v>160.32380249694458</c:v>
                </c:pt>
                <c:pt idx="231">
                  <c:v>161.25466984986136</c:v>
                </c:pt>
                <c:pt idx="232">
                  <c:v>162.08619387458521</c:v>
                </c:pt>
                <c:pt idx="233">
                  <c:v>162.8185988764416</c:v>
                </c:pt>
                <c:pt idx="234">
                  <c:v>163.45208433963256</c:v>
                </c:pt>
                <c:pt idx="235">
                  <c:v>163.986825472704</c:v>
                </c:pt>
                <c:pt idx="236">
                  <c:v>164.42297392092351</c:v>
                </c:pt>
                <c:pt idx="237">
                  <c:v>164.76065877942563</c:v>
                </c:pt>
                <c:pt idx="238">
                  <c:v>164.99998812813877</c:v>
                </c:pt>
                <c:pt idx="239">
                  <c:v>165.14105142193264</c:v>
                </c:pt>
                <c:pt idx="240">
                  <c:v>165.18392314444216</c:v>
                </c:pt>
                <c:pt idx="241">
                  <c:v>165.12866801184336</c:v>
                </c:pt>
                <c:pt idx="242">
                  <c:v>164.9753475341864</c:v>
                </c:pt>
                <c:pt idx="243">
                  <c:v>164.72402706995669</c:v>
                </c:pt>
                <c:pt idx="244">
                  <c:v>164.37478220468753</c:v>
                </c:pt>
                <c:pt idx="245">
                  <c:v>163.92770366236198</c:v>
                </c:pt>
                <c:pt idx="246">
                  <c:v>163.38290063297231</c:v>
                </c:pt>
                <c:pt idx="247">
                  <c:v>162.74050283522681</c:v>
                </c:pt>
                <c:pt idx="248">
                  <c:v>162.00066172111823</c:v>
                </c:pt>
                <c:pt idx="249">
                  <c:v>161.16355114260585</c:v>
                </c:pt>
                <c:pt idx="250">
                  <c:v>160.22936768916352</c:v>
                </c:pt>
                <c:pt idx="251">
                  <c:v>159.19833082159258</c:v>
                </c:pt>
                <c:pt idx="252">
                  <c:v>158.07068287533076</c:v>
                </c:pt>
                <c:pt idx="253">
                  <c:v>156.84668897603291</c:v>
                </c:pt>
                <c:pt idx="254">
                  <c:v>155.52663689280709</c:v>
                </c:pt>
                <c:pt idx="255">
                  <c:v>154.1108368445465</c:v>
                </c:pt>
                <c:pt idx="256">
                  <c:v>152.59962126904048</c:v>
                </c:pt>
                <c:pt idx="257">
                  <c:v>150.9933445611577</c:v>
                </c:pt>
                <c:pt idx="258">
                  <c:v>149.29238278435668</c:v>
                </c:pt>
                <c:pt idx="259">
                  <c:v>147.49713335853306</c:v>
                </c:pt>
                <c:pt idx="260">
                  <c:v>145.60801472643632</c:v>
                </c:pt>
                <c:pt idx="261">
                  <c:v>143.62546600039684</c:v>
                </c:pt>
                <c:pt idx="262">
                  <c:v>141.54994659079031</c:v>
                </c:pt>
                <c:pt idx="263">
                  <c:v>139.38193581746179</c:v>
                </c:pt>
                <c:pt idx="264">
                  <c:v>137.12193250519931</c:v>
                </c:pt>
                <c:pt idx="265">
                  <c:v>134.77045456425907</c:v>
                </c:pt>
                <c:pt idx="266">
                  <c:v>132.32803855688812</c:v>
                </c:pt>
                <c:pt idx="267">
                  <c:v>129.79523925075134</c:v>
                </c:pt>
                <c:pt idx="268">
                  <c:v>127.17262916014595</c:v>
                </c:pt>
                <c:pt idx="269">
                  <c:v>124.46079807586914</c:v>
                </c:pt>
                <c:pt idx="270">
                  <c:v>121.66035258459372</c:v>
                </c:pt>
                <c:pt idx="271">
                  <c:v>118.77191557859807</c:v>
                </c:pt>
                <c:pt idx="272">
                  <c:v>115.7961257566901</c:v>
                </c:pt>
                <c:pt idx="273">
                  <c:v>112.73363711715946</c:v>
                </c:pt>
                <c:pt idx="274">
                  <c:v>109.58511844358586</c:v>
                </c:pt>
                <c:pt idx="275">
                  <c:v>106.35125278432541</c:v>
                </c:pt>
                <c:pt idx="276">
                  <c:v>103.03273692648965</c:v>
                </c:pt>
                <c:pt idx="277">
                  <c:v>99.630280865223597</c:v>
                </c:pt>
                <c:pt idx="278">
                  <c:v>96.144607269080225</c:v>
                </c:pt>
                <c:pt idx="279">
                  <c:v>92.57645094227756</c:v>
                </c:pt>
                <c:pt idx="280">
                  <c:v>88.92655828461325</c:v>
                </c:pt>
                <c:pt idx="281">
                  <c:v>85.195686749797787</c:v>
                </c:pt>
                <c:pt idx="282">
                  <c:v>81.384604302953321</c:v>
                </c:pt>
                <c:pt idx="283">
                  <c:v>77.494088878008881</c:v>
                </c:pt>
                <c:pt idx="284">
                  <c:v>73.524927835706109</c:v>
                </c:pt>
                <c:pt idx="285">
                  <c:v>69.477917422911105</c:v>
                </c:pt>
                <c:pt idx="286">
                  <c:v>65.353862233908828</c:v>
                </c:pt>
                <c:pt idx="287">
                  <c:v>61.153574674336156</c:v>
                </c:pt>
                <c:pt idx="288">
                  <c:v>56.877874428388367</c:v>
                </c:pt>
                <c:pt idx="289">
                  <c:v>52.527587929911768</c:v>
                </c:pt>
                <c:pt idx="290">
                  <c:v>48.103547837972172</c:v>
                </c:pt>
                <c:pt idx="291">
                  <c:v>43.606592517465444</c:v>
                </c:pt>
                <c:pt idx="292">
                  <c:v>39.037565525312054</c:v>
                </c:pt>
                <c:pt idx="293">
                  <c:v>34.397315102752962</c:v>
                </c:pt>
                <c:pt idx="294">
                  <c:v>29.686693674238942</c:v>
                </c:pt>
                <c:pt idx="295">
                  <c:v>24.906557353380094</c:v>
                </c:pt>
                <c:pt idx="296">
                  <c:v>20.057765456396496</c:v>
                </c:pt>
                <c:pt idx="297">
                  <c:v>15.141180023485148</c:v>
                </c:pt>
                <c:pt idx="298">
                  <c:v>10.157665348492372</c:v>
                </c:pt>
                <c:pt idx="299">
                  <c:v>5.1080875172548428</c:v>
                </c:pt>
                <c:pt idx="300">
                  <c:v>-6.6860450534402815E-3</c:v>
                </c:pt>
                <c:pt idx="301">
                  <c:v>-1.183323143211765E-2</c:v>
                </c:pt>
                <c:pt idx="302">
                  <c:v>-1.6980481703443604E-2</c:v>
                </c:pt>
                <c:pt idx="303">
                  <c:v>-2.2127795866555042E-2</c:v>
                </c:pt>
                <c:pt idx="304">
                  <c:v>-2.7275173920588862E-2</c:v>
                </c:pt>
                <c:pt idx="305">
                  <c:v>-3.2422615864681967E-2</c:v>
                </c:pt>
                <c:pt idx="306">
                  <c:v>-3.7570121697971262E-2</c:v>
                </c:pt>
                <c:pt idx="307">
                  <c:v>-4.271769141959364E-2</c:v>
                </c:pt>
                <c:pt idx="308">
                  <c:v>-4.7865325028686005E-2</c:v>
                </c:pt>
                <c:pt idx="309">
                  <c:v>-5.3013022524385264E-2</c:v>
                </c:pt>
                <c:pt idx="310">
                  <c:v>-5.8160783905828309E-2</c:v>
                </c:pt>
                <c:pt idx="311">
                  <c:v>-6.3308609172152044E-2</c:v>
                </c:pt>
                <c:pt idx="312">
                  <c:v>-6.845649832249337E-2</c:v>
                </c:pt>
                <c:pt idx="313">
                  <c:v>-7.360445135598917E-2</c:v>
                </c:pt>
                <c:pt idx="314">
                  <c:v>-7.8752468271776357E-2</c:v>
                </c:pt>
                <c:pt idx="315">
                  <c:v>-8.3900549068991831E-2</c:v>
                </c:pt>
                <c:pt idx="316">
                  <c:v>-8.9048693746772489E-2</c:v>
                </c:pt>
                <c:pt idx="317">
                  <c:v>-9.4196902304255231E-2</c:v>
                </c:pt>
                <c:pt idx="318">
                  <c:v>-9.9345174740576955E-2</c:v>
                </c:pt>
                <c:pt idx="319">
                  <c:v>-0.10449351105487456</c:v>
                </c:pt>
                <c:pt idx="320">
                  <c:v>-0.10964191124628495</c:v>
                </c:pt>
                <c:pt idx="321">
                  <c:v>-0.11479037531394501</c:v>
                </c:pt>
                <c:pt idx="322">
                  <c:v>-0.11993890325699165</c:v>
                </c:pt>
                <c:pt idx="323">
                  <c:v>-0.12508749507456177</c:v>
                </c:pt>
                <c:pt idx="324">
                  <c:v>-0.13023615076579226</c:v>
                </c:pt>
                <c:pt idx="325">
                  <c:v>-0.13538487032982002</c:v>
                </c:pt>
                <c:pt idx="326">
                  <c:v>-0.14053365376578195</c:v>
                </c:pt>
                <c:pt idx="327">
                  <c:v>-0.14568250107281494</c:v>
                </c:pt>
                <c:pt idx="328">
                  <c:v>-0.15083141225005589</c:v>
                </c:pt>
                <c:pt idx="329">
                  <c:v>-0.15598038729664168</c:v>
                </c:pt>
                <c:pt idx="330">
                  <c:v>-0.16112942621170923</c:v>
                </c:pt>
                <c:pt idx="331">
                  <c:v>-0.16627852899439544</c:v>
                </c:pt>
                <c:pt idx="332">
                  <c:v>-0.1714276956438372</c:v>
                </c:pt>
                <c:pt idx="333">
                  <c:v>-0.17657692615917139</c:v>
                </c:pt>
                <c:pt idx="334">
                  <c:v>-0.18172622053953494</c:v>
                </c:pt>
                <c:pt idx="335">
                  <c:v>-0.18687557878406472</c:v>
                </c:pt>
                <c:pt idx="336">
                  <c:v>-0.19202500089189761</c:v>
                </c:pt>
                <c:pt idx="337">
                  <c:v>-0.19717448686217054</c:v>
                </c:pt>
                <c:pt idx="338">
                  <c:v>-0.20232403669402038</c:v>
                </c:pt>
                <c:pt idx="339">
                  <c:v>-0.20747365038658405</c:v>
                </c:pt>
                <c:pt idx="340">
                  <c:v>-0.21262332793899844</c:v>
                </c:pt>
                <c:pt idx="341">
                  <c:v>-0.21777306935040042</c:v>
                </c:pt>
                <c:pt idx="342">
                  <c:v>-0.22292287461992691</c:v>
                </c:pt>
                <c:pt idx="343">
                  <c:v>-0.2280727437467148</c:v>
                </c:pt>
                <c:pt idx="344">
                  <c:v>-0.23322267672990099</c:v>
                </c:pt>
                <c:pt idx="345">
                  <c:v>-0.23837267356862235</c:v>
                </c:pt>
                <c:pt idx="346">
                  <c:v>-0.24352273426201582</c:v>
                </c:pt>
                <c:pt idx="347">
                  <c:v>-0.24867285880921824</c:v>
                </c:pt>
                <c:pt idx="348">
                  <c:v>-0.25382304720936655</c:v>
                </c:pt>
                <c:pt idx="349">
                  <c:v>-0.25897329946159758</c:v>
                </c:pt>
                <c:pt idx="350">
                  <c:v>-0.26412361556504832</c:v>
                </c:pt>
                <c:pt idx="351">
                  <c:v>-0.26927399551885561</c:v>
                </c:pt>
                <c:pt idx="352">
                  <c:v>-0.27442443932215632</c:v>
                </c:pt>
                <c:pt idx="353">
                  <c:v>-0.27957494697408736</c:v>
                </c:pt>
                <c:pt idx="354">
                  <c:v>-0.28472551847378563</c:v>
                </c:pt>
                <c:pt idx="355">
                  <c:v>-0.28987615382038806</c:v>
                </c:pt>
                <c:pt idx="356">
                  <c:v>-0.2950268530130315</c:v>
                </c:pt>
                <c:pt idx="357">
                  <c:v>-0.3001776160508528</c:v>
                </c:pt>
                <c:pt idx="358">
                  <c:v>-0.30532844293298894</c:v>
                </c:pt>
                <c:pt idx="359">
                  <c:v>-0.31047933365857677</c:v>
                </c:pt>
                <c:pt idx="360">
                  <c:v>-0.31563028822675315</c:v>
                </c:pt>
                <c:pt idx="361">
                  <c:v>-0.32078130663665505</c:v>
                </c:pt>
                <c:pt idx="362">
                  <c:v>-0.32593238888741932</c:v>
                </c:pt>
                <c:pt idx="363">
                  <c:v>-0.33108353497818283</c:v>
                </c:pt>
                <c:pt idx="364">
                  <c:v>-0.33623474490808247</c:v>
                </c:pt>
                <c:pt idx="365">
                  <c:v>-0.34138601867625518</c:v>
                </c:pt>
                <c:pt idx="366">
                  <c:v>-0.34653735628183785</c:v>
                </c:pt>
                <c:pt idx="367">
                  <c:v>-0.35168875772396735</c:v>
                </c:pt>
                <c:pt idx="368">
                  <c:v>-0.35684022300178053</c:v>
                </c:pt>
                <c:pt idx="369">
                  <c:v>-0.36199175211441431</c:v>
                </c:pt>
                <c:pt idx="370">
                  <c:v>-0.3671433450610056</c:v>
                </c:pt>
                <c:pt idx="371">
                  <c:v>-0.37229500184069131</c:v>
                </c:pt>
                <c:pt idx="372">
                  <c:v>-0.3774467224526083</c:v>
                </c:pt>
                <c:pt idx="373">
                  <c:v>-0.38259850689589342</c:v>
                </c:pt>
                <c:pt idx="374">
                  <c:v>-0.38775035516968365</c:v>
                </c:pt>
                <c:pt idx="375">
                  <c:v>-0.39290226727311578</c:v>
                </c:pt>
                <c:pt idx="376">
                  <c:v>-0.39805424320532679</c:v>
                </c:pt>
                <c:pt idx="377">
                  <c:v>-0.40320628296545352</c:v>
                </c:pt>
                <c:pt idx="378">
                  <c:v>-0.40835838655263285</c:v>
                </c:pt>
                <c:pt idx="379">
                  <c:v>-0.41351055396600173</c:v>
                </c:pt>
                <c:pt idx="380">
                  <c:v>-0.41866278520469696</c:v>
                </c:pt>
                <c:pt idx="381">
                  <c:v>-0.42381508026785553</c:v>
                </c:pt>
                <c:pt idx="382">
                  <c:v>-0.42896743915461427</c:v>
                </c:pt>
                <c:pt idx="383">
                  <c:v>-0.43411986186411006</c:v>
                </c:pt>
                <c:pt idx="384">
                  <c:v>-0.43927234839547979</c:v>
                </c:pt>
                <c:pt idx="385">
                  <c:v>-0.4444248987478604</c:v>
                </c:pt>
                <c:pt idx="386">
                  <c:v>-0.44957751292038872</c:v>
                </c:pt>
                <c:pt idx="387">
                  <c:v>-0.45473019091220168</c:v>
                </c:pt>
                <c:pt idx="388">
                  <c:v>-0.45988293272243613</c:v>
                </c:pt>
                <c:pt idx="389">
                  <c:v>-0.46503573835022899</c:v>
                </c:pt>
                <c:pt idx="390">
                  <c:v>-0.47018860779471711</c:v>
                </c:pt>
                <c:pt idx="391">
                  <c:v>-0.4753415410550374</c:v>
                </c:pt>
                <c:pt idx="392">
                  <c:v>-0.48049453813032678</c:v>
                </c:pt>
                <c:pt idx="393">
                  <c:v>-0.4856475990197221</c:v>
                </c:pt>
                <c:pt idx="394">
                  <c:v>-0.49080072372236022</c:v>
                </c:pt>
                <c:pt idx="395">
                  <c:v>-0.49595391223737811</c:v>
                </c:pt>
                <c:pt idx="396">
                  <c:v>-0.50110716456391258</c:v>
                </c:pt>
                <c:pt idx="397">
                  <c:v>-0.50626048070110052</c:v>
                </c:pt>
                <c:pt idx="398">
                  <c:v>-0.51141386064807892</c:v>
                </c:pt>
                <c:pt idx="399">
                  <c:v>-0.51656730440398457</c:v>
                </c:pt>
                <c:pt idx="400">
                  <c:v>-0.52172081196795439</c:v>
                </c:pt>
                <c:pt idx="401">
                  <c:v>-0.52687438333912517</c:v>
                </c:pt>
                <c:pt idx="402">
                  <c:v>-0.53202801851663395</c:v>
                </c:pt>
                <c:pt idx="403">
                  <c:v>-0.53718171749961752</c:v>
                </c:pt>
                <c:pt idx="404">
                  <c:v>-0.54233548028721279</c:v>
                </c:pt>
                <c:pt idx="405">
                  <c:v>-0.54748930687855668</c:v>
                </c:pt>
                <c:pt idx="406">
                  <c:v>-0.55264319727278599</c:v>
                </c:pt>
                <c:pt idx="407">
                  <c:v>-0.55779715146903763</c:v>
                </c:pt>
                <c:pt idx="408">
                  <c:v>-0.56295116946644863</c:v>
                </c:pt>
                <c:pt idx="409">
                  <c:v>-0.56810525126415568</c:v>
                </c:pt>
                <c:pt idx="410">
                  <c:v>-0.57325939686129579</c:v>
                </c:pt>
                <c:pt idx="411">
                  <c:v>-0.57841360625700577</c:v>
                </c:pt>
                <c:pt idx="412">
                  <c:v>-0.58356787945042254</c:v>
                </c:pt>
                <c:pt idx="413">
                  <c:v>-0.58872221644068301</c:v>
                </c:pt>
                <c:pt idx="414">
                  <c:v>-0.59387661722692398</c:v>
                </c:pt>
                <c:pt idx="415">
                  <c:v>-0.59903108180828246</c:v>
                </c:pt>
                <c:pt idx="416">
                  <c:v>-0.60418561018389527</c:v>
                </c:pt>
                <c:pt idx="417">
                  <c:v>-0.60934020235289921</c:v>
                </c:pt>
                <c:pt idx="418">
                  <c:v>-0.61449485831443129</c:v>
                </c:pt>
                <c:pt idx="419">
                  <c:v>-0.61964957806762833</c:v>
                </c:pt>
                <c:pt idx="420">
                  <c:v>-0.62480436161162722</c:v>
                </c:pt>
                <c:pt idx="421">
                  <c:v>-0.6299592089455649</c:v>
                </c:pt>
                <c:pt idx="422">
                  <c:v>-0.63511412006857815</c:v>
                </c:pt>
                <c:pt idx="423">
                  <c:v>-0.640269094979804</c:v>
                </c:pt>
                <c:pt idx="424">
                  <c:v>-0.64542413367837925</c:v>
                </c:pt>
                <c:pt idx="425">
                  <c:v>-0.65057923616344071</c:v>
                </c:pt>
                <c:pt idx="426">
                  <c:v>-0.6557344024341254</c:v>
                </c:pt>
                <c:pt idx="427">
                  <c:v>-0.66088963248957011</c:v>
                </c:pt>
                <c:pt idx="428">
                  <c:v>-0.66604492632891177</c:v>
                </c:pt>
                <c:pt idx="429">
                  <c:v>-0.67120028395128717</c:v>
                </c:pt>
                <c:pt idx="430">
                  <c:v>-0.67635570535583334</c:v>
                </c:pt>
                <c:pt idx="431">
                  <c:v>-0.68151119054168707</c:v>
                </c:pt>
                <c:pt idx="432">
                  <c:v>-0.68666673950798529</c:v>
                </c:pt>
                <c:pt idx="433">
                  <c:v>-0.69182235225386479</c:v>
                </c:pt>
                <c:pt idx="434">
                  <c:v>-0.6969780287784626</c:v>
                </c:pt>
                <c:pt idx="435">
                  <c:v>-0.70213376908091552</c:v>
                </c:pt>
                <c:pt idx="436">
                  <c:v>-0.70728957316036034</c:v>
                </c:pt>
                <c:pt idx="437">
                  <c:v>-0.7124454410159341</c:v>
                </c:pt>
                <c:pt idx="438">
                  <c:v>-0.71760137264677359</c:v>
                </c:pt>
                <c:pt idx="439">
                  <c:v>-0.72275736805201574</c:v>
                </c:pt>
                <c:pt idx="440">
                  <c:v>-0.72791342723079744</c:v>
                </c:pt>
                <c:pt idx="441">
                  <c:v>-0.7330695501822555</c:v>
                </c:pt>
                <c:pt idx="442">
                  <c:v>-0.73822573690552684</c:v>
                </c:pt>
                <c:pt idx="443">
                  <c:v>-0.74338198739974837</c:v>
                </c:pt>
                <c:pt idx="444">
                  <c:v>-0.74853830166405688</c:v>
                </c:pt>
                <c:pt idx="445">
                  <c:v>-0.75369467969758941</c:v>
                </c:pt>
                <c:pt idx="446">
                  <c:v>-0.75885112149948275</c:v>
                </c:pt>
                <c:pt idx="447">
                  <c:v>-0.76400762706887371</c:v>
                </c:pt>
                <c:pt idx="448">
                  <c:v>-0.7691641964048993</c:v>
                </c:pt>
                <c:pt idx="449">
                  <c:v>-0.77432082950669634</c:v>
                </c:pt>
                <c:pt idx="450">
                  <c:v>-0.77947752637340173</c:v>
                </c:pt>
                <c:pt idx="451">
                  <c:v>-0.78463428700415228</c:v>
                </c:pt>
                <c:pt idx="452">
                  <c:v>-0.78979111139808489</c:v>
                </c:pt>
                <c:pt idx="453">
                  <c:v>-0.79494799955433648</c:v>
                </c:pt>
                <c:pt idx="454">
                  <c:v>-0.80010495147204397</c:v>
                </c:pt>
                <c:pt idx="455">
                  <c:v>-0.80526196715034415</c:v>
                </c:pt>
                <c:pt idx="456">
                  <c:v>-0.81041904658837394</c:v>
                </c:pt>
                <c:pt idx="457">
                  <c:v>-0.81557618978527024</c:v>
                </c:pt>
                <c:pt idx="458">
                  <c:v>-0.82073339674016998</c:v>
                </c:pt>
                <c:pt idx="459">
                  <c:v>-0.82589066745220996</c:v>
                </c:pt>
                <c:pt idx="460">
                  <c:v>-0.83104800192052708</c:v>
                </c:pt>
                <c:pt idx="461">
                  <c:v>-0.83620540014425815</c:v>
                </c:pt>
                <c:pt idx="462">
                  <c:v>-0.84136286212254008</c:v>
                </c:pt>
                <c:pt idx="463">
                  <c:v>-0.84652038785450978</c:v>
                </c:pt>
                <c:pt idx="464">
                  <c:v>-0.85167797733930417</c:v>
                </c:pt>
                <c:pt idx="465">
                  <c:v>-0.85683563057606005</c:v>
                </c:pt>
                <c:pt idx="466">
                  <c:v>-0.86199334756391444</c:v>
                </c:pt>
                <c:pt idx="467">
                  <c:v>-0.86715112830200403</c:v>
                </c:pt>
                <c:pt idx="468">
                  <c:v>-0.87230897278946584</c:v>
                </c:pt>
                <c:pt idx="469">
                  <c:v>-0.87746688102543668</c:v>
                </c:pt>
                <c:pt idx="470">
                  <c:v>-0.88262485300905347</c:v>
                </c:pt>
                <c:pt idx="471">
                  <c:v>-0.88778288873945299</c:v>
                </c:pt>
                <c:pt idx="472">
                  <c:v>-0.89294098821577217</c:v>
                </c:pt>
                <c:pt idx="473">
                  <c:v>-0.89809915143714791</c:v>
                </c:pt>
                <c:pt idx="474">
                  <c:v>-0.90325737840271714</c:v>
                </c:pt>
                <c:pt idx="475">
                  <c:v>-0.90841566911161664</c:v>
                </c:pt>
                <c:pt idx="476">
                  <c:v>-0.91357402356298334</c:v>
                </c:pt>
                <c:pt idx="477">
                  <c:v>-0.91873244175595414</c:v>
                </c:pt>
                <c:pt idx="478">
                  <c:v>-0.92389092368966586</c:v>
                </c:pt>
                <c:pt idx="479">
                  <c:v>-0.92904946936325539</c:v>
                </c:pt>
                <c:pt idx="480">
                  <c:v>-0.93420807877585965</c:v>
                </c:pt>
                <c:pt idx="481">
                  <c:v>-0.93936675192661545</c:v>
                </c:pt>
                <c:pt idx="482">
                  <c:v>-0.94452548881465981</c:v>
                </c:pt>
                <c:pt idx="483">
                  <c:v>-0.94968428943912941</c:v>
                </c:pt>
                <c:pt idx="484">
                  <c:v>-0.95484315379916129</c:v>
                </c:pt>
                <c:pt idx="485">
                  <c:v>-0.96000208189389225</c:v>
                </c:pt>
                <c:pt idx="486">
                  <c:v>-0.96516107372245918</c:v>
                </c:pt>
                <c:pt idx="487">
                  <c:v>-0.97032012928399891</c:v>
                </c:pt>
                <c:pt idx="488">
                  <c:v>-0.97547924857764834</c:v>
                </c:pt>
                <c:pt idx="489">
                  <c:v>-0.98063843160254438</c:v>
                </c:pt>
                <c:pt idx="490">
                  <c:v>-0.98579767835782395</c:v>
                </c:pt>
                <c:pt idx="491">
                  <c:v>-0.99095698884262384</c:v>
                </c:pt>
                <c:pt idx="492">
                  <c:v>-0.99611636305608098</c:v>
                </c:pt>
                <c:pt idx="493">
                  <c:v>-1.0012758009973322</c:v>
                </c:pt>
                <c:pt idx="494">
                  <c:v>-1.0064353026655144</c:v>
                </c:pt>
                <c:pt idx="495">
                  <c:v>-1.0115948680597644</c:v>
                </c:pt>
                <c:pt idx="496">
                  <c:v>-1.0167544971792191</c:v>
                </c:pt>
                <c:pt idx="497">
                  <c:v>-1.0219141900230155</c:v>
                </c:pt>
                <c:pt idx="498">
                  <c:v>-1.0270739465902905</c:v>
                </c:pt>
                <c:pt idx="499">
                  <c:v>-1.0322337668801806</c:v>
                </c:pt>
                <c:pt idx="500">
                  <c:v>-1.0373936508918231</c:v>
                </c:pt>
                <c:pt idx="501">
                  <c:v>-1.0425535986243546</c:v>
                </c:pt>
                <c:pt idx="502">
                  <c:v>-1.0477136100769122</c:v>
                </c:pt>
                <c:pt idx="503">
                  <c:v>-1.0528736852486327</c:v>
                </c:pt>
                <c:pt idx="504">
                  <c:v>-1.0580338241386529</c:v>
                </c:pt>
                <c:pt idx="505">
                  <c:v>-1.0631940267461097</c:v>
                </c:pt>
                <c:pt idx="506">
                  <c:v>-1.06835429307014</c:v>
                </c:pt>
                <c:pt idx="507">
                  <c:v>-1.0735146231098807</c:v>
                </c:pt>
                <c:pt idx="508">
                  <c:v>-1.0786750168644685</c:v>
                </c:pt>
                <c:pt idx="509">
                  <c:v>-1.0838354743330405</c:v>
                </c:pt>
                <c:pt idx="510">
                  <c:v>-1.0889959955147335</c:v>
                </c:pt>
                <c:pt idx="511">
                  <c:v>-1.0941565804086844</c:v>
                </c:pt>
                <c:pt idx="512">
                  <c:v>-1.0993172290140298</c:v>
                </c:pt>
                <c:pt idx="513">
                  <c:v>-1.1044779413299071</c:v>
                </c:pt>
                <c:pt idx="514">
                  <c:v>-1.1096387173554527</c:v>
                </c:pt>
                <c:pt idx="515">
                  <c:v>-1.1147995570898037</c:v>
                </c:pt>
                <c:pt idx="516">
                  <c:v>-1.119960460532097</c:v>
                </c:pt>
                <c:pt idx="517">
                  <c:v>-1.1251214276814694</c:v>
                </c:pt>
                <c:pt idx="518">
                  <c:v>-1.1302824585370577</c:v>
                </c:pt>
                <c:pt idx="519">
                  <c:v>-1.1354435530979987</c:v>
                </c:pt>
                <c:pt idx="520">
                  <c:v>-1.1406047113634297</c:v>
                </c:pt>
                <c:pt idx="521">
                  <c:v>-1.1457659333324872</c:v>
                </c:pt>
                <c:pt idx="522">
                  <c:v>-1.1509272190043083</c:v>
                </c:pt>
                <c:pt idx="523">
                  <c:v>-1.1560885683780295</c:v>
                </c:pt>
                <c:pt idx="524">
                  <c:v>-1.1612499814527881</c:v>
                </c:pt>
                <c:pt idx="525">
                  <c:v>-1.1664114582277207</c:v>
                </c:pt>
                <c:pt idx="526">
                  <c:v>-1.1715729987019643</c:v>
                </c:pt>
                <c:pt idx="527">
                  <c:v>-1.1767346028746557</c:v>
                </c:pt>
                <c:pt idx="528">
                  <c:v>-1.1818962707449319</c:v>
                </c:pt>
                <c:pt idx="529">
                  <c:v>-1.1870580023119297</c:v>
                </c:pt>
                <c:pt idx="530">
                  <c:v>-1.1922197975747859</c:v>
                </c:pt>
                <c:pt idx="531">
                  <c:v>-1.1973816565326374</c:v>
                </c:pt>
                <c:pt idx="532">
                  <c:v>-1.2025435791846211</c:v>
                </c:pt>
                <c:pt idx="533">
                  <c:v>-1.2077055655298738</c:v>
                </c:pt>
                <c:pt idx="534">
                  <c:v>-1.2128676155675326</c:v>
                </c:pt>
                <c:pt idx="535">
                  <c:v>-1.2180297292967344</c:v>
                </c:pt>
                <c:pt idx="536">
                  <c:v>-1.2231919067166157</c:v>
                </c:pt>
                <c:pt idx="537">
                  <c:v>-1.2283541478263136</c:v>
                </c:pt>
                <c:pt idx="538">
                  <c:v>-1.2335164526249649</c:v>
                </c:pt>
                <c:pt idx="539">
                  <c:v>-1.2386788211117066</c:v>
                </c:pt>
                <c:pt idx="540">
                  <c:v>-1.2438412532856755</c:v>
                </c:pt>
                <c:pt idx="541">
                  <c:v>-1.2490037491460084</c:v>
                </c:pt>
                <c:pt idx="542">
                  <c:v>-1.2541663086918422</c:v>
                </c:pt>
                <c:pt idx="543">
                  <c:v>-1.259328931922314</c:v>
                </c:pt>
                <c:pt idx="544">
                  <c:v>-1.2644916188365602</c:v>
                </c:pt>
                <c:pt idx="545">
                  <c:v>-1.2696543694337181</c:v>
                </c:pt>
                <c:pt idx="546">
                  <c:v>-1.2748171837129245</c:v>
                </c:pt>
                <c:pt idx="547">
                  <c:v>-1.2799800616733161</c:v>
                </c:pt>
                <c:pt idx="548">
                  <c:v>-1.2851430033140299</c:v>
                </c:pt>
                <c:pt idx="549">
                  <c:v>-1.2903060086342026</c:v>
                </c:pt>
                <c:pt idx="550">
                  <c:v>-1.2954690776329714</c:v>
                </c:pt>
                <c:pt idx="551">
                  <c:v>-1.300632210309473</c:v>
                </c:pt>
                <c:pt idx="552">
                  <c:v>-1.3057954066628441</c:v>
                </c:pt>
                <c:pt idx="553">
                  <c:v>-1.3109586666922217</c:v>
                </c:pt>
                <c:pt idx="554">
                  <c:v>-1.3161219903967429</c:v>
                </c:pt>
                <c:pt idx="555">
                  <c:v>-1.3212853777755442</c:v>
                </c:pt>
                <c:pt idx="556">
                  <c:v>-1.3264488288277627</c:v>
                </c:pt>
                <c:pt idx="557">
                  <c:v>-1.3316123435525353</c:v>
                </c:pt>
                <c:pt idx="558">
                  <c:v>-1.3367759219489987</c:v>
                </c:pt>
                <c:pt idx="559">
                  <c:v>-1.3419395640162899</c:v>
                </c:pt>
                <c:pt idx="560">
                  <c:v>-1.3471032697535457</c:v>
                </c:pt>
                <c:pt idx="561">
                  <c:v>-1.352267039159903</c:v>
                </c:pt>
                <c:pt idx="562">
                  <c:v>-1.3574308722344988</c:v>
                </c:pt>
                <c:pt idx="563">
                  <c:v>-1.3625947689764697</c:v>
                </c:pt>
                <c:pt idx="564">
                  <c:v>-1.3677587293849527</c:v>
                </c:pt>
                <c:pt idx="565">
                  <c:v>-1.3729227534590847</c:v>
                </c:pt>
                <c:pt idx="566">
                  <c:v>-1.3780868411980025</c:v>
                </c:pt>
                <c:pt idx="567">
                  <c:v>-1.3832509926008432</c:v>
                </c:pt>
                <c:pt idx="568">
                  <c:v>-1.3884152076667433</c:v>
                </c:pt>
                <c:pt idx="569">
                  <c:v>-1.3935794863948399</c:v>
                </c:pt>
                <c:pt idx="570">
                  <c:v>-1.3987438287842697</c:v>
                </c:pt>
                <c:pt idx="571">
                  <c:v>-1.4039082348341698</c:v>
                </c:pt>
                <c:pt idx="572">
                  <c:v>-1.4090727045436771</c:v>
                </c:pt>
                <c:pt idx="573">
                  <c:v>-1.4142372379119283</c:v>
                </c:pt>
                <c:pt idx="574">
                  <c:v>-1.4194018349380604</c:v>
                </c:pt>
                <c:pt idx="575">
                  <c:v>-1.4245664956212101</c:v>
                </c:pt>
                <c:pt idx="576">
                  <c:v>-1.4297312199605143</c:v>
                </c:pt>
                <c:pt idx="577">
                  <c:v>-1.4348960079551101</c:v>
                </c:pt>
                <c:pt idx="578">
                  <c:v>-1.440060859604134</c:v>
                </c:pt>
                <c:pt idx="579">
                  <c:v>-1.4452257749067232</c:v>
                </c:pt>
                <c:pt idx="580">
                  <c:v>-1.4503907538620144</c:v>
                </c:pt>
                <c:pt idx="581">
                  <c:v>-1.4555557964691446</c:v>
                </c:pt>
                <c:pt idx="582">
                  <c:v>-1.4607209027272503</c:v>
                </c:pt>
                <c:pt idx="583">
                  <c:v>-1.4658860726354688</c:v>
                </c:pt>
                <c:pt idx="584">
                  <c:v>-1.4710513061929367</c:v>
                </c:pt>
                <c:pt idx="585">
                  <c:v>-1.4762166033987911</c:v>
                </c:pt>
                <c:pt idx="586">
                  <c:v>-1.4813819642521688</c:v>
                </c:pt>
                <c:pt idx="587">
                  <c:v>-1.4865473887522065</c:v>
                </c:pt>
                <c:pt idx="588">
                  <c:v>-1.4917128768980412</c:v>
                </c:pt>
                <c:pt idx="589">
                  <c:v>-1.4968784286888099</c:v>
                </c:pt>
                <c:pt idx="590">
                  <c:v>-1.5020440441236493</c:v>
                </c:pt>
                <c:pt idx="591">
                  <c:v>-1.5072097232016963</c:v>
                </c:pt>
                <c:pt idx="592">
                  <c:v>-1.5123754659220878</c:v>
                </c:pt>
                <c:pt idx="593">
                  <c:v>-1.5175412722839605</c:v>
                </c:pt>
                <c:pt idx="594">
                  <c:v>-1.5227071422864515</c:v>
                </c:pt>
                <c:pt idx="595">
                  <c:v>-1.5278730759286976</c:v>
                </c:pt>
                <c:pt idx="596">
                  <c:v>-1.5330390732098356</c:v>
                </c:pt>
                <c:pt idx="597">
                  <c:v>-1.5382051341290024</c:v>
                </c:pt>
                <c:pt idx="598">
                  <c:v>-1.543371258685335</c:v>
                </c:pt>
                <c:pt idx="599">
                  <c:v>-1.54853744687797</c:v>
                </c:pt>
                <c:pt idx="600">
                  <c:v>-1.5537036987060444</c:v>
                </c:pt>
                <c:pt idx="601">
                  <c:v>-1.5588700141686951</c:v>
                </c:pt>
                <c:pt idx="602">
                  <c:v>-1.5640363932650589</c:v>
                </c:pt>
                <c:pt idx="603">
                  <c:v>-1.5692028359942729</c:v>
                </c:pt>
                <c:pt idx="604">
                  <c:v>-1.5743693423554737</c:v>
                </c:pt>
                <c:pt idx="605">
                  <c:v>-1.5795359123477983</c:v>
                </c:pt>
                <c:pt idx="606">
                  <c:v>-1.5847025459703836</c:v>
                </c:pt>
                <c:pt idx="607">
                  <c:v>-1.5898692432223664</c:v>
                </c:pt>
                <c:pt idx="608">
                  <c:v>-1.5950360041028835</c:v>
                </c:pt>
                <c:pt idx="609">
                  <c:v>-1.6002028286110719</c:v>
                </c:pt>
                <c:pt idx="610">
                  <c:v>-1.6053697167460683</c:v>
                </c:pt>
                <c:pt idx="611">
                  <c:v>-1.6105366685070097</c:v>
                </c:pt>
                <c:pt idx="612">
                  <c:v>-1.615703683893033</c:v>
                </c:pt>
                <c:pt idx="613">
                  <c:v>-1.620870762903275</c:v>
                </c:pt>
                <c:pt idx="614">
                  <c:v>-1.6260379055368726</c:v>
                </c:pt>
                <c:pt idx="615">
                  <c:v>-1.6312051117929625</c:v>
                </c:pt>
                <c:pt idx="616">
                  <c:v>-1.6363723816706819</c:v>
                </c:pt>
                <c:pt idx="617">
                  <c:v>-1.6415397151691673</c:v>
                </c:pt>
                <c:pt idx="618">
                  <c:v>-1.6467071122875558</c:v>
                </c:pt>
                <c:pt idx="619">
                  <c:v>-1.6518745730249844</c:v>
                </c:pt>
                <c:pt idx="620">
                  <c:v>-1.6570420973805897</c:v>
                </c:pt>
                <c:pt idx="621">
                  <c:v>-1.6622096853535087</c:v>
                </c:pt>
                <c:pt idx="622">
                  <c:v>-1.6673773369428782</c:v>
                </c:pt>
                <c:pt idx="623">
                  <c:v>-1.6725450521478349</c:v>
                </c:pt>
                <c:pt idx="624">
                  <c:v>-1.677712830967516</c:v>
                </c:pt>
                <c:pt idx="625">
                  <c:v>-1.6828806734010582</c:v>
                </c:pt>
                <c:pt idx="626">
                  <c:v>-1.6880485794475983</c:v>
                </c:pt>
                <c:pt idx="627">
                  <c:v>-1.6932165491062734</c:v>
                </c:pt>
                <c:pt idx="628">
                  <c:v>-1.6983845823762203</c:v>
                </c:pt>
                <c:pt idx="629">
                  <c:v>-1.7035526792565756</c:v>
                </c:pt>
                <c:pt idx="630">
                  <c:v>-1.7087208397464766</c:v>
                </c:pt>
                <c:pt idx="631">
                  <c:v>-1.7138890638450599</c:v>
                </c:pt>
                <c:pt idx="632">
                  <c:v>-1.7190573515514622</c:v>
                </c:pt>
                <c:pt idx="633">
                  <c:v>-1.7242257028648207</c:v>
                </c:pt>
                <c:pt idx="634">
                  <c:v>-1.7293941177842722</c:v>
                </c:pt>
                <c:pt idx="635">
                  <c:v>-1.7345625963089535</c:v>
                </c:pt>
                <c:pt idx="636">
                  <c:v>-1.7397311384380014</c:v>
                </c:pt>
                <c:pt idx="637">
                  <c:v>-1.7448997441705529</c:v>
                </c:pt>
                <c:pt idx="638">
                  <c:v>-1.7500684135057447</c:v>
                </c:pt>
                <c:pt idx="639">
                  <c:v>-1.7552371464427139</c:v>
                </c:pt>
                <c:pt idx="640">
                  <c:v>-1.7604059429805972</c:v>
                </c:pt>
                <c:pt idx="641">
                  <c:v>-1.7655748031185314</c:v>
                </c:pt>
                <c:pt idx="642">
                  <c:v>-1.7707437268556536</c:v>
                </c:pt>
                <c:pt idx="643">
                  <c:v>-1.7759127141911004</c:v>
                </c:pt>
                <c:pt idx="644">
                  <c:v>-1.781081765124009</c:v>
                </c:pt>
                <c:pt idx="645">
                  <c:v>-1.7862508796535159</c:v>
                </c:pt>
                <c:pt idx="646">
                  <c:v>-1.7914200577787582</c:v>
                </c:pt>
                <c:pt idx="647">
                  <c:v>-1.7965892994988728</c:v>
                </c:pt>
                <c:pt idx="648">
                  <c:v>-1.8017586048129963</c:v>
                </c:pt>
                <c:pt idx="649">
                  <c:v>-1.8069279737202659</c:v>
                </c:pt>
                <c:pt idx="650">
                  <c:v>-1.8120974062198183</c:v>
                </c:pt>
                <c:pt idx="651">
                  <c:v>-1.8172669023107904</c:v>
                </c:pt>
                <c:pt idx="652">
                  <c:v>-1.822436461992319</c:v>
                </c:pt>
                <c:pt idx="653">
                  <c:v>-1.827606085263541</c:v>
                </c:pt>
                <c:pt idx="654">
                  <c:v>-1.8327757721235931</c:v>
                </c:pt>
                <c:pt idx="655">
                  <c:v>-1.8379455225716126</c:v>
                </c:pt>
                <c:pt idx="656">
                  <c:v>-1.8431153366067361</c:v>
                </c:pt>
                <c:pt idx="657">
                  <c:v>-1.8482852142281003</c:v>
                </c:pt>
                <c:pt idx="658">
                  <c:v>-1.8534551554348424</c:v>
                </c:pt>
                <c:pt idx="659">
                  <c:v>-1.858625160226099</c:v>
                </c:pt>
                <c:pt idx="660">
                  <c:v>-1.8637952286010071</c:v>
                </c:pt>
                <c:pt idx="661">
                  <c:v>-1.8689653605587035</c:v>
                </c:pt>
                <c:pt idx="662">
                  <c:v>-1.8741355560983253</c:v>
                </c:pt>
                <c:pt idx="663">
                  <c:v>-1.879305815219009</c:v>
                </c:pt>
                <c:pt idx="664">
                  <c:v>-1.8844761379198918</c:v>
                </c:pt>
                <c:pt idx="665">
                  <c:v>-1.8896465242001104</c:v>
                </c:pt>
                <c:pt idx="666">
                  <c:v>-1.8948169740588017</c:v>
                </c:pt>
                <c:pt idx="667">
                  <c:v>-1.8999874874951024</c:v>
                </c:pt>
                <c:pt idx="668">
                  <c:v>-1.9051580645081496</c:v>
                </c:pt>
                <c:pt idx="669">
                  <c:v>-1.9103287050970801</c:v>
                </c:pt>
                <c:pt idx="670">
                  <c:v>-1.9154994092610307</c:v>
                </c:pt>
                <c:pt idx="671">
                  <c:v>-1.9206701769991383</c:v>
                </c:pt>
                <c:pt idx="672">
                  <c:v>-1.9258410083105397</c:v>
                </c:pt>
                <c:pt idx="673">
                  <c:v>-1.931011903194372</c:v>
                </c:pt>
                <c:pt idx="674">
                  <c:v>-1.9361828616497718</c:v>
                </c:pt>
                <c:pt idx="675">
                  <c:v>-1.9413538836758761</c:v>
                </c:pt>
                <c:pt idx="676">
                  <c:v>-1.9465249692718218</c:v>
                </c:pt>
                <c:pt idx="677">
                  <c:v>-1.9516961184367456</c:v>
                </c:pt>
                <c:pt idx="678">
                  <c:v>-1.9568673311697846</c:v>
                </c:pt>
                <c:pt idx="679">
                  <c:v>-1.9620386074700755</c:v>
                </c:pt>
                <c:pt idx="680">
                  <c:v>-1.9672099473367552</c:v>
                </c:pt>
                <c:pt idx="681">
                  <c:v>-1.9723813507689607</c:v>
                </c:pt>
                <c:pt idx="682">
                  <c:v>-1.9775528177658286</c:v>
                </c:pt>
                <c:pt idx="683">
                  <c:v>-1.9827243483264958</c:v>
                </c:pt>
                <c:pt idx="684">
                  <c:v>-1.9878959424500995</c:v>
                </c:pt>
                <c:pt idx="685">
                  <c:v>-1.9930676001357761</c:v>
                </c:pt>
                <c:pt idx="686">
                  <c:v>-1.9982393213826628</c:v>
                </c:pt>
                <c:pt idx="687">
                  <c:v>-2.0034111061898963</c:v>
                </c:pt>
                <c:pt idx="688">
                  <c:v>-2.0085829545566134</c:v>
                </c:pt>
                <c:pt idx="689">
                  <c:v>-2.0137548664819516</c:v>
                </c:pt>
                <c:pt idx="690">
                  <c:v>-2.018926841965047</c:v>
                </c:pt>
                <c:pt idx="691">
                  <c:v>-2.0240988810050369</c:v>
                </c:pt>
                <c:pt idx="692">
                  <c:v>-2.0292709836010578</c:v>
                </c:pt>
                <c:pt idx="693">
                  <c:v>-2.034443149752247</c:v>
                </c:pt>
                <c:pt idx="694">
                  <c:v>-2.0396153794577412</c:v>
                </c:pt>
                <c:pt idx="695">
                  <c:v>-2.0447876727166769</c:v>
                </c:pt>
                <c:pt idx="696">
                  <c:v>-2.0499600295281915</c:v>
                </c:pt>
                <c:pt idx="697">
                  <c:v>-2.0551324498914214</c:v>
                </c:pt>
                <c:pt idx="698">
                  <c:v>-2.0603049338055039</c:v>
                </c:pt>
                <c:pt idx="699">
                  <c:v>-2.0654774812695758</c:v>
                </c:pt>
                <c:pt idx="700">
                  <c:v>-2.0706500922827735</c:v>
                </c:pt>
                <c:pt idx="701">
                  <c:v>-2.0758227668442344</c:v>
                </c:pt>
                <c:pt idx="702">
                  <c:v>-2.080995504953095</c:v>
                </c:pt>
                <c:pt idx="703">
                  <c:v>-2.0861683066084926</c:v>
                </c:pt>
                <c:pt idx="704">
                  <c:v>-2.0913411718095638</c:v>
                </c:pt>
                <c:pt idx="705">
                  <c:v>-2.0965141005554453</c:v>
                </c:pt>
                <c:pt idx="706">
                  <c:v>-2.1016870928452742</c:v>
                </c:pt>
                <c:pt idx="707">
                  <c:v>-2.1068601486781873</c:v>
                </c:pt>
                <c:pt idx="708">
                  <c:v>-2.1120332680533211</c:v>
                </c:pt>
                <c:pt idx="709">
                  <c:v>-2.117206450969813</c:v>
                </c:pt>
                <c:pt idx="710">
                  <c:v>-2.1223796974267999</c:v>
                </c:pt>
                <c:pt idx="711">
                  <c:v>-2.1275530074234181</c:v>
                </c:pt>
                <c:pt idx="712">
                  <c:v>-2.1327263809588048</c:v>
                </c:pt>
                <c:pt idx="713">
                  <c:v>-2.1378998180320972</c:v>
                </c:pt>
                <c:pt idx="714">
                  <c:v>-2.1430733186424318</c:v>
                </c:pt>
                <c:pt idx="715">
                  <c:v>-2.1482468827889454</c:v>
                </c:pt>
                <c:pt idx="716">
                  <c:v>-2.1534205104707751</c:v>
                </c:pt>
                <c:pt idx="717">
                  <c:v>-2.1585942016870576</c:v>
                </c:pt>
                <c:pt idx="718">
                  <c:v>-2.1637679564369301</c:v>
                </c:pt>
                <c:pt idx="719">
                  <c:v>-2.1689417747195288</c:v>
                </c:pt>
                <c:pt idx="720">
                  <c:v>-2.1741156565339912</c:v>
                </c:pt>
                <c:pt idx="721">
                  <c:v>-2.1792896018794536</c:v>
                </c:pt>
                <c:pt idx="722">
                  <c:v>-2.1844636107550537</c:v>
                </c:pt>
                <c:pt idx="723">
                  <c:v>-2.1896376831599276</c:v>
                </c:pt>
                <c:pt idx="724">
                  <c:v>-2.1948118190932124</c:v>
                </c:pt>
                <c:pt idx="725">
                  <c:v>-2.199986018554045</c:v>
                </c:pt>
                <c:pt idx="726">
                  <c:v>-2.2051602815415623</c:v>
                </c:pt>
                <c:pt idx="727">
                  <c:v>-2.2103346080549011</c:v>
                </c:pt>
                <c:pt idx="728">
                  <c:v>-2.2155089980931981</c:v>
                </c:pt>
                <c:pt idx="729">
                  <c:v>-2.2206834516555904</c:v>
                </c:pt>
                <c:pt idx="730">
                  <c:v>-2.2258579687412148</c:v>
                </c:pt>
                <c:pt idx="731">
                  <c:v>-2.2310325493492082</c:v>
                </c:pt>
                <c:pt idx="732">
                  <c:v>-2.2362071934787076</c:v>
                </c:pt>
                <c:pt idx="733">
                  <c:v>-2.2413819011288494</c:v>
                </c:pt>
                <c:pt idx="734">
                  <c:v>-2.2465566722987709</c:v>
                </c:pt>
                <c:pt idx="735">
                  <c:v>-2.2517315069876092</c:v>
                </c:pt>
                <c:pt idx="736">
                  <c:v>-2.2569064051945005</c:v>
                </c:pt>
                <c:pt idx="737">
                  <c:v>-2.262081366918582</c:v>
                </c:pt>
                <c:pt idx="738">
                  <c:v>-2.2672563921589908</c:v>
                </c:pt>
                <c:pt idx="739">
                  <c:v>-2.2724314809148631</c:v>
                </c:pt>
                <c:pt idx="740">
                  <c:v>-2.2776066331853366</c:v>
                </c:pt>
                <c:pt idx="741">
                  <c:v>-2.2827818489695475</c:v>
                </c:pt>
                <c:pt idx="742">
                  <c:v>-2.2879571282666329</c:v>
                </c:pt>
                <c:pt idx="743">
                  <c:v>-2.2931324710757299</c:v>
                </c:pt>
                <c:pt idx="744">
                  <c:v>-2.2983078773959749</c:v>
                </c:pt>
                <c:pt idx="745">
                  <c:v>-2.3034833472265048</c:v>
                </c:pt>
                <c:pt idx="746">
                  <c:v>-2.308658880566457</c:v>
                </c:pt>
                <c:pt idx="747">
                  <c:v>-2.3138344774149679</c:v>
                </c:pt>
                <c:pt idx="748">
                  <c:v>-2.3190101377711745</c:v>
                </c:pt>
                <c:pt idx="749">
                  <c:v>-2.3241858616342137</c:v>
                </c:pt>
                <c:pt idx="750">
                  <c:v>-2.3293616490032223</c:v>
                </c:pt>
                <c:pt idx="751">
                  <c:v>-2.3345374998773374</c:v>
                </c:pt>
                <c:pt idx="752">
                  <c:v>-2.3397134142556957</c:v>
                </c:pt>
                <c:pt idx="753">
                  <c:v>-2.3448893921374339</c:v>
                </c:pt>
                <c:pt idx="754">
                  <c:v>-2.3500654335216891</c:v>
                </c:pt>
                <c:pt idx="755">
                  <c:v>-2.355241538407598</c:v>
                </c:pt>
                <c:pt idx="756">
                  <c:v>-2.3604177067942973</c:v>
                </c:pt>
                <c:pt idx="757">
                  <c:v>-2.3655939386809242</c:v>
                </c:pt>
                <c:pt idx="758">
                  <c:v>-2.3707702340666157</c:v>
                </c:pt>
                <c:pt idx="759">
                  <c:v>-2.3759465929505081</c:v>
                </c:pt>
                <c:pt idx="760">
                  <c:v>-2.3811230153317391</c:v>
                </c:pt>
                <c:pt idx="761">
                  <c:v>-2.3862995012094448</c:v>
                </c:pt>
                <c:pt idx="762">
                  <c:v>-2.3914760505827624</c:v>
                </c:pt>
                <c:pt idx="763">
                  <c:v>-2.3966526634508285</c:v>
                </c:pt>
                <c:pt idx="764">
                  <c:v>-2.4018293398127804</c:v>
                </c:pt>
                <c:pt idx="765">
                  <c:v>-2.4070060796677546</c:v>
                </c:pt>
                <c:pt idx="766">
                  <c:v>-2.4121828830148884</c:v>
                </c:pt>
                <c:pt idx="767">
                  <c:v>-2.4173597498533179</c:v>
                </c:pt>
                <c:pt idx="768">
                  <c:v>-2.4225366801821808</c:v>
                </c:pt>
                <c:pt idx="769">
                  <c:v>-2.4277136740006133</c:v>
                </c:pt>
                <c:pt idx="770">
                  <c:v>-2.4328907313077526</c:v>
                </c:pt>
                <c:pt idx="771">
                  <c:v>-2.4380678521027357</c:v>
                </c:pt>
                <c:pt idx="772">
                  <c:v>-2.4432450363846994</c:v>
                </c:pt>
                <c:pt idx="773">
                  <c:v>-2.4484222841527803</c:v>
                </c:pt>
                <c:pt idx="774">
                  <c:v>-2.4535995954061156</c:v>
                </c:pt>
                <c:pt idx="775">
                  <c:v>-2.458776970143842</c:v>
                </c:pt>
                <c:pt idx="776">
                  <c:v>-2.4639544083650962</c:v>
                </c:pt>
                <c:pt idx="777">
                  <c:v>-2.4691319100690152</c:v>
                </c:pt>
                <c:pt idx="778">
                  <c:v>-2.4743094752547359</c:v>
                </c:pt>
                <c:pt idx="779">
                  <c:v>-2.4794871039213953</c:v>
                </c:pt>
                <c:pt idx="780">
                  <c:v>-2.4846647960681301</c:v>
                </c:pt>
                <c:pt idx="781">
                  <c:v>-2.489842551694077</c:v>
                </c:pt>
                <c:pt idx="782">
                  <c:v>-2.4950203707983731</c:v>
                </c:pt>
                <c:pt idx="783">
                  <c:v>-2.5001982533801557</c:v>
                </c:pt>
                <c:pt idx="784">
                  <c:v>-2.5053761994385608</c:v>
                </c:pt>
                <c:pt idx="785">
                  <c:v>-2.5105542089727257</c:v>
                </c:pt>
                <c:pt idx="786">
                  <c:v>-2.5157322819817876</c:v>
                </c:pt>
                <c:pt idx="787">
                  <c:v>-2.5209104184648825</c:v>
                </c:pt>
                <c:pt idx="788">
                  <c:v>-2.5260886184211482</c:v>
                </c:pt>
                <c:pt idx="789">
                  <c:v>-2.5312668818497208</c:v>
                </c:pt>
                <c:pt idx="790">
                  <c:v>-2.5364452087497376</c:v>
                </c:pt>
                <c:pt idx="791">
                  <c:v>-2.5416235991203355</c:v>
                </c:pt>
                <c:pt idx="792">
                  <c:v>-2.546802052960651</c:v>
                </c:pt>
                <c:pt idx="793">
                  <c:v>-2.5519805702698215</c:v>
                </c:pt>
                <c:pt idx="794">
                  <c:v>-2.5571591510469833</c:v>
                </c:pt>
                <c:pt idx="795">
                  <c:v>-2.5623377952912736</c:v>
                </c:pt>
                <c:pt idx="796">
                  <c:v>-2.5675165030018294</c:v>
                </c:pt>
                <c:pt idx="797">
                  <c:v>-2.5726952741777875</c:v>
                </c:pt>
                <c:pt idx="798">
                  <c:v>-2.5778741088182846</c:v>
                </c:pt>
                <c:pt idx="799">
                  <c:v>-2.5830530069224573</c:v>
                </c:pt>
                <c:pt idx="800">
                  <c:v>-2.5882319684894428</c:v>
                </c:pt>
                <c:pt idx="801">
                  <c:v>-2.5934109935183782</c:v>
                </c:pt>
                <c:pt idx="802">
                  <c:v>-2.5985900820083998</c:v>
                </c:pt>
                <c:pt idx="803">
                  <c:v>-2.6037692339586451</c:v>
                </c:pt>
                <c:pt idx="804">
                  <c:v>-2.6089484493682504</c:v>
                </c:pt>
                <c:pt idx="805">
                  <c:v>-2.6141277282363529</c:v>
                </c:pt>
                <c:pt idx="806">
                  <c:v>-2.6193070705620896</c:v>
                </c:pt>
                <c:pt idx="807">
                  <c:v>-2.6244864763445968</c:v>
                </c:pt>
                <c:pt idx="808">
                  <c:v>-2.629665945583012</c:v>
                </c:pt>
                <c:pt idx="809">
                  <c:v>-2.6348454782764716</c:v>
                </c:pt>
                <c:pt idx="810">
                  <c:v>-2.6400250744241127</c:v>
                </c:pt>
                <c:pt idx="811">
                  <c:v>-2.6452047340250724</c:v>
                </c:pt>
                <c:pt idx="812">
                  <c:v>-2.6503844570784869</c:v>
                </c:pt>
                <c:pt idx="813">
                  <c:v>-2.6555642435834939</c:v>
                </c:pt>
                <c:pt idx="814">
                  <c:v>-2.6607440935392295</c:v>
                </c:pt>
                <c:pt idx="815">
                  <c:v>-2.6659240069448309</c:v>
                </c:pt>
                <c:pt idx="816">
                  <c:v>-2.6711039837994348</c:v>
                </c:pt>
                <c:pt idx="817">
                  <c:v>-2.6762840241021784</c:v>
                </c:pt>
                <c:pt idx="818">
                  <c:v>-2.6814641278521982</c:v>
                </c:pt>
                <c:pt idx="819">
                  <c:v>-2.6866442950486316</c:v>
                </c:pt>
                <c:pt idx="820">
                  <c:v>-2.691824525690615</c:v>
                </c:pt>
                <c:pt idx="821">
                  <c:v>-2.6970048197772853</c:v>
                </c:pt>
                <c:pt idx="822">
                  <c:v>-2.7021851773077796</c:v>
                </c:pt>
                <c:pt idx="823">
                  <c:v>-2.7073655982812346</c:v>
                </c:pt>
                <c:pt idx="824">
                  <c:v>-2.7125460826967873</c:v>
                </c:pt>
                <c:pt idx="825">
                  <c:v>-2.7177266305535746</c:v>
                </c:pt>
                <c:pt idx="826">
                  <c:v>-2.722907241850733</c:v>
                </c:pt>
                <c:pt idx="827">
                  <c:v>-2.7280879165873997</c:v>
                </c:pt>
                <c:pt idx="828">
                  <c:v>-2.7332686547627114</c:v>
                </c:pt>
                <c:pt idx="829">
                  <c:v>-2.7384494563758053</c:v>
                </c:pt>
                <c:pt idx="830">
                  <c:v>-2.743630321425818</c:v>
                </c:pt>
                <c:pt idx="831">
                  <c:v>-2.7488112499118862</c:v>
                </c:pt>
                <c:pt idx="832">
                  <c:v>-2.7539922418331471</c:v>
                </c:pt>
                <c:pt idx="833">
                  <c:v>-2.7591732971887373</c:v>
                </c:pt>
                <c:pt idx="834">
                  <c:v>-2.764354415977794</c:v>
                </c:pt>
                <c:pt idx="835">
                  <c:v>-2.7695355981994538</c:v>
                </c:pt>
                <c:pt idx="836">
                  <c:v>-2.7747168438528536</c:v>
                </c:pt>
                <c:pt idx="837">
                  <c:v>-2.7798981529371303</c:v>
                </c:pt>
                <c:pt idx="838">
                  <c:v>-2.7850795254514207</c:v>
                </c:pt>
                <c:pt idx="839">
                  <c:v>-2.7902609613948619</c:v>
                </c:pt>
                <c:pt idx="840">
                  <c:v>-2.7954424607665906</c:v>
                </c:pt>
                <c:pt idx="841">
                  <c:v>-2.8006240235657436</c:v>
                </c:pt>
                <c:pt idx="842">
                  <c:v>-2.8058056497914579</c:v>
                </c:pt>
                <c:pt idx="843">
                  <c:v>-2.8109873394428702</c:v>
                </c:pt>
                <c:pt idx="844">
                  <c:v>-2.8161690925191176</c:v>
                </c:pt>
                <c:pt idx="845">
                  <c:v>-2.8213509090193369</c:v>
                </c:pt>
                <c:pt idx="846">
                  <c:v>-2.8265327889426648</c:v>
                </c:pt>
                <c:pt idx="847">
                  <c:v>-2.8317147322882383</c:v>
                </c:pt>
                <c:pt idx="848">
                  <c:v>-2.8368967390551942</c:v>
                </c:pt>
                <c:pt idx="849">
                  <c:v>-2.8420788092426696</c:v>
                </c:pt>
                <c:pt idx="850">
                  <c:v>-2.8472609428498012</c:v>
                </c:pt>
                <c:pt idx="851">
                  <c:v>-2.8524431398757257</c:v>
                </c:pt>
                <c:pt idx="852">
                  <c:v>-2.8576254003195802</c:v>
                </c:pt>
                <c:pt idx="853">
                  <c:v>-2.8628077241805019</c:v>
                </c:pt>
                <c:pt idx="854">
                  <c:v>-2.8679901114576269</c:v>
                </c:pt>
                <c:pt idx="855">
                  <c:v>-2.8731725621500925</c:v>
                </c:pt>
                <c:pt idx="856">
                  <c:v>-2.8783550762570358</c:v>
                </c:pt>
                <c:pt idx="857">
                  <c:v>-2.8835376537775934</c:v>
                </c:pt>
                <c:pt idx="858">
                  <c:v>-2.8887202947109021</c:v>
                </c:pt>
                <c:pt idx="859">
                  <c:v>-2.8939029990560989</c:v>
                </c:pt>
                <c:pt idx="860">
                  <c:v>-2.8990857668123207</c:v>
                </c:pt>
                <c:pt idx="861">
                  <c:v>-2.904268597978704</c:v>
                </c:pt>
                <c:pt idx="862">
                  <c:v>-2.909451492554386</c:v>
                </c:pt>
                <c:pt idx="863">
                  <c:v>-2.9146344505385033</c:v>
                </c:pt>
                <c:pt idx="864">
                  <c:v>-2.9198174719301933</c:v>
                </c:pt>
                <c:pt idx="865">
                  <c:v>-2.9250005567285924</c:v>
                </c:pt>
                <c:pt idx="866">
                  <c:v>-2.9301837049328379</c:v>
                </c:pt>
                <c:pt idx="867">
                  <c:v>-2.9353669165420659</c:v>
                </c:pt>
                <c:pt idx="868">
                  <c:v>-2.9405501915554142</c:v>
                </c:pt>
                <c:pt idx="869">
                  <c:v>-2.9457335299720193</c:v>
                </c:pt>
                <c:pt idx="870">
                  <c:v>-2.950916931791018</c:v>
                </c:pt>
                <c:pt idx="871">
                  <c:v>-2.9561003970115469</c:v>
                </c:pt>
                <c:pt idx="872">
                  <c:v>-2.9612839256327432</c:v>
                </c:pt>
                <c:pt idx="873">
                  <c:v>-2.9664675176537436</c:v>
                </c:pt>
                <c:pt idx="874">
                  <c:v>-2.9716511730736852</c:v>
                </c:pt>
                <c:pt idx="875">
                  <c:v>-2.9768348918917047</c:v>
                </c:pt>
                <c:pt idx="876">
                  <c:v>-2.9820186741069392</c:v>
                </c:pt>
                <c:pt idx="877">
                  <c:v>-2.9872025197185255</c:v>
                </c:pt>
                <c:pt idx="878">
                  <c:v>-2.9923864287256001</c:v>
                </c:pt>
                <c:pt idx="879">
                  <c:v>-2.9975704011273003</c:v>
                </c:pt>
                <c:pt idx="880">
                  <c:v>-3.0027544369227628</c:v>
                </c:pt>
                <c:pt idx="881">
                  <c:v>-3.0079385361111246</c:v>
                </c:pt>
                <c:pt idx="882">
                  <c:v>-3.0131226986915225</c:v>
                </c:pt>
                <c:pt idx="883">
                  <c:v>-3.0183069246630931</c:v>
                </c:pt>
                <c:pt idx="884">
                  <c:v>-3.0234912140249737</c:v>
                </c:pt>
                <c:pt idx="885">
                  <c:v>-3.0286755667763008</c:v>
                </c:pt>
                <c:pt idx="886">
                  <c:v>-3.0338599829162116</c:v>
                </c:pt>
                <c:pt idx="887">
                  <c:v>-3.0390444624438429</c:v>
                </c:pt>
                <c:pt idx="888">
                  <c:v>-3.0442290053583316</c:v>
                </c:pt>
                <c:pt idx="889">
                  <c:v>-3.0494136116588142</c:v>
                </c:pt>
                <c:pt idx="890">
                  <c:v>-3.0545982813444281</c:v>
                </c:pt>
                <c:pt idx="891">
                  <c:v>-3.0597830144143097</c:v>
                </c:pt>
                <c:pt idx="892">
                  <c:v>-3.0649678108675964</c:v>
                </c:pt>
                <c:pt idx="893">
                  <c:v>-3.0701526707034246</c:v>
                </c:pt>
                <c:pt idx="894">
                  <c:v>-3.0753375939209313</c:v>
                </c:pt>
                <c:pt idx="895">
                  <c:v>-3.0805225805192533</c:v>
                </c:pt>
                <c:pt idx="896">
                  <c:v>-3.0857076304975277</c:v>
                </c:pt>
                <c:pt idx="897">
                  <c:v>-3.0908927438548912</c:v>
                </c:pt>
                <c:pt idx="898">
                  <c:v>-3.0960779205904809</c:v>
                </c:pt>
                <c:pt idx="899">
                  <c:v>-3.1012631607034336</c:v>
                </c:pt>
                <c:pt idx="900">
                  <c:v>-3.1064484641928858</c:v>
                </c:pt>
                <c:pt idx="901">
                  <c:v>-3.1116338310579748</c:v>
                </c:pt>
                <c:pt idx="902">
                  <c:v>-3.1168192612978372</c:v>
                </c:pt>
                <c:pt idx="903">
                  <c:v>-3.1220047549116101</c:v>
                </c:pt>
                <c:pt idx="904">
                  <c:v>-3.1271903118984303</c:v>
                </c:pt>
                <c:pt idx="905">
                  <c:v>-3.1323759322574345</c:v>
                </c:pt>
                <c:pt idx="906">
                  <c:v>-3.1375616159877597</c:v>
                </c:pt>
                <c:pt idx="907">
                  <c:v>-3.1427473630885427</c:v>
                </c:pt>
                <c:pt idx="908">
                  <c:v>-3.1479331735589207</c:v>
                </c:pt>
                <c:pt idx="909">
                  <c:v>-3.1531190473980302</c:v>
                </c:pt>
                <c:pt idx="910">
                  <c:v>-3.1583049846050084</c:v>
                </c:pt>
                <c:pt idx="911">
                  <c:v>-3.1634909851789916</c:v>
                </c:pt>
                <c:pt idx="912">
                  <c:v>-3.1686770491191174</c:v>
                </c:pt>
                <c:pt idx="913">
                  <c:v>-3.1738631764245224</c:v>
                </c:pt>
                <c:pt idx="914">
                  <c:v>-3.1790493670943434</c:v>
                </c:pt>
                <c:pt idx="915">
                  <c:v>-3.184235621127717</c:v>
                </c:pt>
                <c:pt idx="916">
                  <c:v>-3.1894219385237803</c:v>
                </c:pt>
                <c:pt idx="917">
                  <c:v>-3.1946083192816705</c:v>
                </c:pt>
                <c:pt idx="918">
                  <c:v>-3.1997947634005239</c:v>
                </c:pt>
                <c:pt idx="919">
                  <c:v>-3.204981270879478</c:v>
                </c:pt>
                <c:pt idx="920">
                  <c:v>-3.2101678417176691</c:v>
                </c:pt>
                <c:pt idx="921">
                  <c:v>-3.2153544759142343</c:v>
                </c:pt>
                <c:pt idx="922">
                  <c:v>-3.2205411734683107</c:v>
                </c:pt>
                <c:pt idx="923">
                  <c:v>-3.225727934379035</c:v>
                </c:pt>
                <c:pt idx="924">
                  <c:v>-3.230914758645544</c:v>
                </c:pt>
                <c:pt idx="925">
                  <c:v>-3.2361016462669747</c:v>
                </c:pt>
                <c:pt idx="926">
                  <c:v>-3.2412885972424639</c:v>
                </c:pt>
                <c:pt idx="927">
                  <c:v>-3.2464756115711482</c:v>
                </c:pt>
                <c:pt idx="928">
                  <c:v>-3.2516626892521647</c:v>
                </c:pt>
                <c:pt idx="929">
                  <c:v>-3.2568498302846507</c:v>
                </c:pt>
                <c:pt idx="930">
                  <c:v>-3.2620370346677423</c:v>
                </c:pt>
                <c:pt idx="931">
                  <c:v>-3.2672243024005772</c:v>
                </c:pt>
                <c:pt idx="932">
                  <c:v>-3.2724116334822915</c:v>
                </c:pt>
                <c:pt idx="933">
                  <c:v>-3.2775990279120224</c:v>
                </c:pt>
                <c:pt idx="934">
                  <c:v>-3.2827864856889071</c:v>
                </c:pt>
                <c:pt idx="935">
                  <c:v>-3.2879740068120822</c:v>
                </c:pt>
                <c:pt idx="936">
                  <c:v>-3.2931615912806844</c:v>
                </c:pt>
                <c:pt idx="937">
                  <c:v>-3.2983492390938509</c:v>
                </c:pt>
                <c:pt idx="938">
                  <c:v>-3.3035369502507184</c:v>
                </c:pt>
                <c:pt idx="939">
                  <c:v>-3.3087247247504235</c:v>
                </c:pt>
                <c:pt idx="940">
                  <c:v>-3.3139125625921033</c:v>
                </c:pt>
                <c:pt idx="941">
                  <c:v>-3.3191004637748951</c:v>
                </c:pt>
                <c:pt idx="942">
                  <c:v>-3.324288428297935</c:v>
                </c:pt>
                <c:pt idx="943">
                  <c:v>-3.3294764561603607</c:v>
                </c:pt>
                <c:pt idx="944">
                  <c:v>-3.3346645473613084</c:v>
                </c:pt>
                <c:pt idx="945">
                  <c:v>-3.3398527018999151</c:v>
                </c:pt>
                <c:pt idx="946">
                  <c:v>-3.3450409197753181</c:v>
                </c:pt>
                <c:pt idx="947">
                  <c:v>-3.3502292009866541</c:v>
                </c:pt>
                <c:pt idx="948">
                  <c:v>-3.3554175455330597</c:v>
                </c:pt>
                <c:pt idx="949">
                  <c:v>-3.3606059534136721</c:v>
                </c:pt>
                <c:pt idx="950">
                  <c:v>-3.3657944246276279</c:v>
                </c:pt>
                <c:pt idx="951">
                  <c:v>-3.3709829591740643</c:v>
                </c:pt>
                <c:pt idx="952">
                  <c:v>-3.376171557052118</c:v>
                </c:pt>
                <c:pt idx="953">
                  <c:v>-3.3813602182609257</c:v>
                </c:pt>
                <c:pt idx="954">
                  <c:v>-3.3865489427996245</c:v>
                </c:pt>
                <c:pt idx="955">
                  <c:v>-3.3917377306673511</c:v>
                </c:pt>
                <c:pt idx="956">
                  <c:v>-3.3969265818632426</c:v>
                </c:pt>
                <c:pt idx="957">
                  <c:v>-3.4021154963864357</c:v>
                </c:pt>
                <c:pt idx="958">
                  <c:v>-3.4073044742360672</c:v>
                </c:pt>
                <c:pt idx="959">
                  <c:v>-3.4124935154112741</c:v>
                </c:pt>
                <c:pt idx="960">
                  <c:v>-3.4176826199111936</c:v>
                </c:pt>
                <c:pt idx="961">
                  <c:v>-3.4228717877349624</c:v>
                </c:pt>
                <c:pt idx="962">
                  <c:v>-3.4280610188817171</c:v>
                </c:pt>
                <c:pt idx="963">
                  <c:v>-3.4332503133505945</c:v>
                </c:pt>
                <c:pt idx="964">
                  <c:v>-3.4384396711407317</c:v>
                </c:pt>
                <c:pt idx="965">
                  <c:v>-3.4436290922512658</c:v>
                </c:pt>
                <c:pt idx="966">
                  <c:v>-3.4488185766813335</c:v>
                </c:pt>
                <c:pt idx="967">
                  <c:v>-3.4540081244300715</c:v>
                </c:pt>
                <c:pt idx="968">
                  <c:v>-3.459197735496617</c:v>
                </c:pt>
                <c:pt idx="969">
                  <c:v>-3.4643874098801066</c:v>
                </c:pt>
                <c:pt idx="970">
                  <c:v>-3.4695771475796775</c:v>
                </c:pt>
                <c:pt idx="971">
                  <c:v>-3.4747669485944663</c:v>
                </c:pt>
                <c:pt idx="972">
                  <c:v>-3.4799568129236098</c:v>
                </c:pt>
                <c:pt idx="973">
                  <c:v>-3.4851467405662451</c:v>
                </c:pt>
                <c:pt idx="974">
                  <c:v>-3.4903367315215088</c:v>
                </c:pt>
                <c:pt idx="975">
                  <c:v>-3.4955267857885381</c:v>
                </c:pt>
                <c:pt idx="976">
                  <c:v>-3.5007169033664698</c:v>
                </c:pt>
                <c:pt idx="977">
                  <c:v>-3.5059070842544409</c:v>
                </c:pt>
                <c:pt idx="978">
                  <c:v>-3.5110973284515881</c:v>
                </c:pt>
                <c:pt idx="979">
                  <c:v>-3.5162876359570481</c:v>
                </c:pt>
                <c:pt idx="980">
                  <c:v>-3.521478006769958</c:v>
                </c:pt>
                <c:pt idx="981">
                  <c:v>-3.5266684408894551</c:v>
                </c:pt>
                <c:pt idx="982">
                  <c:v>-3.5318589383146755</c:v>
                </c:pt>
                <c:pt idx="983">
                  <c:v>-3.5370494990447563</c:v>
                </c:pt>
                <c:pt idx="984">
                  <c:v>-3.5422401230788347</c:v>
                </c:pt>
                <c:pt idx="985">
                  <c:v>-3.5474308104160475</c:v>
                </c:pt>
                <c:pt idx="986">
                  <c:v>-3.5526215610555316</c:v>
                </c:pt>
                <c:pt idx="987">
                  <c:v>-3.5578123749964234</c:v>
                </c:pt>
                <c:pt idx="988">
                  <c:v>-3.5630032522378605</c:v>
                </c:pt>
                <c:pt idx="989">
                  <c:v>-3.5681941927789791</c:v>
                </c:pt>
                <c:pt idx="990">
                  <c:v>-3.5733851966189167</c:v>
                </c:pt>
                <c:pt idx="991">
                  <c:v>-3.5785762637568097</c:v>
                </c:pt>
                <c:pt idx="992">
                  <c:v>-3.5837673941917951</c:v>
                </c:pt>
                <c:pt idx="993">
                  <c:v>-3.5889585879230101</c:v>
                </c:pt>
                <c:pt idx="994">
                  <c:v>-3.5941498449495914</c:v>
                </c:pt>
                <c:pt idx="995">
                  <c:v>-3.5993411652706757</c:v>
                </c:pt>
                <c:pt idx="996">
                  <c:v>-3.6045325488854001</c:v>
                </c:pt>
                <c:pt idx="997">
                  <c:v>-3.6097239957929013</c:v>
                </c:pt>
                <c:pt idx="998">
                  <c:v>-3.6149155059923159</c:v>
                </c:pt>
                <c:pt idx="999">
                  <c:v>-3.6201070794827812</c:v>
                </c:pt>
                <c:pt idx="1000">
                  <c:v>-3.6252987162634343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3B-6442-AFEC-07E56791BA28}"/>
            </c:ext>
          </c:extLst>
        </c:ser>
        <c:ser>
          <c:idx val="4"/>
          <c:order val="3"/>
          <c:tx>
            <c:strRef>
              <c:f>Trajecto!$B$109</c:f>
              <c:strCache>
                <c:ptCount val="1"/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FF66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3B-6442-AFEC-07E56791BA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Trajecto!$B$140:$B$146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Trajecto!$C$138:$C$144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3B-6442-AFEC-07E56791BA28}"/>
            </c:ext>
          </c:extLst>
        </c:ser>
        <c:ser>
          <c:idx val="5"/>
          <c:order val="4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Calculs!$J$4:$J$1004</c:f>
              <c:numCache>
                <c:formatCode>0.00</c:formatCode>
                <c:ptCount val="1001"/>
                <c:pt idx="0">
                  <c:v>0</c:v>
                </c:pt>
                <c:pt idx="1">
                  <c:v>8.3524827960201642E-5</c:v>
                </c:pt>
                <c:pt idx="2">
                  <c:v>5.8649762222008292E-4</c:v>
                </c:pt>
                <c:pt idx="3">
                  <c:v>1.8675808986983043E-3</c:v>
                </c:pt>
                <c:pt idx="4">
                  <c:v>3.9928650356980538E-3</c:v>
                </c:pt>
                <c:pt idx="5">
                  <c:v>6.9012891718933343E-3</c:v>
                </c:pt>
                <c:pt idx="6">
                  <c:v>1.0570408442541958E-2</c:v>
                </c:pt>
                <c:pt idx="7">
                  <c:v>1.4997096559587402E-2</c:v>
                </c:pt>
                <c:pt idx="8">
                  <c:v>2.0178206078337903E-2</c:v>
                </c:pt>
                <c:pt idx="9">
                  <c:v>2.6110568592058871E-2</c:v>
                </c:pt>
                <c:pt idx="10">
                  <c:v>3.279099492825599E-2</c:v>
                </c:pt>
                <c:pt idx="11">
                  <c:v>4.0216275346606337E-2</c:v>
                </c:pt>
                <c:pt idx="12">
                  <c:v>4.8383179738494715E-2</c:v>
                </c:pt>
                <c:pt idx="13">
                  <c:v>5.7288457828112135E-2</c:v>
                </c:pt>
                <c:pt idx="14">
                  <c:v>6.692883937507306E-2</c:v>
                </c:pt>
                <c:pt idx="15">
                  <c:v>7.7301034378508035E-2</c:v>
                </c:pt>
                <c:pt idx="16">
                  <c:v>8.8401733282587838E-2</c:v>
                </c:pt>
                <c:pt idx="17">
                  <c:v>0.10022760718343551</c:v>
                </c:pt>
                <c:pt idx="18">
                  <c:v>0.112775308037382</c:v>
                </c:pt>
                <c:pt idx="19">
                  <c:v>0.12604146887052148</c:v>
                </c:pt>
                <c:pt idx="20">
                  <c:v>0.14002270398952182</c:v>
                </c:pt>
                <c:pt idx="21">
                  <c:v>0.15471560919364616</c:v>
                </c:pt>
                <c:pt idx="22">
                  <c:v>0.17011676198794062</c:v>
                </c:pt>
                <c:pt idx="23">
                  <c:v>0.18622272179754418</c:v>
                </c:pt>
                <c:pt idx="24">
                  <c:v>0.20303003018307539</c:v>
                </c:pt>
                <c:pt idx="25">
                  <c:v>0.22053521105705204</c:v>
                </c:pt>
                <c:pt idx="26">
                  <c:v>0.23877737840893182</c:v>
                </c:pt>
                <c:pt idx="27">
                  <c:v>0.25779738521624063</c:v>
                </c:pt>
                <c:pt idx="28">
                  <c:v>0.27759516596525524</c:v>
                </c:pt>
                <c:pt idx="29">
                  <c:v>0.29817052085483275</c:v>
                </c:pt>
                <c:pt idx="30">
                  <c:v>0.31952310296841918</c:v>
                </c:pt>
                <c:pt idx="31">
                  <c:v>0.34165242626501902</c:v>
                </c:pt>
                <c:pt idx="32">
                  <c:v>0.36455787282569657</c:v>
                </c:pt>
                <c:pt idx="33">
                  <c:v>0.38823869944937978</c:v>
                </c:pt>
                <c:pt idx="34">
                  <c:v>0.41269404367733931</c:v>
                </c:pt>
                <c:pt idx="35">
                  <c:v>0.43792292931390325</c:v>
                </c:pt>
                <c:pt idx="36">
                  <c:v>0.46392427150120941</c:v>
                </c:pt>
                <c:pt idx="37">
                  <c:v>0.4906968813976913</c:v>
                </c:pt>
                <c:pt idx="38">
                  <c:v>0.51823947050321695</c:v>
                </c:pt>
                <c:pt idx="39">
                  <c:v>0.54655065466810826</c:v>
                </c:pt>
                <c:pt idx="40">
                  <c:v>0.57562895781846135</c:v>
                </c:pt>
                <c:pt idx="41">
                  <c:v>0.60547281542610931</c:v>
                </c:pt>
                <c:pt idx="42">
                  <c:v>0.63608057774809335</c:v>
                </c:pt>
                <c:pt idx="43">
                  <c:v>0.66745051285753176</c:v>
                </c:pt>
                <c:pt idx="44">
                  <c:v>0.69958080948522117</c:v>
                </c:pt>
                <c:pt idx="45">
                  <c:v>0.73246957968909543</c:v>
                </c:pt>
                <c:pt idx="46">
                  <c:v>0.76611486136676077</c:v>
                </c:pt>
                <c:pt idx="47">
                  <c:v>0.80051462062466394</c:v>
                </c:pt>
                <c:pt idx="48">
                  <c:v>0.83566675401600421</c:v>
                </c:pt>
                <c:pt idx="49">
                  <c:v>0.87156909065823485</c:v>
                </c:pt>
                <c:pt idx="50">
                  <c:v>0.90821939423989062</c:v>
                </c:pt>
                <c:pt idx="51">
                  <c:v>0.94561536492550058</c:v>
                </c:pt>
                <c:pt idx="52">
                  <c:v>0.98375464116648548</c:v>
                </c:pt>
                <c:pt idx="53">
                  <c:v>1.0226348014251767</c:v>
                </c:pt>
                <c:pt idx="54">
                  <c:v>1.0622533658184206</c:v>
                </c:pt>
                <c:pt idx="55">
                  <c:v>1.1026077976866273</c:v>
                </c:pt>
                <c:pt idx="56">
                  <c:v>1.1436955050935966</c:v>
                </c:pt>
                <c:pt idx="57">
                  <c:v>1.1855138422619667</c:v>
                </c:pt>
                <c:pt idx="58">
                  <c:v>1.228060110948711</c:v>
                </c:pt>
                <c:pt idx="59">
                  <c:v>1.2713315617647261</c:v>
                </c:pt>
                <c:pt idx="60">
                  <c:v>1.3153253954422028</c:v>
                </c:pt>
                <c:pt idx="61">
                  <c:v>1.3600387640531713</c:v>
                </c:pt>
                <c:pt idx="62">
                  <c:v>1.4054687721823258</c:v>
                </c:pt>
                <c:pt idx="63">
                  <c:v>1.4516105790291467</c:v>
                </c:pt>
                <c:pt idx="64">
                  <c:v>1.4984554882091905</c:v>
                </c:pt>
                <c:pt idx="65">
                  <c:v>1.5459928330418893</c:v>
                </c:pt>
                <c:pt idx="66">
                  <c:v>1.5942118746837153</c:v>
                </c:pt>
                <c:pt idx="67">
                  <c:v>1.6431000485443112</c:v>
                </c:pt>
                <c:pt idx="68">
                  <c:v>1.6926412001406765</c:v>
                </c:pt>
                <c:pt idx="69">
                  <c:v>1.7428141948182807</c:v>
                </c:pt>
                <c:pt idx="70">
                  <c:v>1.7935915206118958</c:v>
                </c:pt>
                <c:pt idx="71">
                  <c:v>1.8449424061006585</c:v>
                </c:pt>
                <c:pt idx="72">
                  <c:v>1.8968359570828017</c:v>
                </c:pt>
                <c:pt idx="73">
                  <c:v>1.9492411614747478</c:v>
                </c:pt>
                <c:pt idx="74">
                  <c:v>2.0021268939446468</c:v>
                </c:pt>
                <c:pt idx="75">
                  <c:v>2.0554619202908366</c:v>
                </c:pt>
                <c:pt idx="76">
                  <c:v>2.1092149015743527</c:v>
                </c:pt>
                <c:pt idx="77">
                  <c:v>2.1633543980134209</c:v>
                </c:pt>
                <c:pt idx="78">
                  <c:v>2.2178488726467904</c:v>
                </c:pt>
                <c:pt idx="79">
                  <c:v>2.2726666947717837</c:v>
                </c:pt>
                <c:pt idx="80">
                  <c:v>2.3277761431620623</c:v>
                </c:pt>
                <c:pt idx="81">
                  <c:v>2.3831492256086912</c:v>
                </c:pt>
                <c:pt idx="82">
                  <c:v>2.4387655150076659</c:v>
                </c:pt>
                <c:pt idx="83">
                  <c:v>2.494608353881512</c:v>
                </c:pt>
                <c:pt idx="84">
                  <c:v>2.550661041238222</c:v>
                </c:pt>
                <c:pt idx="85">
                  <c:v>2.6069068334187615</c:v>
                </c:pt>
                <c:pt idx="86">
                  <c:v>2.6633289448870863</c:v>
                </c:pt>
                <c:pt idx="87">
                  <c:v>2.7199105489630351</c:v>
                </c:pt>
                <c:pt idx="88">
                  <c:v>2.776634778498368</c:v>
                </c:pt>
                <c:pt idx="89">
                  <c:v>2.8334859498320646</c:v>
                </c:pt>
                <c:pt idx="90">
                  <c:v>2.8904507916823059</c:v>
                </c:pt>
                <c:pt idx="91">
                  <c:v>2.9475172277725568</c:v>
                </c:pt>
                <c:pt idx="92">
                  <c:v>3.0046731543113485</c:v>
                </c:pt>
                <c:pt idx="93">
                  <c:v>3.0619067482660571</c:v>
                </c:pt>
                <c:pt idx="94">
                  <c:v>3.1192067768399125</c:v>
                </c:pt>
                <c:pt idx="95">
                  <c:v>3.1765622909122451</c:v>
                </c:pt>
                <c:pt idx="96">
                  <c:v>3.2339623172035163</c:v>
                </c:pt>
                <c:pt idx="97">
                  <c:v>3.2913970994579018</c:v>
                </c:pt>
                <c:pt idx="98">
                  <c:v>3.3488593445038952</c:v>
                </c:pt>
                <c:pt idx="99">
                  <c:v>3.4063429865208139</c:v>
                </c:pt>
                <c:pt idx="100">
                  <c:v>3.4638419463636878</c:v>
                </c:pt>
                <c:pt idx="101">
                  <c:v>3.5213501315166944</c:v>
                </c:pt>
                <c:pt idx="102">
                  <c:v>3.57886143603888</c:v>
                </c:pt>
                <c:pt idx="103">
                  <c:v>3.6363697405020861</c:v>
                </c:pt>
                <c:pt idx="104">
                  <c:v>3.6938689119209958</c:v>
                </c:pt>
                <c:pt idx="105">
                  <c:v>3.7513528036752084</c:v>
                </c:pt>
                <c:pt idx="106">
                  <c:v>3.8088152554232475</c:v>
                </c:pt>
                <c:pt idx="107">
                  <c:v>3.8662500930084001</c:v>
                </c:pt>
                <c:pt idx="108">
                  <c:v>3.9236511283562749</c:v>
                </c:pt>
                <c:pt idx="109">
                  <c:v>3.9810137444101565</c:v>
                </c:pt>
                <c:pt idx="110">
                  <c:v>4.0383364863691735</c:v>
                </c:pt>
                <c:pt idx="111">
                  <c:v>4.0956194834908093</c:v>
                </c:pt>
                <c:pt idx="112">
                  <c:v>4.1528628646448533</c:v>
                </c:pt>
                <c:pt idx="113">
                  <c:v>4.2100667583153033</c:v>
                </c:pt>
                <c:pt idx="114">
                  <c:v>4.2672312926022551</c:v>
                </c:pt>
                <c:pt idx="115">
                  <c:v>4.3243565952237804</c:v>
                </c:pt>
                <c:pt idx="116">
                  <c:v>4.3814427935177989</c:v>
                </c:pt>
                <c:pt idx="117">
                  <c:v>4.4384900144439348</c:v>
                </c:pt>
                <c:pt idx="118">
                  <c:v>4.4954983845853649</c:v>
                </c:pt>
                <c:pt idx="119">
                  <c:v>4.5524680301506573</c:v>
                </c:pt>
                <c:pt idx="120">
                  <c:v>4.6093990769755981</c:v>
                </c:pt>
                <c:pt idx="121">
                  <c:v>4.66629165052501</c:v>
                </c:pt>
                <c:pt idx="122">
                  <c:v>4.7231458758945584</c:v>
                </c:pt>
                <c:pt idx="123">
                  <c:v>4.779961877812549</c:v>
                </c:pt>
                <c:pt idx="124">
                  <c:v>4.8367397806417154</c:v>
                </c:pt>
                <c:pt idx="125">
                  <c:v>4.8934797083809967</c:v>
                </c:pt>
                <c:pt idx="126">
                  <c:v>4.9501817846673042</c:v>
                </c:pt>
                <c:pt idx="127">
                  <c:v>5.006846132777282</c:v>
                </c:pt>
                <c:pt idx="128">
                  <c:v>5.063472875629051</c:v>
                </c:pt>
                <c:pt idx="129">
                  <c:v>5.1200621357839511</c:v>
                </c:pt>
                <c:pt idx="130">
                  <c:v>5.1766140354482681</c:v>
                </c:pt>
                <c:pt idx="131">
                  <c:v>5.2331286964749539</c:v>
                </c:pt>
                <c:pt idx="132">
                  <c:v>5.2896062403653366</c:v>
                </c:pt>
                <c:pt idx="133">
                  <c:v>5.3460467882708214</c:v>
                </c:pt>
                <c:pt idx="134">
                  <c:v>5.4024504609945811</c:v>
                </c:pt>
                <c:pt idx="135">
                  <c:v>5.4588173789932393</c:v>
                </c:pt>
                <c:pt idx="136">
                  <c:v>5.5151476623785429</c:v>
                </c:pt>
                <c:pt idx="137">
                  <c:v>5.571441430919025</c:v>
                </c:pt>
                <c:pt idx="138">
                  <c:v>5.6276988040416622</c:v>
                </c:pt>
                <c:pt idx="139">
                  <c:v>5.6839199008335184</c:v>
                </c:pt>
                <c:pt idx="140">
                  <c:v>5.7401048400433821</c:v>
                </c:pt>
                <c:pt idx="141">
                  <c:v>5.7962537400833947</c:v>
                </c:pt>
                <c:pt idx="142">
                  <c:v>5.8523667190306687</c:v>
                </c:pt>
                <c:pt idx="143">
                  <c:v>5.9084438946288991</c:v>
                </c:pt>
                <c:pt idx="144">
                  <c:v>5.9644853842899659</c:v>
                </c:pt>
                <c:pt idx="145">
                  <c:v>6.0204913050955247</c:v>
                </c:pt>
                <c:pt idx="146">
                  <c:v>6.0764617737985933</c:v>
                </c:pt>
                <c:pt idx="147">
                  <c:v>6.1323969068251278</c:v>
                </c:pt>
                <c:pt idx="148">
                  <c:v>6.1882968202755881</c:v>
                </c:pt>
                <c:pt idx="149">
                  <c:v>6.2441616299264986</c:v>
                </c:pt>
                <c:pt idx="150">
                  <c:v>6.2999914512319979</c:v>
                </c:pt>
                <c:pt idx="151">
                  <c:v>6.3557863993253836</c:v>
                </c:pt>
                <c:pt idx="152">
                  <c:v>6.4115465890206425</c:v>
                </c:pt>
                <c:pt idx="153">
                  <c:v>6.4672721348139799</c:v>
                </c:pt>
                <c:pt idx="154">
                  <c:v>6.522963150885337</c:v>
                </c:pt>
                <c:pt idx="155">
                  <c:v>6.5786197510998976</c:v>
                </c:pt>
                <c:pt idx="156">
                  <c:v>6.634242049009595</c:v>
                </c:pt>
                <c:pt idx="157">
                  <c:v>6.6898301578546002</c:v>
                </c:pt>
                <c:pt idx="158">
                  <c:v>6.7453841905648124</c:v>
                </c:pt>
                <c:pt idx="159">
                  <c:v>6.8009042597613334</c:v>
                </c:pt>
                <c:pt idx="160">
                  <c:v>6.8563904777579392</c:v>
                </c:pt>
                <c:pt idx="161">
                  <c:v>6.911842956562543</c:v>
                </c:pt>
                <c:pt idx="162">
                  <c:v>6.9672618078786481</c:v>
                </c:pt>
                <c:pt idx="163">
                  <c:v>7.0226471431067958</c:v>
                </c:pt>
                <c:pt idx="164">
                  <c:v>7.077999073346005</c:v>
                </c:pt>
                <c:pt idx="165">
                  <c:v>7.1333177093952038</c:v>
                </c:pt>
                <c:pt idx="166">
                  <c:v>7.188603161754652</c:v>
                </c:pt>
                <c:pt idx="167">
                  <c:v>7.2438555406273597</c:v>
                </c:pt>
                <c:pt idx="168">
                  <c:v>7.2990749559204957</c:v>
                </c:pt>
                <c:pt idx="169">
                  <c:v>7.3542615172467904</c:v>
                </c:pt>
                <c:pt idx="170">
                  <c:v>7.4094153339259279</c:v>
                </c:pt>
                <c:pt idx="171">
                  <c:v>7.4645365149859364</c:v>
                </c:pt>
                <c:pt idx="172">
                  <c:v>7.5196251691645655</c:v>
                </c:pt>
                <c:pt idx="173">
                  <c:v>7.5746814049106597</c:v>
                </c:pt>
                <c:pt idx="174">
                  <c:v>7.6297053303855265</c:v>
                </c:pt>
                <c:pt idx="175">
                  <c:v>7.6846970534642907</c:v>
                </c:pt>
                <c:pt idx="176">
                  <c:v>7.739656681737249</c:v>
                </c:pt>
                <c:pt idx="177">
                  <c:v>7.7945843225112128</c:v>
                </c:pt>
                <c:pt idx="178">
                  <c:v>7.8494800828108469</c:v>
                </c:pt>
                <c:pt idx="179">
                  <c:v>7.9043440693799996</c:v>
                </c:pt>
                <c:pt idx="180">
                  <c:v>7.9591763886830256</c:v>
                </c:pt>
                <c:pt idx="181">
                  <c:v>8.0139771469061039</c:v>
                </c:pt>
                <c:pt idx="182">
                  <c:v>8.068746449958546</c:v>
                </c:pt>
                <c:pt idx="183">
                  <c:v>8.1234844034741034</c:v>
                </c:pt>
                <c:pt idx="184">
                  <c:v>8.1781911128122591</c:v>
                </c:pt>
                <c:pt idx="185">
                  <c:v>8.2328666830595196</c:v>
                </c:pt>
                <c:pt idx="186">
                  <c:v>8.2875112190306996</c:v>
                </c:pt>
                <c:pt idx="187">
                  <c:v>8.3421248252701954</c:v>
                </c:pt>
                <c:pt idx="188">
                  <c:v>8.3967076060532584</c:v>
                </c:pt>
                <c:pt idx="189">
                  <c:v>8.4512596653872549</c:v>
                </c:pt>
                <c:pt idx="190">
                  <c:v>8.505781107012929</c:v>
                </c:pt>
                <c:pt idx="191">
                  <c:v>8.5602720344056458</c:v>
                </c:pt>
                <c:pt idx="192">
                  <c:v>8.6147325507766421</c:v>
                </c:pt>
                <c:pt idx="193">
                  <c:v>8.669162759074263</c:v>
                </c:pt>
                <c:pt idx="194">
                  <c:v>8.723562761985189</c:v>
                </c:pt>
                <c:pt idx="195">
                  <c:v>8.777932661935667</c:v>
                </c:pt>
                <c:pt idx="196">
                  <c:v>8.8322725610927257</c:v>
                </c:pt>
                <c:pt idx="197">
                  <c:v>8.8865825613653922</c:v>
                </c:pt>
                <c:pt idx="198">
                  <c:v>8.940862764405896</c:v>
                </c:pt>
                <c:pt idx="199">
                  <c:v>8.9951132716108706</c:v>
                </c:pt>
                <c:pt idx="200">
                  <c:v>9.0493341841225465</c:v>
                </c:pt>
                <c:pt idx="201">
                  <c:v>9.5899234171647869</c:v>
                </c:pt>
                <c:pt idx="202">
                  <c:v>10.127618327409479</c:v>
                </c:pt>
                <c:pt idx="203">
                  <c:v>10.662517729990645</c:v>
                </c:pt>
                <c:pt idx="204">
                  <c:v>11.194718048448015</c:v>
                </c:pt>
                <c:pt idx="205">
                  <c:v>11.724313424195326</c:v>
                </c:pt>
                <c:pt idx="206">
                  <c:v>12.251395820605335</c:v>
                </c:pt>
                <c:pt idx="207">
                  <c:v>12.776055122003505</c:v>
                </c:pt>
                <c:pt idx="208">
                  <c:v>13.298379227834875</c:v>
                </c:pt>
                <c:pt idx="209">
                  <c:v>13.818454142241725</c:v>
                </c:pt>
                <c:pt idx="210">
                  <c:v>14.336364059263044</c:v>
                </c:pt>
                <c:pt idx="211">
                  <c:v>14.852191443839683</c:v>
                </c:pt>
                <c:pt idx="212">
                  <c:v>15.366017108781218</c:v>
                </c:pt>
                <c:pt idx="213">
                  <c:v>15.877920287820933</c:v>
                </c:pt>
                <c:pt idx="214">
                  <c:v>16.387978704853243</c:v>
                </c:pt>
                <c:pt idx="215">
                  <c:v>16.896268639412234</c:v>
                </c:pt>
                <c:pt idx="216">
                  <c:v>17.402864988409178</c:v>
                </c:pt>
                <c:pt idx="217">
                  <c:v>17.907841324099163</c:v>
                </c:pt>
                <c:pt idx="218">
                  <c:v>18.411269948189883</c:v>
                </c:pt>
                <c:pt idx="219">
                  <c:v>18.913221941935422</c:v>
                </c:pt>
                <c:pt idx="220">
                  <c:v>19.413767211970509</c:v>
                </c:pt>
                <c:pt idx="221">
                  <c:v>19.912974531529137</c:v>
                </c:pt>
                <c:pt idx="222">
                  <c:v>20.410911576547253</c:v>
                </c:pt>
                <c:pt idx="223">
                  <c:v>20.907644955959363</c:v>
                </c:pt>
                <c:pt idx="224">
                  <c:v>21.40324023524548</c:v>
                </c:pt>
                <c:pt idx="225">
                  <c:v>21.897761951941344</c:v>
                </c:pt>
                <c:pt idx="226">
                  <c:v>22.39127362135288</c:v>
                </c:pt>
                <c:pt idx="227">
                  <c:v>22.883837730058119</c:v>
                </c:pt>
                <c:pt idx="228">
                  <c:v>23.375515713850458</c:v>
                </c:pt>
                <c:pt idx="229">
                  <c:v>23.866367915446702</c:v>
                </c:pt>
                <c:pt idx="230">
                  <c:v>24.356453515354556</c:v>
                </c:pt>
                <c:pt idx="231">
                  <c:v>24.84583042646819</c:v>
                </c:pt>
                <c:pt idx="232">
                  <c:v>25.334555138788868</c:v>
                </c:pt>
                <c:pt idx="233">
                  <c:v>25.822682494503351</c:v>
                </c:pt>
                <c:pt idx="234">
                  <c:v>26.310265364644128</c:v>
                </c:pt>
                <c:pt idx="235">
                  <c:v>26.79735418584783</c:v>
                </c:pt>
                <c:pt idx="236">
                  <c:v>27.283996299345254</c:v>
                </c:pt>
                <c:pt idx="237">
                  <c:v>27.770235017881646</c:v>
                </c:pt>
                <c:pt idx="238">
                  <c:v>28.25610834355841</c:v>
                </c:pt>
                <c:pt idx="239">
                  <c:v>28.741647304996103</c:v>
                </c:pt>
                <c:pt idx="240">
                  <c:v>29.226874030041252</c:v>
                </c:pt>
                <c:pt idx="241">
                  <c:v>29.711799935101809</c:v>
                </c:pt>
                <c:pt idx="242">
                  <c:v>30.196424637439879</c:v>
                </c:pt>
                <c:pt idx="243">
                  <c:v>30.680736075208188</c:v>
                </c:pt>
                <c:pt idx="244">
                  <c:v>31.164711798701649</c:v>
                </c:pt>
                <c:pt idx="245">
                  <c:v>31.648320907264981</c:v>
                </c:pt>
                <c:pt idx="246">
                  <c:v>32.13152603919395</c:v>
                </c:pt>
                <c:pt idx="247">
                  <c:v>32.614285068440722</c:v>
                </c:pt>
                <c:pt idx="248">
                  <c:v>33.096552417210866</c:v>
                </c:pt>
                <c:pt idx="249">
                  <c:v>33.578280026632314</c:v>
                </c:pt>
                <c:pt idx="250">
                  <c:v>34.059418064473391</c:v>
                </c:pt>
                <c:pt idx="251">
                  <c:v>34.539915442980885</c:v>
                </c:pt>
                <c:pt idx="252">
                  <c:v>35.019720202855851</c:v>
                </c:pt>
                <c:pt idx="253">
                  <c:v>35.498779803249114</c:v>
                </c:pt>
                <c:pt idx="254">
                  <c:v>35.977041345362842</c:v>
                </c:pt>
                <c:pt idx="255">
                  <c:v>36.454451748596298</c:v>
                </c:pt>
                <c:pt idx="256">
                  <c:v>36.930957892278265</c:v>
                </c:pt>
                <c:pt idx="257">
                  <c:v>37.406506732046353</c:v>
                </c:pt>
                <c:pt idx="258">
                  <c:v>37.881045397238339</c:v>
                </c:pt>
                <c:pt idx="259">
                  <c:v>38.354521273822911</c:v>
                </c:pt>
                <c:pt idx="260">
                  <c:v>38.826882076130886</c:v>
                </c:pt>
                <c:pt idx="261">
                  <c:v>39.298075909764833</c:v>
                </c:pt>
                <c:pt idx="262">
                  <c:v>39.768051327441853</c:v>
                </c:pt>
                <c:pt idx="263">
                  <c:v>40.236757379078881</c:v>
                </c:pt>
                <c:pt idx="264">
                  <c:v>40.704143657107913</c:v>
                </c:pt>
                <c:pt idx="265">
                  <c:v>41.170160337773211</c:v>
                </c:pt>
                <c:pt idx="266">
                  <c:v>41.634758218988722</c:v>
                </c:pt>
                <c:pt idx="267">
                  <c:v>42.097888755204117</c:v>
                </c:pt>
                <c:pt idx="268">
                  <c:v>42.559504089630359</c:v>
                </c:pt>
                <c:pt idx="269">
                  <c:v>43.01955708410155</c:v>
                </c:pt>
                <c:pt idx="270">
                  <c:v>43.478001346793185</c:v>
                </c:pt>
                <c:pt idx="271">
                  <c:v>43.934791257973494</c:v>
                </c:pt>
                <c:pt idx="272">
                  <c:v>44.389881993930715</c:v>
                </c:pt>
                <c:pt idx="273">
                  <c:v>44.843229549193111</c:v>
                </c:pt>
                <c:pt idx="274">
                  <c:v>45.294790757138045</c:v>
                </c:pt>
                <c:pt idx="275">
                  <c:v>45.744523309070509</c:v>
                </c:pt>
                <c:pt idx="276">
                  <c:v>46.192385771839028</c:v>
                </c:pt>
                <c:pt idx="277">
                  <c:v>46.638337604047038</c:v>
                </c:pt>
                <c:pt idx="278">
                  <c:v>47.082339170910245</c:v>
                </c:pt>
                <c:pt idx="279">
                  <c:v>47.524351757804453</c:v>
                </c:pt>
                <c:pt idx="280">
                  <c:v>47.964337582543727</c:v>
                </c:pt>
                <c:pt idx="281">
                  <c:v>48.402259806425249</c:v>
                </c:pt>
                <c:pt idx="282">
                  <c:v>48.838082544074368</c:v>
                </c:pt>
                <c:pt idx="283">
                  <c:v>49.271770872121436</c:v>
                </c:pt>
                <c:pt idx="284">
                  <c:v>49.703290836740386</c:v>
                </c:pt>
                <c:pt idx="285">
                  <c:v>50.132609460077994</c:v>
                </c:pt>
                <c:pt idx="286">
                  <c:v>50.559694745601924</c:v>
                </c:pt>
                <c:pt idx="287">
                  <c:v>50.984515682395291</c:v>
                </c:pt>
                <c:pt idx="288">
                  <c:v>51.407042248425029</c:v>
                </c:pt>
                <c:pt idx="289">
                  <c:v>51.827245412811337</c:v>
                </c:pt>
                <c:pt idx="290">
                  <c:v>52.245097137125484</c:v>
                </c:pt>
                <c:pt idx="291">
                  <c:v>52.660570375743177</c:v>
                </c:pt>
                <c:pt idx="292">
                  <c:v>53.073639075281051</c:v>
                </c:pt>
                <c:pt idx="293">
                  <c:v>53.484278173143814</c:v>
                </c:pt>
                <c:pt idx="294">
                  <c:v>53.892463595209932</c:v>
                </c:pt>
                <c:pt idx="295">
                  <c:v>54.298172252683848</c:v>
                </c:pt>
                <c:pt idx="296">
                  <c:v>54.701382038142945</c:v>
                </c:pt>
                <c:pt idx="297">
                  <c:v>55.102071820807737</c:v>
                </c:pt>
                <c:pt idx="298">
                  <c:v>55.500221441063765</c:v>
                </c:pt>
                <c:pt idx="299">
                  <c:v>55.895811704263963</c:v>
                </c:pt>
                <c:pt idx="300">
                  <c:v>56.288824373840264</c:v>
                </c:pt>
                <c:pt idx="301">
                  <c:v>56.288824373840264</c:v>
                </c:pt>
                <c:pt idx="302">
                  <c:v>56.288824373840264</c:v>
                </c:pt>
                <c:pt idx="303">
                  <c:v>56.288824373840264</c:v>
                </c:pt>
                <c:pt idx="304">
                  <c:v>56.288824373840264</c:v>
                </c:pt>
                <c:pt idx="305">
                  <c:v>56.288824373840264</c:v>
                </c:pt>
                <c:pt idx="306">
                  <c:v>56.288824373840264</c:v>
                </c:pt>
                <c:pt idx="307">
                  <c:v>56.288824373840264</c:v>
                </c:pt>
                <c:pt idx="308">
                  <c:v>56.288824373840264</c:v>
                </c:pt>
                <c:pt idx="309">
                  <c:v>56.288824373840264</c:v>
                </c:pt>
                <c:pt idx="310">
                  <c:v>56.288824373840264</c:v>
                </c:pt>
                <c:pt idx="311">
                  <c:v>56.288824373840264</c:v>
                </c:pt>
                <c:pt idx="312">
                  <c:v>56.288824373840264</c:v>
                </c:pt>
                <c:pt idx="313">
                  <c:v>56.288824373840264</c:v>
                </c:pt>
                <c:pt idx="314">
                  <c:v>56.288824373840264</c:v>
                </c:pt>
                <c:pt idx="315">
                  <c:v>56.288824373840264</c:v>
                </c:pt>
                <c:pt idx="316">
                  <c:v>56.288824373840264</c:v>
                </c:pt>
                <c:pt idx="317">
                  <c:v>56.288824373840264</c:v>
                </c:pt>
                <c:pt idx="318">
                  <c:v>56.288824373840264</c:v>
                </c:pt>
                <c:pt idx="319">
                  <c:v>56.288824373840264</c:v>
                </c:pt>
                <c:pt idx="320">
                  <c:v>56.288824373840264</c:v>
                </c:pt>
                <c:pt idx="321">
                  <c:v>56.288824373840264</c:v>
                </c:pt>
                <c:pt idx="322">
                  <c:v>56.288824373840264</c:v>
                </c:pt>
                <c:pt idx="323">
                  <c:v>56.288824373840264</c:v>
                </c:pt>
                <c:pt idx="324">
                  <c:v>56.288824373840264</c:v>
                </c:pt>
                <c:pt idx="325">
                  <c:v>56.288824373840264</c:v>
                </c:pt>
                <c:pt idx="326">
                  <c:v>56.288824373840264</c:v>
                </c:pt>
                <c:pt idx="327">
                  <c:v>56.288824373840264</c:v>
                </c:pt>
                <c:pt idx="328">
                  <c:v>56.288824373840264</c:v>
                </c:pt>
                <c:pt idx="329">
                  <c:v>56.288824373840264</c:v>
                </c:pt>
                <c:pt idx="330">
                  <c:v>56.288824373840264</c:v>
                </c:pt>
                <c:pt idx="331">
                  <c:v>56.288824373840264</c:v>
                </c:pt>
                <c:pt idx="332">
                  <c:v>56.288824373840264</c:v>
                </c:pt>
                <c:pt idx="333">
                  <c:v>56.288824373840264</c:v>
                </c:pt>
                <c:pt idx="334">
                  <c:v>56.288824373840264</c:v>
                </c:pt>
                <c:pt idx="335">
                  <c:v>56.288824373840264</c:v>
                </c:pt>
                <c:pt idx="336">
                  <c:v>56.288824373840264</c:v>
                </c:pt>
                <c:pt idx="337">
                  <c:v>56.288824373840264</c:v>
                </c:pt>
                <c:pt idx="338">
                  <c:v>56.288824373840264</c:v>
                </c:pt>
                <c:pt idx="339">
                  <c:v>56.288824373840264</c:v>
                </c:pt>
                <c:pt idx="340">
                  <c:v>56.288824373840264</c:v>
                </c:pt>
                <c:pt idx="341">
                  <c:v>56.288824373840264</c:v>
                </c:pt>
                <c:pt idx="342">
                  <c:v>56.288824373840264</c:v>
                </c:pt>
                <c:pt idx="343">
                  <c:v>56.288824373840264</c:v>
                </c:pt>
                <c:pt idx="344">
                  <c:v>56.288824373840264</c:v>
                </c:pt>
                <c:pt idx="345">
                  <c:v>56.288824373840264</c:v>
                </c:pt>
                <c:pt idx="346">
                  <c:v>56.288824373840264</c:v>
                </c:pt>
                <c:pt idx="347">
                  <c:v>56.288824373840264</c:v>
                </c:pt>
                <c:pt idx="348">
                  <c:v>56.288824373840264</c:v>
                </c:pt>
                <c:pt idx="349">
                  <c:v>56.288824373840264</c:v>
                </c:pt>
                <c:pt idx="350">
                  <c:v>56.288824373840264</c:v>
                </c:pt>
                <c:pt idx="351">
                  <c:v>56.288824373840264</c:v>
                </c:pt>
                <c:pt idx="352">
                  <c:v>56.288824373840264</c:v>
                </c:pt>
                <c:pt idx="353">
                  <c:v>56.288824373840264</c:v>
                </c:pt>
                <c:pt idx="354">
                  <c:v>56.288824373840264</c:v>
                </c:pt>
                <c:pt idx="355">
                  <c:v>56.288824373840264</c:v>
                </c:pt>
                <c:pt idx="356">
                  <c:v>56.288824373840264</c:v>
                </c:pt>
                <c:pt idx="357">
                  <c:v>56.288824373840264</c:v>
                </c:pt>
                <c:pt idx="358">
                  <c:v>56.288824373840264</c:v>
                </c:pt>
                <c:pt idx="359">
                  <c:v>56.288824373840264</c:v>
                </c:pt>
                <c:pt idx="360">
                  <c:v>56.288824373840264</c:v>
                </c:pt>
                <c:pt idx="361">
                  <c:v>56.288824373840264</c:v>
                </c:pt>
                <c:pt idx="362">
                  <c:v>56.288824373840264</c:v>
                </c:pt>
                <c:pt idx="363">
                  <c:v>56.288824373840264</c:v>
                </c:pt>
                <c:pt idx="364">
                  <c:v>56.288824373840264</c:v>
                </c:pt>
                <c:pt idx="365">
                  <c:v>56.288824373840264</c:v>
                </c:pt>
                <c:pt idx="366">
                  <c:v>56.288824373840264</c:v>
                </c:pt>
                <c:pt idx="367">
                  <c:v>56.288824373840264</c:v>
                </c:pt>
                <c:pt idx="368">
                  <c:v>56.288824373840264</c:v>
                </c:pt>
                <c:pt idx="369">
                  <c:v>56.288824373840264</c:v>
                </c:pt>
                <c:pt idx="370">
                  <c:v>56.288824373840264</c:v>
                </c:pt>
                <c:pt idx="371">
                  <c:v>56.288824373840264</c:v>
                </c:pt>
                <c:pt idx="372">
                  <c:v>56.288824373840264</c:v>
                </c:pt>
                <c:pt idx="373">
                  <c:v>56.288824373840264</c:v>
                </c:pt>
                <c:pt idx="374">
                  <c:v>56.288824373840264</c:v>
                </c:pt>
                <c:pt idx="375">
                  <c:v>56.288824373840264</c:v>
                </c:pt>
                <c:pt idx="376">
                  <c:v>56.288824373840264</c:v>
                </c:pt>
                <c:pt idx="377">
                  <c:v>56.288824373840264</c:v>
                </c:pt>
                <c:pt idx="378">
                  <c:v>56.288824373840264</c:v>
                </c:pt>
                <c:pt idx="379">
                  <c:v>56.288824373840264</c:v>
                </c:pt>
                <c:pt idx="380">
                  <c:v>56.288824373840264</c:v>
                </c:pt>
                <c:pt idx="381">
                  <c:v>56.288824373840264</c:v>
                </c:pt>
                <c:pt idx="382">
                  <c:v>56.288824373840264</c:v>
                </c:pt>
                <c:pt idx="383">
                  <c:v>56.288824373840264</c:v>
                </c:pt>
                <c:pt idx="384">
                  <c:v>56.288824373840264</c:v>
                </c:pt>
                <c:pt idx="385">
                  <c:v>56.288824373840264</c:v>
                </c:pt>
                <c:pt idx="386">
                  <c:v>56.288824373840264</c:v>
                </c:pt>
                <c:pt idx="387">
                  <c:v>56.288824373840264</c:v>
                </c:pt>
                <c:pt idx="388">
                  <c:v>56.288824373840264</c:v>
                </c:pt>
                <c:pt idx="389">
                  <c:v>56.288824373840264</c:v>
                </c:pt>
                <c:pt idx="390">
                  <c:v>56.288824373840264</c:v>
                </c:pt>
                <c:pt idx="391">
                  <c:v>56.288824373840264</c:v>
                </c:pt>
                <c:pt idx="392">
                  <c:v>56.288824373840264</c:v>
                </c:pt>
                <c:pt idx="393">
                  <c:v>56.288824373840264</c:v>
                </c:pt>
                <c:pt idx="394">
                  <c:v>56.288824373840264</c:v>
                </c:pt>
                <c:pt idx="395">
                  <c:v>56.288824373840264</c:v>
                </c:pt>
                <c:pt idx="396">
                  <c:v>56.288824373840264</c:v>
                </c:pt>
                <c:pt idx="397">
                  <c:v>56.288824373840264</c:v>
                </c:pt>
                <c:pt idx="398">
                  <c:v>56.288824373840264</c:v>
                </c:pt>
                <c:pt idx="399">
                  <c:v>56.288824373840264</c:v>
                </c:pt>
                <c:pt idx="400">
                  <c:v>56.288824373840264</c:v>
                </c:pt>
                <c:pt idx="401">
                  <c:v>56.288824373840264</c:v>
                </c:pt>
                <c:pt idx="402">
                  <c:v>56.288824373840264</c:v>
                </c:pt>
                <c:pt idx="403">
                  <c:v>56.288824373840264</c:v>
                </c:pt>
                <c:pt idx="404">
                  <c:v>56.288824373840264</c:v>
                </c:pt>
                <c:pt idx="405">
                  <c:v>56.288824373840264</c:v>
                </c:pt>
                <c:pt idx="406">
                  <c:v>56.288824373840264</c:v>
                </c:pt>
                <c:pt idx="407">
                  <c:v>56.288824373840264</c:v>
                </c:pt>
                <c:pt idx="408">
                  <c:v>56.288824373840264</c:v>
                </c:pt>
                <c:pt idx="409">
                  <c:v>56.288824373840264</c:v>
                </c:pt>
                <c:pt idx="410">
                  <c:v>56.288824373840264</c:v>
                </c:pt>
                <c:pt idx="411">
                  <c:v>56.288824373840264</c:v>
                </c:pt>
                <c:pt idx="412">
                  <c:v>56.288824373840264</c:v>
                </c:pt>
                <c:pt idx="413">
                  <c:v>56.288824373840264</c:v>
                </c:pt>
                <c:pt idx="414">
                  <c:v>56.288824373840264</c:v>
                </c:pt>
                <c:pt idx="415">
                  <c:v>56.288824373840264</c:v>
                </c:pt>
                <c:pt idx="416">
                  <c:v>56.288824373840264</c:v>
                </c:pt>
                <c:pt idx="417">
                  <c:v>56.288824373840264</c:v>
                </c:pt>
                <c:pt idx="418">
                  <c:v>56.288824373840264</c:v>
                </c:pt>
                <c:pt idx="419">
                  <c:v>56.288824373840264</c:v>
                </c:pt>
                <c:pt idx="420">
                  <c:v>56.288824373840264</c:v>
                </c:pt>
                <c:pt idx="421">
                  <c:v>56.288824373840264</c:v>
                </c:pt>
                <c:pt idx="422">
                  <c:v>56.288824373840264</c:v>
                </c:pt>
                <c:pt idx="423">
                  <c:v>56.288824373840264</c:v>
                </c:pt>
                <c:pt idx="424">
                  <c:v>56.288824373840264</c:v>
                </c:pt>
                <c:pt idx="425">
                  <c:v>56.288824373840264</c:v>
                </c:pt>
                <c:pt idx="426">
                  <c:v>56.288824373840264</c:v>
                </c:pt>
                <c:pt idx="427">
                  <c:v>56.288824373840264</c:v>
                </c:pt>
                <c:pt idx="428">
                  <c:v>56.288824373840264</c:v>
                </c:pt>
                <c:pt idx="429">
                  <c:v>56.288824373840264</c:v>
                </c:pt>
                <c:pt idx="430">
                  <c:v>56.288824373840264</c:v>
                </c:pt>
                <c:pt idx="431">
                  <c:v>56.288824373840264</c:v>
                </c:pt>
                <c:pt idx="432">
                  <c:v>56.288824373840264</c:v>
                </c:pt>
                <c:pt idx="433">
                  <c:v>56.288824373840264</c:v>
                </c:pt>
                <c:pt idx="434">
                  <c:v>56.288824373840264</c:v>
                </c:pt>
                <c:pt idx="435">
                  <c:v>56.288824373840264</c:v>
                </c:pt>
                <c:pt idx="436">
                  <c:v>56.288824373840264</c:v>
                </c:pt>
                <c:pt idx="437">
                  <c:v>56.288824373840264</c:v>
                </c:pt>
                <c:pt idx="438">
                  <c:v>56.288824373840264</c:v>
                </c:pt>
                <c:pt idx="439">
                  <c:v>56.288824373840264</c:v>
                </c:pt>
                <c:pt idx="440">
                  <c:v>56.288824373840264</c:v>
                </c:pt>
                <c:pt idx="441">
                  <c:v>56.288824373840264</c:v>
                </c:pt>
                <c:pt idx="442">
                  <c:v>56.288824373840264</c:v>
                </c:pt>
                <c:pt idx="443">
                  <c:v>56.288824373840264</c:v>
                </c:pt>
                <c:pt idx="444">
                  <c:v>56.288824373840264</c:v>
                </c:pt>
                <c:pt idx="445">
                  <c:v>56.288824373840264</c:v>
                </c:pt>
                <c:pt idx="446">
                  <c:v>56.288824373840264</c:v>
                </c:pt>
                <c:pt idx="447">
                  <c:v>56.288824373840264</c:v>
                </c:pt>
                <c:pt idx="448">
                  <c:v>56.288824373840264</c:v>
                </c:pt>
                <c:pt idx="449">
                  <c:v>56.288824373840264</c:v>
                </c:pt>
                <c:pt idx="450">
                  <c:v>56.288824373840264</c:v>
                </c:pt>
                <c:pt idx="451">
                  <c:v>56.288824373840264</c:v>
                </c:pt>
                <c:pt idx="452">
                  <c:v>56.288824373840264</c:v>
                </c:pt>
                <c:pt idx="453">
                  <c:v>56.288824373840264</c:v>
                </c:pt>
                <c:pt idx="454">
                  <c:v>56.288824373840264</c:v>
                </c:pt>
                <c:pt idx="455">
                  <c:v>56.288824373840264</c:v>
                </c:pt>
                <c:pt idx="456">
                  <c:v>56.288824373840264</c:v>
                </c:pt>
                <c:pt idx="457">
                  <c:v>56.288824373840264</c:v>
                </c:pt>
                <c:pt idx="458">
                  <c:v>56.288824373840264</c:v>
                </c:pt>
                <c:pt idx="459">
                  <c:v>56.288824373840264</c:v>
                </c:pt>
                <c:pt idx="460">
                  <c:v>56.288824373840264</c:v>
                </c:pt>
                <c:pt idx="461">
                  <c:v>56.288824373840264</c:v>
                </c:pt>
                <c:pt idx="462">
                  <c:v>56.288824373840264</c:v>
                </c:pt>
                <c:pt idx="463">
                  <c:v>56.288824373840264</c:v>
                </c:pt>
                <c:pt idx="464">
                  <c:v>56.288824373840264</c:v>
                </c:pt>
                <c:pt idx="465">
                  <c:v>56.288824373840264</c:v>
                </c:pt>
                <c:pt idx="466">
                  <c:v>56.288824373840264</c:v>
                </c:pt>
                <c:pt idx="467">
                  <c:v>56.288824373840264</c:v>
                </c:pt>
                <c:pt idx="468">
                  <c:v>56.288824373840264</c:v>
                </c:pt>
                <c:pt idx="469">
                  <c:v>56.288824373840264</c:v>
                </c:pt>
                <c:pt idx="470">
                  <c:v>56.288824373840264</c:v>
                </c:pt>
                <c:pt idx="471">
                  <c:v>56.288824373840264</c:v>
                </c:pt>
                <c:pt idx="472">
                  <c:v>56.288824373840264</c:v>
                </c:pt>
                <c:pt idx="473">
                  <c:v>56.288824373840264</c:v>
                </c:pt>
                <c:pt idx="474">
                  <c:v>56.288824373840264</c:v>
                </c:pt>
                <c:pt idx="475">
                  <c:v>56.288824373840264</c:v>
                </c:pt>
                <c:pt idx="476">
                  <c:v>56.288824373840264</c:v>
                </c:pt>
                <c:pt idx="477">
                  <c:v>56.288824373840264</c:v>
                </c:pt>
                <c:pt idx="478">
                  <c:v>56.288824373840264</c:v>
                </c:pt>
                <c:pt idx="479">
                  <c:v>56.288824373840264</c:v>
                </c:pt>
                <c:pt idx="480">
                  <c:v>56.288824373840264</c:v>
                </c:pt>
                <c:pt idx="481">
                  <c:v>56.288824373840264</c:v>
                </c:pt>
                <c:pt idx="482">
                  <c:v>56.288824373840264</c:v>
                </c:pt>
                <c:pt idx="483">
                  <c:v>56.288824373840264</c:v>
                </c:pt>
                <c:pt idx="484">
                  <c:v>56.288824373840264</c:v>
                </c:pt>
                <c:pt idx="485">
                  <c:v>56.288824373840264</c:v>
                </c:pt>
                <c:pt idx="486">
                  <c:v>56.288824373840264</c:v>
                </c:pt>
                <c:pt idx="487">
                  <c:v>56.288824373840264</c:v>
                </c:pt>
                <c:pt idx="488">
                  <c:v>56.288824373840264</c:v>
                </c:pt>
                <c:pt idx="489">
                  <c:v>56.288824373840264</c:v>
                </c:pt>
                <c:pt idx="490">
                  <c:v>56.288824373840264</c:v>
                </c:pt>
                <c:pt idx="491">
                  <c:v>56.288824373840264</c:v>
                </c:pt>
                <c:pt idx="492">
                  <c:v>56.288824373840264</c:v>
                </c:pt>
                <c:pt idx="493">
                  <c:v>56.288824373840264</c:v>
                </c:pt>
                <c:pt idx="494">
                  <c:v>56.288824373840264</c:v>
                </c:pt>
                <c:pt idx="495">
                  <c:v>56.288824373840264</c:v>
                </c:pt>
                <c:pt idx="496">
                  <c:v>56.288824373840264</c:v>
                </c:pt>
                <c:pt idx="497">
                  <c:v>56.288824373840264</c:v>
                </c:pt>
                <c:pt idx="498">
                  <c:v>56.288824373840264</c:v>
                </c:pt>
                <c:pt idx="499">
                  <c:v>56.288824373840264</c:v>
                </c:pt>
                <c:pt idx="500">
                  <c:v>56.288824373840264</c:v>
                </c:pt>
                <c:pt idx="501">
                  <c:v>56.288824373840264</c:v>
                </c:pt>
                <c:pt idx="502">
                  <c:v>56.288824373840264</c:v>
                </c:pt>
                <c:pt idx="503">
                  <c:v>56.288824373840264</c:v>
                </c:pt>
                <c:pt idx="504">
                  <c:v>56.288824373840264</c:v>
                </c:pt>
                <c:pt idx="505">
                  <c:v>56.288824373840264</c:v>
                </c:pt>
                <c:pt idx="506">
                  <c:v>56.288824373840264</c:v>
                </c:pt>
                <c:pt idx="507">
                  <c:v>56.288824373840264</c:v>
                </c:pt>
                <c:pt idx="508">
                  <c:v>56.288824373840264</c:v>
                </c:pt>
                <c:pt idx="509">
                  <c:v>56.288824373840264</c:v>
                </c:pt>
                <c:pt idx="510">
                  <c:v>56.288824373840264</c:v>
                </c:pt>
                <c:pt idx="511">
                  <c:v>56.288824373840264</c:v>
                </c:pt>
                <c:pt idx="512">
                  <c:v>56.288824373840264</c:v>
                </c:pt>
                <c:pt idx="513">
                  <c:v>56.288824373840264</c:v>
                </c:pt>
                <c:pt idx="514">
                  <c:v>56.288824373840264</c:v>
                </c:pt>
                <c:pt idx="515">
                  <c:v>56.288824373840264</c:v>
                </c:pt>
                <c:pt idx="516">
                  <c:v>56.288824373840264</c:v>
                </c:pt>
                <c:pt idx="517">
                  <c:v>56.288824373840264</c:v>
                </c:pt>
                <c:pt idx="518">
                  <c:v>56.288824373840264</c:v>
                </c:pt>
                <c:pt idx="519">
                  <c:v>56.288824373840264</c:v>
                </c:pt>
                <c:pt idx="520">
                  <c:v>56.288824373840264</c:v>
                </c:pt>
                <c:pt idx="521">
                  <c:v>56.288824373840264</c:v>
                </c:pt>
                <c:pt idx="522">
                  <c:v>56.288824373840264</c:v>
                </c:pt>
                <c:pt idx="523">
                  <c:v>56.288824373840264</c:v>
                </c:pt>
                <c:pt idx="524">
                  <c:v>56.288824373840264</c:v>
                </c:pt>
                <c:pt idx="525">
                  <c:v>56.288824373840264</c:v>
                </c:pt>
                <c:pt idx="526">
                  <c:v>56.288824373840264</c:v>
                </c:pt>
                <c:pt idx="527">
                  <c:v>56.288824373840264</c:v>
                </c:pt>
                <c:pt idx="528">
                  <c:v>56.288824373840264</c:v>
                </c:pt>
                <c:pt idx="529">
                  <c:v>56.288824373840264</c:v>
                </c:pt>
                <c:pt idx="530">
                  <c:v>56.288824373840264</c:v>
                </c:pt>
                <c:pt idx="531">
                  <c:v>56.288824373840264</c:v>
                </c:pt>
                <c:pt idx="532">
                  <c:v>56.288824373840264</c:v>
                </c:pt>
                <c:pt idx="533">
                  <c:v>56.288824373840264</c:v>
                </c:pt>
                <c:pt idx="534">
                  <c:v>56.288824373840264</c:v>
                </c:pt>
                <c:pt idx="535">
                  <c:v>56.288824373840264</c:v>
                </c:pt>
                <c:pt idx="536">
                  <c:v>56.288824373840264</c:v>
                </c:pt>
                <c:pt idx="537">
                  <c:v>56.288824373840264</c:v>
                </c:pt>
                <c:pt idx="538">
                  <c:v>56.288824373840264</c:v>
                </c:pt>
                <c:pt idx="539">
                  <c:v>56.288824373840264</c:v>
                </c:pt>
                <c:pt idx="540">
                  <c:v>56.288824373840264</c:v>
                </c:pt>
                <c:pt idx="541">
                  <c:v>56.288824373840264</c:v>
                </c:pt>
                <c:pt idx="542">
                  <c:v>56.288824373840264</c:v>
                </c:pt>
                <c:pt idx="543">
                  <c:v>56.288824373840264</c:v>
                </c:pt>
                <c:pt idx="544">
                  <c:v>56.288824373840264</c:v>
                </c:pt>
                <c:pt idx="545">
                  <c:v>56.288824373840264</c:v>
                </c:pt>
                <c:pt idx="546">
                  <c:v>56.288824373840264</c:v>
                </c:pt>
                <c:pt idx="547">
                  <c:v>56.288824373840264</c:v>
                </c:pt>
                <c:pt idx="548">
                  <c:v>56.288824373840264</c:v>
                </c:pt>
                <c:pt idx="549">
                  <c:v>56.288824373840264</c:v>
                </c:pt>
                <c:pt idx="550">
                  <c:v>56.288824373840264</c:v>
                </c:pt>
                <c:pt idx="551">
                  <c:v>56.288824373840264</c:v>
                </c:pt>
                <c:pt idx="552">
                  <c:v>56.288824373840264</c:v>
                </c:pt>
                <c:pt idx="553">
                  <c:v>56.288824373840264</c:v>
                </c:pt>
                <c:pt idx="554">
                  <c:v>56.288824373840264</c:v>
                </c:pt>
                <c:pt idx="555">
                  <c:v>56.288824373840264</c:v>
                </c:pt>
                <c:pt idx="556">
                  <c:v>56.288824373840264</c:v>
                </c:pt>
                <c:pt idx="557">
                  <c:v>56.288824373840264</c:v>
                </c:pt>
                <c:pt idx="558">
                  <c:v>56.288824373840264</c:v>
                </c:pt>
                <c:pt idx="559">
                  <c:v>56.288824373840264</c:v>
                </c:pt>
                <c:pt idx="560">
                  <c:v>56.288824373840264</c:v>
                </c:pt>
                <c:pt idx="561">
                  <c:v>56.288824373840264</c:v>
                </c:pt>
                <c:pt idx="562">
                  <c:v>56.288824373840264</c:v>
                </c:pt>
                <c:pt idx="563">
                  <c:v>56.288824373840264</c:v>
                </c:pt>
                <c:pt idx="564">
                  <c:v>56.288824373840264</c:v>
                </c:pt>
                <c:pt idx="565">
                  <c:v>56.288824373840264</c:v>
                </c:pt>
                <c:pt idx="566">
                  <c:v>56.288824373840264</c:v>
                </c:pt>
                <c:pt idx="567">
                  <c:v>56.288824373840264</c:v>
                </c:pt>
                <c:pt idx="568">
                  <c:v>56.288824373840264</c:v>
                </c:pt>
                <c:pt idx="569">
                  <c:v>56.288824373840264</c:v>
                </c:pt>
                <c:pt idx="570">
                  <c:v>56.288824373840264</c:v>
                </c:pt>
                <c:pt idx="571">
                  <c:v>56.288824373840264</c:v>
                </c:pt>
                <c:pt idx="572">
                  <c:v>56.288824373840264</c:v>
                </c:pt>
                <c:pt idx="573">
                  <c:v>56.288824373840264</c:v>
                </c:pt>
                <c:pt idx="574">
                  <c:v>56.288824373840264</c:v>
                </c:pt>
                <c:pt idx="575">
                  <c:v>56.288824373840264</c:v>
                </c:pt>
                <c:pt idx="576">
                  <c:v>56.288824373840264</c:v>
                </c:pt>
                <c:pt idx="577">
                  <c:v>56.288824373840264</c:v>
                </c:pt>
                <c:pt idx="578">
                  <c:v>56.288824373840264</c:v>
                </c:pt>
                <c:pt idx="579">
                  <c:v>56.288824373840264</c:v>
                </c:pt>
                <c:pt idx="580">
                  <c:v>56.288824373840264</c:v>
                </c:pt>
                <c:pt idx="581">
                  <c:v>56.288824373840264</c:v>
                </c:pt>
                <c:pt idx="582">
                  <c:v>56.288824373840264</c:v>
                </c:pt>
                <c:pt idx="583">
                  <c:v>56.288824373840264</c:v>
                </c:pt>
                <c:pt idx="584">
                  <c:v>56.288824373840264</c:v>
                </c:pt>
                <c:pt idx="585">
                  <c:v>56.288824373840264</c:v>
                </c:pt>
                <c:pt idx="586">
                  <c:v>56.288824373840264</c:v>
                </c:pt>
                <c:pt idx="587">
                  <c:v>56.288824373840264</c:v>
                </c:pt>
                <c:pt idx="588">
                  <c:v>56.288824373840264</c:v>
                </c:pt>
                <c:pt idx="589">
                  <c:v>56.288824373840264</c:v>
                </c:pt>
                <c:pt idx="590">
                  <c:v>56.288824373840264</c:v>
                </c:pt>
                <c:pt idx="591">
                  <c:v>56.288824373840264</c:v>
                </c:pt>
                <c:pt idx="592">
                  <c:v>56.288824373840264</c:v>
                </c:pt>
                <c:pt idx="593">
                  <c:v>56.288824373840264</c:v>
                </c:pt>
                <c:pt idx="594">
                  <c:v>56.288824373840264</c:v>
                </c:pt>
                <c:pt idx="595">
                  <c:v>56.288824373840264</c:v>
                </c:pt>
                <c:pt idx="596">
                  <c:v>56.288824373840264</c:v>
                </c:pt>
                <c:pt idx="597">
                  <c:v>56.288824373840264</c:v>
                </c:pt>
                <c:pt idx="598">
                  <c:v>56.288824373840264</c:v>
                </c:pt>
                <c:pt idx="599">
                  <c:v>56.288824373840264</c:v>
                </c:pt>
                <c:pt idx="600">
                  <c:v>56.288824373840264</c:v>
                </c:pt>
                <c:pt idx="601">
                  <c:v>56.288824373840264</c:v>
                </c:pt>
                <c:pt idx="602">
                  <c:v>56.288824373840264</c:v>
                </c:pt>
                <c:pt idx="603">
                  <c:v>56.288824373840264</c:v>
                </c:pt>
                <c:pt idx="604">
                  <c:v>56.288824373840264</c:v>
                </c:pt>
                <c:pt idx="605">
                  <c:v>56.288824373840264</c:v>
                </c:pt>
                <c:pt idx="606">
                  <c:v>56.288824373840264</c:v>
                </c:pt>
                <c:pt idx="607">
                  <c:v>56.288824373840264</c:v>
                </c:pt>
                <c:pt idx="608">
                  <c:v>56.288824373840264</c:v>
                </c:pt>
                <c:pt idx="609">
                  <c:v>56.288824373840264</c:v>
                </c:pt>
                <c:pt idx="610">
                  <c:v>56.288824373840264</c:v>
                </c:pt>
                <c:pt idx="611">
                  <c:v>56.288824373840264</c:v>
                </c:pt>
                <c:pt idx="612">
                  <c:v>56.288824373840264</c:v>
                </c:pt>
                <c:pt idx="613">
                  <c:v>56.288824373840264</c:v>
                </c:pt>
                <c:pt idx="614">
                  <c:v>56.288824373840264</c:v>
                </c:pt>
                <c:pt idx="615">
                  <c:v>56.288824373840264</c:v>
                </c:pt>
                <c:pt idx="616">
                  <c:v>56.288824373840264</c:v>
                </c:pt>
                <c:pt idx="617">
                  <c:v>56.288824373840264</c:v>
                </c:pt>
                <c:pt idx="618">
                  <c:v>56.288824373840264</c:v>
                </c:pt>
                <c:pt idx="619">
                  <c:v>56.288824373840264</c:v>
                </c:pt>
                <c:pt idx="620">
                  <c:v>56.288824373840264</c:v>
                </c:pt>
                <c:pt idx="621">
                  <c:v>56.288824373840264</c:v>
                </c:pt>
                <c:pt idx="622">
                  <c:v>56.288824373840264</c:v>
                </c:pt>
                <c:pt idx="623">
                  <c:v>56.288824373840264</c:v>
                </c:pt>
                <c:pt idx="624">
                  <c:v>56.288824373840264</c:v>
                </c:pt>
                <c:pt idx="625">
                  <c:v>56.288824373840264</c:v>
                </c:pt>
                <c:pt idx="626">
                  <c:v>56.288824373840264</c:v>
                </c:pt>
                <c:pt idx="627">
                  <c:v>56.288824373840264</c:v>
                </c:pt>
                <c:pt idx="628">
                  <c:v>56.288824373840264</c:v>
                </c:pt>
                <c:pt idx="629">
                  <c:v>56.288824373840264</c:v>
                </c:pt>
                <c:pt idx="630">
                  <c:v>56.288824373840264</c:v>
                </c:pt>
                <c:pt idx="631">
                  <c:v>56.288824373840264</c:v>
                </c:pt>
                <c:pt idx="632">
                  <c:v>56.288824373840264</c:v>
                </c:pt>
                <c:pt idx="633">
                  <c:v>56.288824373840264</c:v>
                </c:pt>
                <c:pt idx="634">
                  <c:v>56.288824373840264</c:v>
                </c:pt>
                <c:pt idx="635">
                  <c:v>56.288824373840264</c:v>
                </c:pt>
                <c:pt idx="636">
                  <c:v>56.288824373840264</c:v>
                </c:pt>
                <c:pt idx="637">
                  <c:v>56.288824373840264</c:v>
                </c:pt>
                <c:pt idx="638">
                  <c:v>56.288824373840264</c:v>
                </c:pt>
                <c:pt idx="639">
                  <c:v>56.288824373840264</c:v>
                </c:pt>
                <c:pt idx="640">
                  <c:v>56.288824373840264</c:v>
                </c:pt>
                <c:pt idx="641">
                  <c:v>56.288824373840264</c:v>
                </c:pt>
                <c:pt idx="642">
                  <c:v>56.288824373840264</c:v>
                </c:pt>
                <c:pt idx="643">
                  <c:v>56.288824373840264</c:v>
                </c:pt>
                <c:pt idx="644">
                  <c:v>56.288824373840264</c:v>
                </c:pt>
                <c:pt idx="645">
                  <c:v>56.288824373840264</c:v>
                </c:pt>
                <c:pt idx="646">
                  <c:v>56.288824373840264</c:v>
                </c:pt>
                <c:pt idx="647">
                  <c:v>56.288824373840264</c:v>
                </c:pt>
                <c:pt idx="648">
                  <c:v>56.288824373840264</c:v>
                </c:pt>
                <c:pt idx="649">
                  <c:v>56.288824373840264</c:v>
                </c:pt>
                <c:pt idx="650">
                  <c:v>56.288824373840264</c:v>
                </c:pt>
                <c:pt idx="651">
                  <c:v>56.288824373840264</c:v>
                </c:pt>
                <c:pt idx="652">
                  <c:v>56.288824373840264</c:v>
                </c:pt>
                <c:pt idx="653">
                  <c:v>56.288824373840264</c:v>
                </c:pt>
                <c:pt idx="654">
                  <c:v>56.288824373840264</c:v>
                </c:pt>
                <c:pt idx="655">
                  <c:v>56.288824373840264</c:v>
                </c:pt>
                <c:pt idx="656">
                  <c:v>56.288824373840264</c:v>
                </c:pt>
                <c:pt idx="657">
                  <c:v>56.288824373840264</c:v>
                </c:pt>
                <c:pt idx="658">
                  <c:v>56.288824373840264</c:v>
                </c:pt>
                <c:pt idx="659">
                  <c:v>56.288824373840264</c:v>
                </c:pt>
                <c:pt idx="660">
                  <c:v>56.288824373840264</c:v>
                </c:pt>
                <c:pt idx="661">
                  <c:v>56.288824373840264</c:v>
                </c:pt>
                <c:pt idx="662">
                  <c:v>56.288824373840264</c:v>
                </c:pt>
                <c:pt idx="663">
                  <c:v>56.288824373840264</c:v>
                </c:pt>
                <c:pt idx="664">
                  <c:v>56.288824373840264</c:v>
                </c:pt>
                <c:pt idx="665">
                  <c:v>56.288824373840264</c:v>
                </c:pt>
                <c:pt idx="666">
                  <c:v>56.288824373840264</c:v>
                </c:pt>
                <c:pt idx="667">
                  <c:v>56.288824373840264</c:v>
                </c:pt>
                <c:pt idx="668">
                  <c:v>56.288824373840264</c:v>
                </c:pt>
                <c:pt idx="669">
                  <c:v>56.288824373840264</c:v>
                </c:pt>
                <c:pt idx="670">
                  <c:v>56.288824373840264</c:v>
                </c:pt>
                <c:pt idx="671">
                  <c:v>56.288824373840264</c:v>
                </c:pt>
                <c:pt idx="672">
                  <c:v>56.288824373840264</c:v>
                </c:pt>
                <c:pt idx="673">
                  <c:v>56.288824373840264</c:v>
                </c:pt>
                <c:pt idx="674">
                  <c:v>56.288824373840264</c:v>
                </c:pt>
                <c:pt idx="675">
                  <c:v>56.288824373840264</c:v>
                </c:pt>
                <c:pt idx="676">
                  <c:v>56.288824373840264</c:v>
                </c:pt>
                <c:pt idx="677">
                  <c:v>56.288824373840264</c:v>
                </c:pt>
                <c:pt idx="678">
                  <c:v>56.288824373840264</c:v>
                </c:pt>
                <c:pt idx="679">
                  <c:v>56.288824373840264</c:v>
                </c:pt>
                <c:pt idx="680">
                  <c:v>56.288824373840264</c:v>
                </c:pt>
                <c:pt idx="681">
                  <c:v>56.288824373840264</c:v>
                </c:pt>
                <c:pt idx="682">
                  <c:v>56.288824373840264</c:v>
                </c:pt>
                <c:pt idx="683">
                  <c:v>56.288824373840264</c:v>
                </c:pt>
                <c:pt idx="684">
                  <c:v>56.288824373840264</c:v>
                </c:pt>
                <c:pt idx="685">
                  <c:v>56.288824373840264</c:v>
                </c:pt>
                <c:pt idx="686">
                  <c:v>56.288824373840264</c:v>
                </c:pt>
                <c:pt idx="687">
                  <c:v>56.288824373840264</c:v>
                </c:pt>
                <c:pt idx="688">
                  <c:v>56.288824373840264</c:v>
                </c:pt>
                <c:pt idx="689">
                  <c:v>56.288824373840264</c:v>
                </c:pt>
                <c:pt idx="690">
                  <c:v>56.288824373840264</c:v>
                </c:pt>
                <c:pt idx="691">
                  <c:v>56.288824373840264</c:v>
                </c:pt>
                <c:pt idx="692">
                  <c:v>56.288824373840264</c:v>
                </c:pt>
                <c:pt idx="693">
                  <c:v>56.288824373840264</c:v>
                </c:pt>
                <c:pt idx="694">
                  <c:v>56.288824373840264</c:v>
                </c:pt>
                <c:pt idx="695">
                  <c:v>56.288824373840264</c:v>
                </c:pt>
                <c:pt idx="696">
                  <c:v>56.288824373840264</c:v>
                </c:pt>
                <c:pt idx="697">
                  <c:v>56.288824373840264</c:v>
                </c:pt>
                <c:pt idx="698">
                  <c:v>56.288824373840264</c:v>
                </c:pt>
                <c:pt idx="699">
                  <c:v>56.288824373840264</c:v>
                </c:pt>
                <c:pt idx="700">
                  <c:v>56.288824373840264</c:v>
                </c:pt>
                <c:pt idx="701">
                  <c:v>56.288824373840264</c:v>
                </c:pt>
                <c:pt idx="702">
                  <c:v>56.288824373840264</c:v>
                </c:pt>
                <c:pt idx="703">
                  <c:v>56.288824373840264</c:v>
                </c:pt>
                <c:pt idx="704">
                  <c:v>56.288824373840264</c:v>
                </c:pt>
                <c:pt idx="705">
                  <c:v>56.288824373840264</c:v>
                </c:pt>
                <c:pt idx="706">
                  <c:v>56.288824373840264</c:v>
                </c:pt>
                <c:pt idx="707">
                  <c:v>56.288824373840264</c:v>
                </c:pt>
                <c:pt idx="708">
                  <c:v>56.288824373840264</c:v>
                </c:pt>
                <c:pt idx="709">
                  <c:v>56.288824373840264</c:v>
                </c:pt>
                <c:pt idx="710">
                  <c:v>56.288824373840264</c:v>
                </c:pt>
                <c:pt idx="711">
                  <c:v>56.288824373840264</c:v>
                </c:pt>
                <c:pt idx="712">
                  <c:v>56.288824373840264</c:v>
                </c:pt>
                <c:pt idx="713">
                  <c:v>56.288824373840264</c:v>
                </c:pt>
                <c:pt idx="714">
                  <c:v>56.288824373840264</c:v>
                </c:pt>
                <c:pt idx="715">
                  <c:v>56.288824373840264</c:v>
                </c:pt>
                <c:pt idx="716">
                  <c:v>56.288824373840264</c:v>
                </c:pt>
                <c:pt idx="717">
                  <c:v>56.288824373840264</c:v>
                </c:pt>
                <c:pt idx="718">
                  <c:v>56.288824373840264</c:v>
                </c:pt>
                <c:pt idx="719">
                  <c:v>56.288824373840264</c:v>
                </c:pt>
                <c:pt idx="720">
                  <c:v>56.288824373840264</c:v>
                </c:pt>
                <c:pt idx="721">
                  <c:v>56.288824373840264</c:v>
                </c:pt>
                <c:pt idx="722">
                  <c:v>56.288824373840264</c:v>
                </c:pt>
                <c:pt idx="723">
                  <c:v>56.288824373840264</c:v>
                </c:pt>
                <c:pt idx="724">
                  <c:v>56.288824373840264</c:v>
                </c:pt>
                <c:pt idx="725">
                  <c:v>56.288824373840264</c:v>
                </c:pt>
                <c:pt idx="726">
                  <c:v>56.288824373840264</c:v>
                </c:pt>
                <c:pt idx="727">
                  <c:v>56.288824373840264</c:v>
                </c:pt>
                <c:pt idx="728">
                  <c:v>56.288824373840264</c:v>
                </c:pt>
                <c:pt idx="729">
                  <c:v>56.288824373840264</c:v>
                </c:pt>
                <c:pt idx="730">
                  <c:v>56.288824373840264</c:v>
                </c:pt>
                <c:pt idx="731">
                  <c:v>56.288824373840264</c:v>
                </c:pt>
                <c:pt idx="732">
                  <c:v>56.288824373840264</c:v>
                </c:pt>
                <c:pt idx="733">
                  <c:v>56.288824373840264</c:v>
                </c:pt>
                <c:pt idx="734">
                  <c:v>56.288824373840264</c:v>
                </c:pt>
                <c:pt idx="735">
                  <c:v>56.288824373840264</c:v>
                </c:pt>
                <c:pt idx="736">
                  <c:v>56.288824373840264</c:v>
                </c:pt>
                <c:pt idx="737">
                  <c:v>56.288824373840264</c:v>
                </c:pt>
                <c:pt idx="738">
                  <c:v>56.288824373840264</c:v>
                </c:pt>
                <c:pt idx="739">
                  <c:v>56.288824373840264</c:v>
                </c:pt>
                <c:pt idx="740">
                  <c:v>56.288824373840264</c:v>
                </c:pt>
                <c:pt idx="741">
                  <c:v>56.288824373840264</c:v>
                </c:pt>
                <c:pt idx="742">
                  <c:v>56.288824373840264</c:v>
                </c:pt>
                <c:pt idx="743">
                  <c:v>56.288824373840264</c:v>
                </c:pt>
                <c:pt idx="744">
                  <c:v>56.288824373840264</c:v>
                </c:pt>
                <c:pt idx="745">
                  <c:v>56.288824373840264</c:v>
                </c:pt>
                <c:pt idx="746">
                  <c:v>56.288824373840264</c:v>
                </c:pt>
                <c:pt idx="747">
                  <c:v>56.288824373840264</c:v>
                </c:pt>
                <c:pt idx="748">
                  <c:v>56.288824373840264</c:v>
                </c:pt>
                <c:pt idx="749">
                  <c:v>56.288824373840264</c:v>
                </c:pt>
                <c:pt idx="750">
                  <c:v>56.288824373840264</c:v>
                </c:pt>
                <c:pt idx="751">
                  <c:v>56.288824373840264</c:v>
                </c:pt>
                <c:pt idx="752">
                  <c:v>56.288824373840264</c:v>
                </c:pt>
                <c:pt idx="753">
                  <c:v>56.288824373840264</c:v>
                </c:pt>
                <c:pt idx="754">
                  <c:v>56.288824373840264</c:v>
                </c:pt>
                <c:pt idx="755">
                  <c:v>56.288824373840264</c:v>
                </c:pt>
                <c:pt idx="756">
                  <c:v>56.288824373840264</c:v>
                </c:pt>
                <c:pt idx="757">
                  <c:v>56.288824373840264</c:v>
                </c:pt>
                <c:pt idx="758">
                  <c:v>56.288824373840264</c:v>
                </c:pt>
                <c:pt idx="759">
                  <c:v>56.288824373840264</c:v>
                </c:pt>
                <c:pt idx="760">
                  <c:v>56.288824373840264</c:v>
                </c:pt>
                <c:pt idx="761">
                  <c:v>56.288824373840264</c:v>
                </c:pt>
                <c:pt idx="762">
                  <c:v>56.288824373840264</c:v>
                </c:pt>
                <c:pt idx="763">
                  <c:v>56.288824373840264</c:v>
                </c:pt>
                <c:pt idx="764">
                  <c:v>56.288824373840264</c:v>
                </c:pt>
                <c:pt idx="765">
                  <c:v>56.288824373840264</c:v>
                </c:pt>
                <c:pt idx="766">
                  <c:v>56.288824373840264</c:v>
                </c:pt>
                <c:pt idx="767">
                  <c:v>56.288824373840264</c:v>
                </c:pt>
                <c:pt idx="768">
                  <c:v>56.288824373840264</c:v>
                </c:pt>
                <c:pt idx="769">
                  <c:v>56.288824373840264</c:v>
                </c:pt>
                <c:pt idx="770">
                  <c:v>56.288824373840264</c:v>
                </c:pt>
                <c:pt idx="771">
                  <c:v>56.288824373840264</c:v>
                </c:pt>
                <c:pt idx="772">
                  <c:v>56.288824373840264</c:v>
                </c:pt>
                <c:pt idx="773">
                  <c:v>56.288824373840264</c:v>
                </c:pt>
                <c:pt idx="774">
                  <c:v>56.288824373840264</c:v>
                </c:pt>
                <c:pt idx="775">
                  <c:v>56.288824373840264</c:v>
                </c:pt>
                <c:pt idx="776">
                  <c:v>56.288824373840264</c:v>
                </c:pt>
                <c:pt idx="777">
                  <c:v>56.288824373840264</c:v>
                </c:pt>
                <c:pt idx="778">
                  <c:v>56.288824373840264</c:v>
                </c:pt>
                <c:pt idx="779">
                  <c:v>56.288824373840264</c:v>
                </c:pt>
                <c:pt idx="780">
                  <c:v>56.288824373840264</c:v>
                </c:pt>
                <c:pt idx="781">
                  <c:v>56.288824373840264</c:v>
                </c:pt>
                <c:pt idx="782">
                  <c:v>56.288824373840264</c:v>
                </c:pt>
                <c:pt idx="783">
                  <c:v>56.288824373840264</c:v>
                </c:pt>
                <c:pt idx="784">
                  <c:v>56.288824373840264</c:v>
                </c:pt>
                <c:pt idx="785">
                  <c:v>56.288824373840264</c:v>
                </c:pt>
                <c:pt idx="786">
                  <c:v>56.288824373840264</c:v>
                </c:pt>
                <c:pt idx="787">
                  <c:v>56.288824373840264</c:v>
                </c:pt>
                <c:pt idx="788">
                  <c:v>56.288824373840264</c:v>
                </c:pt>
                <c:pt idx="789">
                  <c:v>56.288824373840264</c:v>
                </c:pt>
                <c:pt idx="790">
                  <c:v>56.288824373840264</c:v>
                </c:pt>
                <c:pt idx="791">
                  <c:v>56.288824373840264</c:v>
                </c:pt>
                <c:pt idx="792">
                  <c:v>56.288824373840264</c:v>
                </c:pt>
                <c:pt idx="793">
                  <c:v>56.288824373840264</c:v>
                </c:pt>
                <c:pt idx="794">
                  <c:v>56.288824373840264</c:v>
                </c:pt>
                <c:pt idx="795">
                  <c:v>56.288824373840264</c:v>
                </c:pt>
                <c:pt idx="796">
                  <c:v>56.288824373840264</c:v>
                </c:pt>
                <c:pt idx="797">
                  <c:v>56.288824373840264</c:v>
                </c:pt>
                <c:pt idx="798">
                  <c:v>56.288824373840264</c:v>
                </c:pt>
                <c:pt idx="799">
                  <c:v>56.288824373840264</c:v>
                </c:pt>
                <c:pt idx="800">
                  <c:v>56.288824373840264</c:v>
                </c:pt>
                <c:pt idx="801">
                  <c:v>56.288824373840264</c:v>
                </c:pt>
                <c:pt idx="802">
                  <c:v>56.288824373840264</c:v>
                </c:pt>
                <c:pt idx="803">
                  <c:v>56.288824373840264</c:v>
                </c:pt>
                <c:pt idx="804">
                  <c:v>56.288824373840264</c:v>
                </c:pt>
                <c:pt idx="805">
                  <c:v>56.288824373840264</c:v>
                </c:pt>
                <c:pt idx="806">
                  <c:v>56.288824373840264</c:v>
                </c:pt>
                <c:pt idx="807">
                  <c:v>56.288824373840264</c:v>
                </c:pt>
                <c:pt idx="808">
                  <c:v>56.288824373840264</c:v>
                </c:pt>
                <c:pt idx="809">
                  <c:v>56.288824373840264</c:v>
                </c:pt>
                <c:pt idx="810">
                  <c:v>56.288824373840264</c:v>
                </c:pt>
                <c:pt idx="811">
                  <c:v>56.288824373840264</c:v>
                </c:pt>
                <c:pt idx="812">
                  <c:v>56.288824373840264</c:v>
                </c:pt>
                <c:pt idx="813">
                  <c:v>56.288824373840264</c:v>
                </c:pt>
                <c:pt idx="814">
                  <c:v>56.288824373840264</c:v>
                </c:pt>
                <c:pt idx="815">
                  <c:v>56.288824373840264</c:v>
                </c:pt>
                <c:pt idx="816">
                  <c:v>56.288824373840264</c:v>
                </c:pt>
                <c:pt idx="817">
                  <c:v>56.288824373840264</c:v>
                </c:pt>
                <c:pt idx="818">
                  <c:v>56.288824373840264</c:v>
                </c:pt>
                <c:pt idx="819">
                  <c:v>56.288824373840264</c:v>
                </c:pt>
                <c:pt idx="820">
                  <c:v>56.288824373840264</c:v>
                </c:pt>
                <c:pt idx="821">
                  <c:v>56.288824373840264</c:v>
                </c:pt>
                <c:pt idx="822">
                  <c:v>56.288824373840264</c:v>
                </c:pt>
                <c:pt idx="823">
                  <c:v>56.288824373840264</c:v>
                </c:pt>
                <c:pt idx="824">
                  <c:v>56.288824373840264</c:v>
                </c:pt>
                <c:pt idx="825">
                  <c:v>56.288824373840264</c:v>
                </c:pt>
                <c:pt idx="826">
                  <c:v>56.288824373840264</c:v>
                </c:pt>
                <c:pt idx="827">
                  <c:v>56.288824373840264</c:v>
                </c:pt>
                <c:pt idx="828">
                  <c:v>56.288824373840264</c:v>
                </c:pt>
                <c:pt idx="829">
                  <c:v>56.288824373840264</c:v>
                </c:pt>
                <c:pt idx="830">
                  <c:v>56.288824373840264</c:v>
                </c:pt>
                <c:pt idx="831">
                  <c:v>56.288824373840264</c:v>
                </c:pt>
                <c:pt idx="832">
                  <c:v>56.288824373840264</c:v>
                </c:pt>
                <c:pt idx="833">
                  <c:v>56.288824373840264</c:v>
                </c:pt>
                <c:pt idx="834">
                  <c:v>56.288824373840264</c:v>
                </c:pt>
                <c:pt idx="835">
                  <c:v>56.288824373840264</c:v>
                </c:pt>
                <c:pt idx="836">
                  <c:v>56.288824373840264</c:v>
                </c:pt>
                <c:pt idx="837">
                  <c:v>56.288824373840264</c:v>
                </c:pt>
                <c:pt idx="838">
                  <c:v>56.288824373840264</c:v>
                </c:pt>
                <c:pt idx="839">
                  <c:v>56.288824373840264</c:v>
                </c:pt>
                <c:pt idx="840">
                  <c:v>56.288824373840264</c:v>
                </c:pt>
                <c:pt idx="841">
                  <c:v>56.288824373840264</c:v>
                </c:pt>
                <c:pt idx="842">
                  <c:v>56.288824373840264</c:v>
                </c:pt>
                <c:pt idx="843">
                  <c:v>56.288824373840264</c:v>
                </c:pt>
                <c:pt idx="844">
                  <c:v>56.288824373840264</c:v>
                </c:pt>
                <c:pt idx="845">
                  <c:v>56.288824373840264</c:v>
                </c:pt>
                <c:pt idx="846">
                  <c:v>56.288824373840264</c:v>
                </c:pt>
                <c:pt idx="847">
                  <c:v>56.288824373840264</c:v>
                </c:pt>
                <c:pt idx="848">
                  <c:v>56.288824373840264</c:v>
                </c:pt>
                <c:pt idx="849">
                  <c:v>56.288824373840264</c:v>
                </c:pt>
                <c:pt idx="850">
                  <c:v>56.288824373840264</c:v>
                </c:pt>
                <c:pt idx="851">
                  <c:v>56.288824373840264</c:v>
                </c:pt>
                <c:pt idx="852">
                  <c:v>56.288824373840264</c:v>
                </c:pt>
                <c:pt idx="853">
                  <c:v>56.288824373840264</c:v>
                </c:pt>
                <c:pt idx="854">
                  <c:v>56.288824373840264</c:v>
                </c:pt>
                <c:pt idx="855">
                  <c:v>56.288824373840264</c:v>
                </c:pt>
                <c:pt idx="856">
                  <c:v>56.288824373840264</c:v>
                </c:pt>
                <c:pt idx="857">
                  <c:v>56.288824373840264</c:v>
                </c:pt>
                <c:pt idx="858">
                  <c:v>56.288824373840264</c:v>
                </c:pt>
                <c:pt idx="859">
                  <c:v>56.288824373840264</c:v>
                </c:pt>
                <c:pt idx="860">
                  <c:v>56.288824373840264</c:v>
                </c:pt>
                <c:pt idx="861">
                  <c:v>56.288824373840264</c:v>
                </c:pt>
                <c:pt idx="862">
                  <c:v>56.288824373840264</c:v>
                </c:pt>
                <c:pt idx="863">
                  <c:v>56.288824373840264</c:v>
                </c:pt>
                <c:pt idx="864">
                  <c:v>56.288824373840264</c:v>
                </c:pt>
                <c:pt idx="865">
                  <c:v>56.288824373840264</c:v>
                </c:pt>
                <c:pt idx="866">
                  <c:v>56.288824373840264</c:v>
                </c:pt>
                <c:pt idx="867">
                  <c:v>56.288824373840264</c:v>
                </c:pt>
                <c:pt idx="868">
                  <c:v>56.288824373840264</c:v>
                </c:pt>
                <c:pt idx="869">
                  <c:v>56.288824373840264</c:v>
                </c:pt>
                <c:pt idx="870">
                  <c:v>56.288824373840264</c:v>
                </c:pt>
                <c:pt idx="871">
                  <c:v>56.288824373840264</c:v>
                </c:pt>
                <c:pt idx="872">
                  <c:v>56.288824373840264</c:v>
                </c:pt>
                <c:pt idx="873">
                  <c:v>56.288824373840264</c:v>
                </c:pt>
                <c:pt idx="874">
                  <c:v>56.288824373840264</c:v>
                </c:pt>
                <c:pt idx="875">
                  <c:v>56.288824373840264</c:v>
                </c:pt>
                <c:pt idx="876">
                  <c:v>56.288824373840264</c:v>
                </c:pt>
                <c:pt idx="877">
                  <c:v>56.288824373840264</c:v>
                </c:pt>
                <c:pt idx="878">
                  <c:v>56.288824373840264</c:v>
                </c:pt>
                <c:pt idx="879">
                  <c:v>56.288824373840264</c:v>
                </c:pt>
                <c:pt idx="880">
                  <c:v>56.288824373840264</c:v>
                </c:pt>
                <c:pt idx="881">
                  <c:v>56.288824373840264</c:v>
                </c:pt>
                <c:pt idx="882">
                  <c:v>56.288824373840264</c:v>
                </c:pt>
                <c:pt idx="883">
                  <c:v>56.288824373840264</c:v>
                </c:pt>
                <c:pt idx="884">
                  <c:v>56.288824373840264</c:v>
                </c:pt>
                <c:pt idx="885">
                  <c:v>56.288824373840264</c:v>
                </c:pt>
                <c:pt idx="886">
                  <c:v>56.288824373840264</c:v>
                </c:pt>
                <c:pt idx="887">
                  <c:v>56.288824373840264</c:v>
                </c:pt>
                <c:pt idx="888">
                  <c:v>56.288824373840264</c:v>
                </c:pt>
                <c:pt idx="889">
                  <c:v>56.288824373840264</c:v>
                </c:pt>
                <c:pt idx="890">
                  <c:v>56.288824373840264</c:v>
                </c:pt>
                <c:pt idx="891">
                  <c:v>56.288824373840264</c:v>
                </c:pt>
                <c:pt idx="892">
                  <c:v>56.288824373840264</c:v>
                </c:pt>
                <c:pt idx="893">
                  <c:v>56.288824373840264</c:v>
                </c:pt>
                <c:pt idx="894">
                  <c:v>56.288824373840264</c:v>
                </c:pt>
                <c:pt idx="895">
                  <c:v>56.288824373840264</c:v>
                </c:pt>
                <c:pt idx="896">
                  <c:v>56.288824373840264</c:v>
                </c:pt>
                <c:pt idx="897">
                  <c:v>56.288824373840264</c:v>
                </c:pt>
                <c:pt idx="898">
                  <c:v>56.288824373840264</c:v>
                </c:pt>
                <c:pt idx="899">
                  <c:v>56.288824373840264</c:v>
                </c:pt>
                <c:pt idx="900">
                  <c:v>56.288824373840264</c:v>
                </c:pt>
                <c:pt idx="901">
                  <c:v>56.288824373840264</c:v>
                </c:pt>
                <c:pt idx="902">
                  <c:v>56.288824373840264</c:v>
                </c:pt>
                <c:pt idx="903">
                  <c:v>56.288824373840264</c:v>
                </c:pt>
                <c:pt idx="904">
                  <c:v>56.288824373840264</c:v>
                </c:pt>
                <c:pt idx="905">
                  <c:v>56.288824373840264</c:v>
                </c:pt>
                <c:pt idx="906">
                  <c:v>56.288824373840264</c:v>
                </c:pt>
                <c:pt idx="907">
                  <c:v>56.288824373840264</c:v>
                </c:pt>
                <c:pt idx="908">
                  <c:v>56.288824373840264</c:v>
                </c:pt>
                <c:pt idx="909">
                  <c:v>56.288824373840264</c:v>
                </c:pt>
                <c:pt idx="910">
                  <c:v>56.288824373840264</c:v>
                </c:pt>
                <c:pt idx="911">
                  <c:v>56.288824373840264</c:v>
                </c:pt>
                <c:pt idx="912">
                  <c:v>56.288824373840264</c:v>
                </c:pt>
                <c:pt idx="913">
                  <c:v>56.288824373840264</c:v>
                </c:pt>
                <c:pt idx="914">
                  <c:v>56.288824373840264</c:v>
                </c:pt>
                <c:pt idx="915">
                  <c:v>56.288824373840264</c:v>
                </c:pt>
                <c:pt idx="916">
                  <c:v>56.288824373840264</c:v>
                </c:pt>
                <c:pt idx="917">
                  <c:v>56.288824373840264</c:v>
                </c:pt>
                <c:pt idx="918">
                  <c:v>56.288824373840264</c:v>
                </c:pt>
                <c:pt idx="919">
                  <c:v>56.288824373840264</c:v>
                </c:pt>
                <c:pt idx="920">
                  <c:v>56.288824373840264</c:v>
                </c:pt>
                <c:pt idx="921">
                  <c:v>56.288824373840264</c:v>
                </c:pt>
                <c:pt idx="922">
                  <c:v>56.288824373840264</c:v>
                </c:pt>
                <c:pt idx="923">
                  <c:v>56.288824373840264</c:v>
                </c:pt>
                <c:pt idx="924">
                  <c:v>56.288824373840264</c:v>
                </c:pt>
                <c:pt idx="925">
                  <c:v>56.288824373840264</c:v>
                </c:pt>
                <c:pt idx="926">
                  <c:v>56.288824373840264</c:v>
                </c:pt>
                <c:pt idx="927">
                  <c:v>56.288824373840264</c:v>
                </c:pt>
                <c:pt idx="928">
                  <c:v>56.288824373840264</c:v>
                </c:pt>
                <c:pt idx="929">
                  <c:v>56.288824373840264</c:v>
                </c:pt>
                <c:pt idx="930">
                  <c:v>56.288824373840264</c:v>
                </c:pt>
                <c:pt idx="931">
                  <c:v>56.288824373840264</c:v>
                </c:pt>
                <c:pt idx="932">
                  <c:v>56.288824373840264</c:v>
                </c:pt>
                <c:pt idx="933">
                  <c:v>56.288824373840264</c:v>
                </c:pt>
                <c:pt idx="934">
                  <c:v>56.288824373840264</c:v>
                </c:pt>
                <c:pt idx="935">
                  <c:v>56.288824373840264</c:v>
                </c:pt>
                <c:pt idx="936">
                  <c:v>56.288824373840264</c:v>
                </c:pt>
                <c:pt idx="937">
                  <c:v>56.288824373840264</c:v>
                </c:pt>
                <c:pt idx="938">
                  <c:v>56.288824373840264</c:v>
                </c:pt>
                <c:pt idx="939">
                  <c:v>56.288824373840264</c:v>
                </c:pt>
                <c:pt idx="940">
                  <c:v>56.288824373840264</c:v>
                </c:pt>
                <c:pt idx="941">
                  <c:v>56.288824373840264</c:v>
                </c:pt>
                <c:pt idx="942">
                  <c:v>56.288824373840264</c:v>
                </c:pt>
                <c:pt idx="943">
                  <c:v>56.288824373840264</c:v>
                </c:pt>
                <c:pt idx="944">
                  <c:v>56.288824373840264</c:v>
                </c:pt>
                <c:pt idx="945">
                  <c:v>56.288824373840264</c:v>
                </c:pt>
                <c:pt idx="946">
                  <c:v>56.288824373840264</c:v>
                </c:pt>
                <c:pt idx="947">
                  <c:v>56.288824373840264</c:v>
                </c:pt>
                <c:pt idx="948">
                  <c:v>56.288824373840264</c:v>
                </c:pt>
                <c:pt idx="949">
                  <c:v>56.288824373840264</c:v>
                </c:pt>
                <c:pt idx="950">
                  <c:v>56.288824373840264</c:v>
                </c:pt>
                <c:pt idx="951">
                  <c:v>56.288824373840264</c:v>
                </c:pt>
                <c:pt idx="952">
                  <c:v>56.288824373840264</c:v>
                </c:pt>
                <c:pt idx="953">
                  <c:v>56.288824373840264</c:v>
                </c:pt>
                <c:pt idx="954">
                  <c:v>56.288824373840264</c:v>
                </c:pt>
                <c:pt idx="955">
                  <c:v>56.288824373840264</c:v>
                </c:pt>
                <c:pt idx="956">
                  <c:v>56.288824373840264</c:v>
                </c:pt>
                <c:pt idx="957">
                  <c:v>56.288824373840264</c:v>
                </c:pt>
                <c:pt idx="958">
                  <c:v>56.288824373840264</c:v>
                </c:pt>
                <c:pt idx="959">
                  <c:v>56.288824373840264</c:v>
                </c:pt>
                <c:pt idx="960">
                  <c:v>56.288824373840264</c:v>
                </c:pt>
                <c:pt idx="961">
                  <c:v>56.288824373840264</c:v>
                </c:pt>
                <c:pt idx="962">
                  <c:v>56.288824373840264</c:v>
                </c:pt>
                <c:pt idx="963">
                  <c:v>56.288824373840264</c:v>
                </c:pt>
                <c:pt idx="964">
                  <c:v>56.288824373840264</c:v>
                </c:pt>
                <c:pt idx="965">
                  <c:v>56.288824373840264</c:v>
                </c:pt>
                <c:pt idx="966">
                  <c:v>56.288824373840264</c:v>
                </c:pt>
                <c:pt idx="967">
                  <c:v>56.288824373840264</c:v>
                </c:pt>
                <c:pt idx="968">
                  <c:v>56.288824373840264</c:v>
                </c:pt>
                <c:pt idx="969">
                  <c:v>56.288824373840264</c:v>
                </c:pt>
                <c:pt idx="970">
                  <c:v>56.288824373840264</c:v>
                </c:pt>
                <c:pt idx="971">
                  <c:v>56.288824373840264</c:v>
                </c:pt>
                <c:pt idx="972">
                  <c:v>56.288824373840264</c:v>
                </c:pt>
                <c:pt idx="973">
                  <c:v>56.288824373840264</c:v>
                </c:pt>
                <c:pt idx="974">
                  <c:v>56.288824373840264</c:v>
                </c:pt>
                <c:pt idx="975">
                  <c:v>56.288824373840264</c:v>
                </c:pt>
                <c:pt idx="976">
                  <c:v>56.288824373840264</c:v>
                </c:pt>
                <c:pt idx="977">
                  <c:v>56.288824373840264</c:v>
                </c:pt>
                <c:pt idx="978">
                  <c:v>56.288824373840264</c:v>
                </c:pt>
                <c:pt idx="979">
                  <c:v>56.288824373840264</c:v>
                </c:pt>
                <c:pt idx="980">
                  <c:v>56.288824373840264</c:v>
                </c:pt>
                <c:pt idx="981">
                  <c:v>56.288824373840264</c:v>
                </c:pt>
                <c:pt idx="982">
                  <c:v>56.288824373840264</c:v>
                </c:pt>
                <c:pt idx="983">
                  <c:v>56.288824373840264</c:v>
                </c:pt>
                <c:pt idx="984">
                  <c:v>56.288824373840264</c:v>
                </c:pt>
                <c:pt idx="985">
                  <c:v>56.288824373840264</c:v>
                </c:pt>
                <c:pt idx="986">
                  <c:v>56.288824373840264</c:v>
                </c:pt>
                <c:pt idx="987">
                  <c:v>56.288824373840264</c:v>
                </c:pt>
                <c:pt idx="988">
                  <c:v>56.288824373840264</c:v>
                </c:pt>
                <c:pt idx="989">
                  <c:v>56.288824373840264</c:v>
                </c:pt>
                <c:pt idx="990">
                  <c:v>56.288824373840264</c:v>
                </c:pt>
                <c:pt idx="991">
                  <c:v>56.288824373840264</c:v>
                </c:pt>
                <c:pt idx="992">
                  <c:v>56.288824373840264</c:v>
                </c:pt>
                <c:pt idx="993">
                  <c:v>56.288824373840264</c:v>
                </c:pt>
                <c:pt idx="994">
                  <c:v>56.288824373840264</c:v>
                </c:pt>
                <c:pt idx="995">
                  <c:v>56.288824373840264</c:v>
                </c:pt>
                <c:pt idx="996">
                  <c:v>56.288824373840264</c:v>
                </c:pt>
                <c:pt idx="997">
                  <c:v>56.288824373840264</c:v>
                </c:pt>
                <c:pt idx="998">
                  <c:v>56.288824373840264</c:v>
                </c:pt>
                <c:pt idx="999">
                  <c:v>56.288824373840264</c:v>
                </c:pt>
                <c:pt idx="1000">
                  <c:v>56.288824373840264</c:v>
                </c:pt>
              </c:numCache>
            </c:numRef>
          </c:xVal>
          <c:yVal>
            <c:numRef>
              <c:f>Calculs!$AE$4:$AE$1004</c:f>
              <c:numCache>
                <c:formatCode>0</c:formatCode>
                <c:ptCount val="1001"/>
                <c:pt idx="0">
                  <c:v>0</c:v>
                </c:pt>
                <c:pt idx="1">
                  <c:v>9.5476849499258624E-4</c:v>
                </c:pt>
                <c:pt idx="2">
                  <c:v>6.7041506585954914E-3</c:v>
                </c:pt>
                <c:pt idx="3">
                  <c:v>2.1347892084722167E-2</c:v>
                </c:pt>
                <c:pt idx="4">
                  <c:v>4.5641448750859806E-2</c:v>
                </c:pt>
                <c:pt idx="5">
                  <c:v>7.8886855363211827E-2</c:v>
                </c:pt>
                <c:pt idx="6">
                  <c:v>0.12082755256820427</c:v>
                </c:pt>
                <c:pt idx="7">
                  <c:v>0.17142780490487936</c:v>
                </c:pt>
                <c:pt idx="8">
                  <c:v>0.23065163508789061</c:v>
                </c:pt>
                <c:pt idx="9">
                  <c:v>0.29846282623171161</c:v>
                </c:pt>
                <c:pt idx="10">
                  <c:v>0.37482492409416895</c:v>
                </c:pt>
                <c:pt idx="11">
                  <c:v>0.45970123933881296</c:v>
                </c:pt>
                <c:pt idx="12">
                  <c:v>0.55305484981563557</c:v>
                </c:pt>
                <c:pt idx="13">
                  <c:v>0.65484860285964364</c:v>
                </c:pt>
                <c:pt idx="14">
                  <c:v>0.76504511760679228</c:v>
                </c:pt>
                <c:pt idx="15">
                  <c:v>0.88360678732678144</c:v>
                </c:pt>
                <c:pt idx="16">
                  <c:v>1.010495781772216</c:v>
                </c:pt>
                <c:pt idx="17">
                  <c:v>1.1456740495436277</c:v>
                </c:pt>
                <c:pt idx="18">
                  <c:v>1.2891033204698563</c:v>
                </c:pt>
                <c:pt idx="19">
                  <c:v>1.4407451080032851</c:v>
                </c:pt>
                <c:pt idx="20">
                  <c:v>1.6005607116294238</c:v>
                </c:pt>
                <c:pt idx="21">
                  <c:v>1.7685112192903334</c:v>
                </c:pt>
                <c:pt idx="22">
                  <c:v>1.9445575098213814</c:v>
                </c:pt>
                <c:pt idx="23">
                  <c:v>2.1286602554008214</c:v>
                </c:pt>
                <c:pt idx="24">
                  <c:v>2.3207799240116849</c:v>
                </c:pt>
                <c:pt idx="25">
                  <c:v>2.5208767819154749</c:v>
                </c:pt>
                <c:pt idx="26">
                  <c:v>2.7289071684632513</c:v>
                </c:pt>
                <c:pt idx="27">
                  <c:v>2.9448270722619618</c:v>
                </c:pt>
                <c:pt idx="28">
                  <c:v>3.1685958650668411</c:v>
                </c:pt>
                <c:pt idx="29">
                  <c:v>3.4001727359070255</c:v>
                </c:pt>
                <c:pt idx="30">
                  <c:v>3.6395166948821154</c:v>
                </c:pt>
                <c:pt idx="31">
                  <c:v>3.8865865751309832</c:v>
                </c:pt>
                <c:pt idx="32">
                  <c:v>4.1413410348610018</c:v>
                </c:pt>
                <c:pt idx="33">
                  <c:v>4.4037385594307912</c:v>
                </c:pt>
                <c:pt idx="34">
                  <c:v>4.6737374634805438</c:v>
                </c:pt>
                <c:pt idx="35">
                  <c:v>4.9512958931047795</c:v>
                </c:pt>
                <c:pt idx="36">
                  <c:v>5.2363718280630369</c:v>
                </c:pt>
                <c:pt idx="37">
                  <c:v>5.5289230840245649</c:v>
                </c:pt>
                <c:pt idx="38">
                  <c:v>5.8289073148435193</c:v>
                </c:pt>
                <c:pt idx="39">
                  <c:v>6.1362820148615835</c:v>
                </c:pt>
                <c:pt idx="40">
                  <c:v>6.4510045212352356</c:v>
                </c:pt>
                <c:pt idx="41">
                  <c:v>6.773032016285188</c:v>
                </c:pt>
                <c:pt idx="42">
                  <c:v>7.1023215298657449</c:v>
                </c:pt>
                <c:pt idx="43">
                  <c:v>7.4388299417520543</c:v>
                </c:pt>
                <c:pt idx="44">
                  <c:v>7.7825139840433817</c:v>
                </c:pt>
                <c:pt idx="45">
                  <c:v>8.133330243580712</c:v>
                </c:pt>
                <c:pt idx="46">
                  <c:v>8.4912351643771107</c:v>
                </c:pt>
                <c:pt idx="47">
                  <c:v>8.856185050059393</c:v>
                </c:pt>
                <c:pt idx="48">
                  <c:v>9.2281360663197596</c:v>
                </c:pt>
                <c:pt idx="49">
                  <c:v>9.6070442433761354</c:v>
                </c:pt>
                <c:pt idx="50">
                  <c:v>9.9928654784400557</c:v>
                </c:pt>
                <c:pt idx="51">
                  <c:v>10.385555538190985</c:v>
                </c:pt>
                <c:pt idx="52">
                  <c:v>10.785070061256034</c:v>
                </c:pt>
                <c:pt idx="53">
                  <c:v>11.191364560694105</c:v>
                </c:pt>
                <c:pt idx="54">
                  <c:v>11.604394426483534</c:v>
                </c:pt>
                <c:pt idx="55">
                  <c:v>12.024114928012343</c:v>
                </c:pt>
                <c:pt idx="56">
                  <c:v>12.450481216570271</c:v>
                </c:pt>
                <c:pt idx="57">
                  <c:v>12.883448327841787</c:v>
                </c:pt>
                <c:pt idx="58">
                  <c:v>13.322971184399307</c:v>
                </c:pt>
                <c:pt idx="59">
                  <c:v>13.769004598195895</c:v>
                </c:pt>
                <c:pt idx="60">
                  <c:v>14.221503273056737</c:v>
                </c:pt>
                <c:pt idx="61">
                  <c:v>14.680421807168704</c:v>
                </c:pt>
                <c:pt idx="62">
                  <c:v>15.145714695567374</c:v>
                </c:pt>
                <c:pt idx="63">
                  <c:v>15.617316903013398</c:v>
                </c:pt>
                <c:pt idx="64">
                  <c:v>16.095124431270687</c:v>
                </c:pt>
                <c:pt idx="65">
                  <c:v>16.579013756530479</c:v>
                </c:pt>
                <c:pt idx="66">
                  <c:v>17.068861275233086</c:v>
                </c:pt>
                <c:pt idx="67">
                  <c:v>17.564525493092628</c:v>
                </c:pt>
                <c:pt idx="68">
                  <c:v>18.065829212405738</c:v>
                </c:pt>
                <c:pt idx="69">
                  <c:v>18.572545671116956</c:v>
                </c:pt>
                <c:pt idx="70">
                  <c:v>19.084384688712674</c:v>
                </c:pt>
                <c:pt idx="71">
                  <c:v>19.601024408415785</c:v>
                </c:pt>
                <c:pt idx="72">
                  <c:v>20.122143044437539</c:v>
                </c:pt>
                <c:pt idx="73">
                  <c:v>20.647418910002198</c:v>
                </c:pt>
                <c:pt idx="74">
                  <c:v>21.17653044456943</c:v>
                </c:pt>
                <c:pt idx="75">
                  <c:v>21.709156240248184</c:v>
                </c:pt>
                <c:pt idx="76">
                  <c:v>22.244975067396553</c:v>
                </c:pt>
                <c:pt idx="77">
                  <c:v>22.783665899402816</c:v>
                </c:pt>
                <c:pt idx="78">
                  <c:v>23.324907936643587</c:v>
                </c:pt>
                <c:pt idx="79">
                  <c:v>23.868380629615611</c:v>
                </c:pt>
                <c:pt idx="80">
                  <c:v>24.413763701238416</c:v>
                </c:pt>
                <c:pt idx="81">
                  <c:v>24.960774904383236</c:v>
                </c:pt>
                <c:pt idx="82">
                  <c:v>25.509207741852734</c:v>
                </c:pt>
                <c:pt idx="83">
                  <c:v>26.058893663775766</c:v>
                </c:pt>
                <c:pt idx="84">
                  <c:v>26.609664294624221</c:v>
                </c:pt>
                <c:pt idx="85">
                  <c:v>27.161351439129472</c:v>
                </c:pt>
                <c:pt idx="86">
                  <c:v>27.713787087965549</c:v>
                </c:pt>
                <c:pt idx="87">
                  <c:v>28.266803423199537</c:v>
                </c:pt>
                <c:pt idx="88">
                  <c:v>28.820232823509691</c:v>
                </c:pt>
                <c:pt idx="89">
                  <c:v>29.373919794083825</c:v>
                </c:pt>
                <c:pt idx="90">
                  <c:v>29.927732881649849</c:v>
                </c:pt>
                <c:pt idx="91">
                  <c:v>30.481552722841503</c:v>
                </c:pt>
                <c:pt idx="92">
                  <c:v>31.035260105954482</c:v>
                </c:pt>
                <c:pt idx="93">
                  <c:v>31.588738954775391</c:v>
                </c:pt>
                <c:pt idx="94">
                  <c:v>32.141879308374747</c:v>
                </c:pt>
                <c:pt idx="95">
                  <c:v>32.694574333077455</c:v>
                </c:pt>
                <c:pt idx="96">
                  <c:v>33.246717338059348</c:v>
                </c:pt>
                <c:pt idx="97">
                  <c:v>33.79821370453071</c:v>
                </c:pt>
                <c:pt idx="98">
                  <c:v>34.348992798283383</c:v>
                </c:pt>
                <c:pt idx="99">
                  <c:v>34.898996009247092</c:v>
                </c:pt>
                <c:pt idx="100">
                  <c:v>35.448164807077475</c:v>
                </c:pt>
                <c:pt idx="101">
                  <c:v>35.996440741261011</c:v>
                </c:pt>
                <c:pt idx="102">
                  <c:v>36.543765441193187</c:v>
                </c:pt>
                <c:pt idx="103">
                  <c:v>37.090080616230161</c:v>
                </c:pt>
                <c:pt idx="104">
                  <c:v>37.63532805571402</c:v>
                </c:pt>
                <c:pt idx="105">
                  <c:v>38.179449628971888</c:v>
                </c:pt>
                <c:pt idx="106">
                  <c:v>38.72238728528901</c:v>
                </c:pt>
                <c:pt idx="107">
                  <c:v>39.264083053856019</c:v>
                </c:pt>
                <c:pt idx="108">
                  <c:v>39.804479043690584</c:v>
                </c:pt>
                <c:pt idx="109">
                  <c:v>40.343532352230483</c:v>
                </c:pt>
                <c:pt idx="110">
                  <c:v>40.881229951784142</c:v>
                </c:pt>
                <c:pt idx="111">
                  <c:v>41.41757373720128</c:v>
                </c:pt>
                <c:pt idx="112">
                  <c:v>41.952565595747878</c:v>
                </c:pt>
                <c:pt idx="113">
                  <c:v>42.486207407138416</c:v>
                </c:pt>
                <c:pt idx="114">
                  <c:v>43.018501043567888</c:v>
                </c:pt>
                <c:pt idx="115">
                  <c:v>43.549448369743658</c:v>
                </c:pt>
                <c:pt idx="116">
                  <c:v>44.079051242917082</c:v>
                </c:pt>
                <c:pt idx="117">
                  <c:v>44.607311512914997</c:v>
                </c:pt>
                <c:pt idx="118">
                  <c:v>45.134231022170979</c:v>
                </c:pt>
                <c:pt idx="119">
                  <c:v>45.659811605756445</c:v>
                </c:pt>
                <c:pt idx="120">
                  <c:v>46.184055091411544</c:v>
                </c:pt>
                <c:pt idx="121">
                  <c:v>46.706963299575904</c:v>
                </c:pt>
                <c:pt idx="122">
                  <c:v>47.228538043419157</c:v>
                </c:pt>
                <c:pt idx="123">
                  <c:v>47.748781128871315</c:v>
                </c:pt>
                <c:pt idx="124">
                  <c:v>48.267694354652932</c:v>
                </c:pt>
                <c:pt idx="125">
                  <c:v>48.785279512305145</c:v>
                </c:pt>
                <c:pt idx="126">
                  <c:v>49.30153838621947</c:v>
                </c:pt>
                <c:pt idx="127">
                  <c:v>49.816472753667476</c:v>
                </c:pt>
                <c:pt idx="128">
                  <c:v>50.330084384830265</c:v>
                </c:pt>
                <c:pt idx="129">
                  <c:v>50.842375042827769</c:v>
                </c:pt>
                <c:pt idx="130">
                  <c:v>51.353346483747899</c:v>
                </c:pt>
                <c:pt idx="131">
                  <c:v>51.863000456675501</c:v>
                </c:pt>
                <c:pt idx="132">
                  <c:v>52.371338703721158</c:v>
                </c:pt>
                <c:pt idx="133">
                  <c:v>52.878362960049799</c:v>
                </c:pt>
                <c:pt idx="134">
                  <c:v>53.384074953909192</c:v>
                </c:pt>
                <c:pt idx="135">
                  <c:v>53.888476406658214</c:v>
                </c:pt>
                <c:pt idx="136">
                  <c:v>54.391569032794976</c:v>
                </c:pt>
                <c:pt idx="137">
                  <c:v>54.893354539984799</c:v>
                </c:pt>
                <c:pt idx="138">
                  <c:v>55.393834629088019</c:v>
                </c:pt>
                <c:pt idx="139">
                  <c:v>55.893010994187613</c:v>
                </c:pt>
                <c:pt idx="140">
                  <c:v>56.390885322616697</c:v>
                </c:pt>
                <c:pt idx="141">
                  <c:v>56.887459294985817</c:v>
                </c:pt>
                <c:pt idx="142">
                  <c:v>57.382734585210144</c:v>
                </c:pt>
                <c:pt idx="143">
                  <c:v>57.876712860536443</c:v>
                </c:pt>
                <c:pt idx="144">
                  <c:v>58.369395781569949</c:v>
                </c:pt>
                <c:pt idx="145">
                  <c:v>58.860785002301036</c:v>
                </c:pt>
                <c:pt idx="146">
                  <c:v>59.350882170131769</c:v>
                </c:pt>
                <c:pt idx="147">
                  <c:v>59.839688925902266</c:v>
                </c:pt>
                <c:pt idx="148">
                  <c:v>60.327206903916952</c:v>
                </c:pt>
                <c:pt idx="149">
                  <c:v>60.813437731970623</c:v>
                </c:pt>
                <c:pt idx="150">
                  <c:v>61.298383031374371</c:v>
                </c:pt>
                <c:pt idx="151">
                  <c:v>61.782044416981378</c:v>
                </c:pt>
                <c:pt idx="152">
                  <c:v>62.264423497212526</c:v>
                </c:pt>
                <c:pt idx="153">
                  <c:v>62.745521874081895</c:v>
                </c:pt>
                <c:pt idx="154">
                  <c:v>63.225341143222082</c:v>
                </c:pt>
                <c:pt idx="155">
                  <c:v>63.703882893909409</c:v>
                </c:pt>
                <c:pt idx="156">
                  <c:v>64.181148709088944</c:v>
                </c:pt>
                <c:pt idx="157">
                  <c:v>64.657140165399426</c:v>
                </c:pt>
                <c:pt idx="158">
                  <c:v>65.13185883319801</c:v>
                </c:pt>
                <c:pt idx="159">
                  <c:v>65.605306276584869</c:v>
                </c:pt>
                <c:pt idx="160">
                  <c:v>66.07748405342771</c:v>
                </c:pt>
                <c:pt idx="161">
                  <c:v>66.548393715386041</c:v>
                </c:pt>
                <c:pt idx="162">
                  <c:v>67.018036807935431</c:v>
                </c:pt>
                <c:pt idx="163">
                  <c:v>67.486414870391528</c:v>
                </c:pt>
                <c:pt idx="164">
                  <c:v>67.953529435933987</c:v>
                </c:pt>
                <c:pt idx="165">
                  <c:v>68.419382031630249</c:v>
                </c:pt>
                <c:pt idx="166">
                  <c:v>68.883974178459198</c:v>
                </c:pt>
                <c:pt idx="167">
                  <c:v>69.347307391334652</c:v>
                </c:pt>
                <c:pt idx="168">
                  <c:v>69.809383179128758</c:v>
                </c:pt>
                <c:pt idx="169">
                  <c:v>70.270203044695222</c:v>
                </c:pt>
                <c:pt idx="170">
                  <c:v>70.729768484892418</c:v>
                </c:pt>
                <c:pt idx="171">
                  <c:v>71.188080990606366</c:v>
                </c:pt>
                <c:pt idx="172">
                  <c:v>71.6451420467736</c:v>
                </c:pt>
                <c:pt idx="173">
                  <c:v>72.100953132403873</c:v>
                </c:pt>
                <c:pt idx="174">
                  <c:v>72.555515720602742</c:v>
                </c:pt>
                <c:pt idx="175">
                  <c:v>73.008831278594016</c:v>
                </c:pt>
                <c:pt idx="176">
                  <c:v>73.460901267742116</c:v>
                </c:pt>
                <c:pt idx="177">
                  <c:v>73.911727143574268</c:v>
                </c:pt>
                <c:pt idx="178">
                  <c:v>74.361310355802573</c:v>
                </c:pt>
                <c:pt idx="179">
                  <c:v>74.809652348345992</c:v>
                </c:pt>
                <c:pt idx="180">
                  <c:v>75.256754559352117</c:v>
                </c:pt>
                <c:pt idx="181">
                  <c:v>75.702618421218958</c:v>
                </c:pt>
                <c:pt idx="182">
                  <c:v>76.147245360616452</c:v>
                </c:pt>
                <c:pt idx="183">
                  <c:v>76.590636798507987</c:v>
                </c:pt>
                <c:pt idx="184">
                  <c:v>77.032794150171682</c:v>
                </c:pt>
                <c:pt idx="185">
                  <c:v>77.473718825221653</c:v>
                </c:pt>
                <c:pt idx="186">
                  <c:v>77.913412227629081</c:v>
                </c:pt>
                <c:pt idx="187">
                  <c:v>78.351875755743237</c:v>
                </c:pt>
                <c:pt idx="188">
                  <c:v>78.789110802312294</c:v>
                </c:pt>
                <c:pt idx="189">
                  <c:v>79.225118754504081</c:v>
                </c:pt>
                <c:pt idx="190">
                  <c:v>79.659900993926755</c:v>
                </c:pt>
                <c:pt idx="191">
                  <c:v>80.093458896649238</c:v>
                </c:pt>
                <c:pt idx="192">
                  <c:v>80.525793833221684</c:v>
                </c:pt>
                <c:pt idx="193">
                  <c:v>80.956907168695707</c:v>
                </c:pt>
                <c:pt idx="194">
                  <c:v>81.386800262644599</c:v>
                </c:pt>
                <c:pt idx="195">
                  <c:v>81.815474469183314</c:v>
                </c:pt>
                <c:pt idx="196">
                  <c:v>82.242931136988474</c:v>
                </c:pt>
                <c:pt idx="197">
                  <c:v>82.66917160931817</c:v>
                </c:pt>
                <c:pt idx="198">
                  <c:v>83.09419722403166</c:v>
                </c:pt>
                <c:pt idx="199">
                  <c:v>83.518009313609014</c:v>
                </c:pt>
                <c:pt idx="200">
                  <c:v>83.940609205170588</c:v>
                </c:pt>
                <c:pt idx="201">
                  <c:v>88.10003960790084</c:v>
                </c:pt>
                <c:pt idx="202">
                  <c:v>92.13909652460832</c:v>
                </c:pt>
                <c:pt idx="203">
                  <c:v>96.059050358541484</c:v>
                </c:pt>
                <c:pt idx="204">
                  <c:v>99.861120497665453</c:v>
                </c:pt>
                <c:pt idx="205">
                  <c:v>103.5464770759672</c:v>
                </c:pt>
                <c:pt idx="206">
                  <c:v>107.11624263826782</c:v>
                </c:pt>
                <c:pt idx="207">
                  <c:v>110.5714937140406</c:v>
                </c:pt>
                <c:pt idx="208">
                  <c:v>113.91326230534288</c:v>
                </c:pt>
                <c:pt idx="209">
                  <c:v>117.14253729360945</c:v>
                </c:pt>
                <c:pt idx="210">
                  <c:v>120.26026576972284</c:v>
                </c:pt>
                <c:pt idx="211">
                  <c:v>123.26735429146969</c:v>
                </c:pt>
                <c:pt idx="212">
                  <c:v>126.16467007220953</c:v>
                </c:pt>
                <c:pt idx="213">
                  <c:v>128.95304210432133</c:v>
                </c:pt>
                <c:pt idx="214">
                  <c:v>131.6332622207529</c:v>
                </c:pt>
                <c:pt idx="215">
                  <c:v>134.20608609777705</c:v>
                </c:pt>
                <c:pt idx="216">
                  <c:v>136.67223420185522</c:v>
                </c:pt>
                <c:pt idx="217">
                  <c:v>139.03239268332396</c:v>
                </c:pt>
                <c:pt idx="218">
                  <c:v>141.28721421945218</c:v>
                </c:pt>
                <c:pt idx="219">
                  <c:v>143.43731880926651</c:v>
                </c:pt>
                <c:pt idx="220">
                  <c:v>145.48329452241197</c:v>
                </c:pt>
                <c:pt idx="221">
                  <c:v>147.4256982042053</c:v>
                </c:pt>
                <c:pt idx="222">
                  <c:v>149.26505613895472</c:v>
                </c:pt>
                <c:pt idx="223">
                  <c:v>151.00186467356687</c:v>
                </c:pt>
                <c:pt idx="224">
                  <c:v>152.63659080345235</c:v>
                </c:pt>
                <c:pt idx="225">
                  <c:v>154.16967272278825</c:v>
                </c:pt>
                <c:pt idx="226">
                  <c:v>155.60152034132884</c:v>
                </c:pt>
                <c:pt idx="227">
                  <c:v>156.9325157702136</c:v>
                </c:pt>
                <c:pt idx="228">
                  <c:v>158.16301377967667</c:v>
                </c:pt>
                <c:pt idx="229">
                  <c:v>159.29334223232712</c:v>
                </c:pt>
                <c:pt idx="230">
                  <c:v>160.32380249694458</c:v>
                </c:pt>
                <c:pt idx="231">
                  <c:v>161.25466984986136</c:v>
                </c:pt>
                <c:pt idx="232">
                  <c:v>162.08619387458521</c:v>
                </c:pt>
                <c:pt idx="233">
                  <c:v>162.8185988764416</c:v>
                </c:pt>
                <c:pt idx="234">
                  <c:v>163.45208433963256</c:v>
                </c:pt>
                <c:pt idx="235">
                  <c:v>163.986825472704</c:v>
                </c:pt>
                <c:pt idx="236">
                  <c:v>164.42297392092351</c:v>
                </c:pt>
                <c:pt idx="237">
                  <c:v>164.76065877942563</c:v>
                </c:pt>
                <c:pt idx="238">
                  <c:v>164.99998812813877</c:v>
                </c:pt>
                <c:pt idx="239">
                  <c:v>165.14105142193264</c:v>
                </c:pt>
                <c:pt idx="240">
                  <c:v>165.18392314444216</c:v>
                </c:pt>
                <c:pt idx="241">
                  <c:v>165.12866801184336</c:v>
                </c:pt>
                <c:pt idx="242">
                  <c:v>164.9753475341864</c:v>
                </c:pt>
                <c:pt idx="243">
                  <c:v>164.72402706995669</c:v>
                </c:pt>
                <c:pt idx="244">
                  <c:v>164.37478220468753</c:v>
                </c:pt>
                <c:pt idx="245">
                  <c:v>163.92770366236198</c:v>
                </c:pt>
                <c:pt idx="246">
                  <c:v>163.38290063297231</c:v>
                </c:pt>
                <c:pt idx="247">
                  <c:v>162.74050283522681</c:v>
                </c:pt>
                <c:pt idx="248">
                  <c:v>162.00066172111823</c:v>
                </c:pt>
                <c:pt idx="249">
                  <c:v>161.16355114260585</c:v>
                </c:pt>
                <c:pt idx="250">
                  <c:v>160.22936768916352</c:v>
                </c:pt>
                <c:pt idx="251">
                  <c:v>159.19833082159258</c:v>
                </c:pt>
                <c:pt idx="252">
                  <c:v>158.07068287533076</c:v>
                </c:pt>
                <c:pt idx="253">
                  <c:v>156.84668897603291</c:v>
                </c:pt>
                <c:pt idx="254">
                  <c:v>155.52663689280709</c:v>
                </c:pt>
                <c:pt idx="255">
                  <c:v>154.1108368445465</c:v>
                </c:pt>
                <c:pt idx="256">
                  <c:v>152.59962126904048</c:v>
                </c:pt>
                <c:pt idx="257">
                  <c:v>150.9933445611577</c:v>
                </c:pt>
                <c:pt idx="258">
                  <c:v>149.29238278435668</c:v>
                </c:pt>
                <c:pt idx="259">
                  <c:v>147.49713335853306</c:v>
                </c:pt>
                <c:pt idx="260">
                  <c:v>145.60801472643632</c:v>
                </c:pt>
                <c:pt idx="261">
                  <c:v>143.62546600039684</c:v>
                </c:pt>
                <c:pt idx="262">
                  <c:v>141.54994659079031</c:v>
                </c:pt>
                <c:pt idx="263">
                  <c:v>139.38193581746179</c:v>
                </c:pt>
                <c:pt idx="264">
                  <c:v>137.12193250519931</c:v>
                </c:pt>
                <c:pt idx="265">
                  <c:v>134.77045456425907</c:v>
                </c:pt>
                <c:pt idx="266">
                  <c:v>132.32803855688812</c:v>
                </c:pt>
                <c:pt idx="267">
                  <c:v>129.79523925075134</c:v>
                </c:pt>
                <c:pt idx="268">
                  <c:v>127.17262916014595</c:v>
                </c:pt>
                <c:pt idx="269">
                  <c:v>124.46079807586914</c:v>
                </c:pt>
                <c:pt idx="270">
                  <c:v>121.66035258459372</c:v>
                </c:pt>
                <c:pt idx="271">
                  <c:v>118.77191557859807</c:v>
                </c:pt>
                <c:pt idx="272">
                  <c:v>115.7961257566901</c:v>
                </c:pt>
                <c:pt idx="273">
                  <c:v>112.73363711715946</c:v>
                </c:pt>
                <c:pt idx="274">
                  <c:v>109.58511844358586</c:v>
                </c:pt>
                <c:pt idx="275">
                  <c:v>106.35125278432541</c:v>
                </c:pt>
                <c:pt idx="276">
                  <c:v>103.03273692648965</c:v>
                </c:pt>
                <c:pt idx="277">
                  <c:v>99.630280865223597</c:v>
                </c:pt>
                <c:pt idx="278">
                  <c:v>96.144607269080225</c:v>
                </c:pt>
                <c:pt idx="279">
                  <c:v>92.57645094227756</c:v>
                </c:pt>
                <c:pt idx="280">
                  <c:v>88.92655828461325</c:v>
                </c:pt>
                <c:pt idx="281">
                  <c:v>85.195686749797787</c:v>
                </c:pt>
                <c:pt idx="282">
                  <c:v>81.384604302953321</c:v>
                </c:pt>
                <c:pt idx="283">
                  <c:v>77.494088878008881</c:v>
                </c:pt>
                <c:pt idx="284">
                  <c:v>73.524927835706109</c:v>
                </c:pt>
                <c:pt idx="285">
                  <c:v>69.477917422911105</c:v>
                </c:pt>
                <c:pt idx="286">
                  <c:v>65.353862233908828</c:v>
                </c:pt>
                <c:pt idx="287">
                  <c:v>61.153574674336156</c:v>
                </c:pt>
                <c:pt idx="288">
                  <c:v>56.877874428388367</c:v>
                </c:pt>
                <c:pt idx="289">
                  <c:v>52.527587929911768</c:v>
                </c:pt>
                <c:pt idx="290">
                  <c:v>48.103547837972172</c:v>
                </c:pt>
                <c:pt idx="291">
                  <c:v>43.606592517465444</c:v>
                </c:pt>
                <c:pt idx="292">
                  <c:v>39.037565525312054</c:v>
                </c:pt>
                <c:pt idx="293">
                  <c:v>34.397315102752962</c:v>
                </c:pt>
                <c:pt idx="294">
                  <c:v>29.686693674238942</c:v>
                </c:pt>
                <c:pt idx="295">
                  <c:v>24.906557353380094</c:v>
                </c:pt>
                <c:pt idx="296">
                  <c:v>20.057765456396496</c:v>
                </c:pt>
                <c:pt idx="297">
                  <c:v>15.141180023485148</c:v>
                </c:pt>
                <c:pt idx="298">
                  <c:v>10.157665348492372</c:v>
                </c:pt>
                <c:pt idx="299">
                  <c:v>5.1080875172548428</c:v>
                </c:pt>
                <c:pt idx="300">
                  <c:v>-6.6860450534402815E-3</c:v>
                </c:pt>
                <c:pt idx="301">
                  <c:v>-1.183323143211765E-2</c:v>
                </c:pt>
                <c:pt idx="302">
                  <c:v>-1.6980481703443604E-2</c:v>
                </c:pt>
                <c:pt idx="303">
                  <c:v>-2.2127795866555042E-2</c:v>
                </c:pt>
                <c:pt idx="304">
                  <c:v>-2.7275173920588862E-2</c:v>
                </c:pt>
                <c:pt idx="305">
                  <c:v>-3.2422615864681967E-2</c:v>
                </c:pt>
                <c:pt idx="306">
                  <c:v>-3.7570121697971262E-2</c:v>
                </c:pt>
                <c:pt idx="307">
                  <c:v>-4.271769141959364E-2</c:v>
                </c:pt>
                <c:pt idx="308">
                  <c:v>-4.7865325028686005E-2</c:v>
                </c:pt>
                <c:pt idx="309">
                  <c:v>-5.3013022524385264E-2</c:v>
                </c:pt>
                <c:pt idx="310">
                  <c:v>-5.8160783905828309E-2</c:v>
                </c:pt>
                <c:pt idx="311">
                  <c:v>-6.3308609172152044E-2</c:v>
                </c:pt>
                <c:pt idx="312">
                  <c:v>-6.845649832249337E-2</c:v>
                </c:pt>
                <c:pt idx="313">
                  <c:v>-7.360445135598917E-2</c:v>
                </c:pt>
                <c:pt idx="314">
                  <c:v>-7.8752468271776357E-2</c:v>
                </c:pt>
                <c:pt idx="315">
                  <c:v>-8.3900549068991831E-2</c:v>
                </c:pt>
                <c:pt idx="316">
                  <c:v>-8.9048693746772489E-2</c:v>
                </c:pt>
                <c:pt idx="317">
                  <c:v>-9.4196902304255231E-2</c:v>
                </c:pt>
                <c:pt idx="318">
                  <c:v>-9.9345174740576955E-2</c:v>
                </c:pt>
                <c:pt idx="319">
                  <c:v>-0.10449351105487456</c:v>
                </c:pt>
                <c:pt idx="320">
                  <c:v>-0.10964191124628495</c:v>
                </c:pt>
                <c:pt idx="321">
                  <c:v>-0.11479037531394501</c:v>
                </c:pt>
                <c:pt idx="322">
                  <c:v>-0.11993890325699165</c:v>
                </c:pt>
                <c:pt idx="323">
                  <c:v>-0.12508749507456177</c:v>
                </c:pt>
                <c:pt idx="324">
                  <c:v>-0.13023615076579226</c:v>
                </c:pt>
                <c:pt idx="325">
                  <c:v>-0.13538487032982002</c:v>
                </c:pt>
                <c:pt idx="326">
                  <c:v>-0.14053365376578195</c:v>
                </c:pt>
                <c:pt idx="327">
                  <c:v>-0.14568250107281494</c:v>
                </c:pt>
                <c:pt idx="328">
                  <c:v>-0.15083141225005589</c:v>
                </c:pt>
                <c:pt idx="329">
                  <c:v>-0.15598038729664168</c:v>
                </c:pt>
                <c:pt idx="330">
                  <c:v>-0.16112942621170923</c:v>
                </c:pt>
                <c:pt idx="331">
                  <c:v>-0.16627852899439544</c:v>
                </c:pt>
                <c:pt idx="332">
                  <c:v>-0.1714276956438372</c:v>
                </c:pt>
                <c:pt idx="333">
                  <c:v>-0.17657692615917139</c:v>
                </c:pt>
                <c:pt idx="334">
                  <c:v>-0.18172622053953494</c:v>
                </c:pt>
                <c:pt idx="335">
                  <c:v>-0.18687557878406472</c:v>
                </c:pt>
                <c:pt idx="336">
                  <c:v>-0.19202500089189761</c:v>
                </c:pt>
                <c:pt idx="337">
                  <c:v>-0.19717448686217054</c:v>
                </c:pt>
                <c:pt idx="338">
                  <c:v>-0.20232403669402038</c:v>
                </c:pt>
                <c:pt idx="339">
                  <c:v>-0.20747365038658405</c:v>
                </c:pt>
                <c:pt idx="340">
                  <c:v>-0.21262332793899844</c:v>
                </c:pt>
                <c:pt idx="341">
                  <c:v>-0.21777306935040042</c:v>
                </c:pt>
                <c:pt idx="342">
                  <c:v>-0.22292287461992691</c:v>
                </c:pt>
                <c:pt idx="343">
                  <c:v>-0.2280727437467148</c:v>
                </c:pt>
                <c:pt idx="344">
                  <c:v>-0.23322267672990099</c:v>
                </c:pt>
                <c:pt idx="345">
                  <c:v>-0.23837267356862235</c:v>
                </c:pt>
                <c:pt idx="346">
                  <c:v>-0.24352273426201582</c:v>
                </c:pt>
                <c:pt idx="347">
                  <c:v>-0.24867285880921824</c:v>
                </c:pt>
                <c:pt idx="348">
                  <c:v>-0.25382304720936655</c:v>
                </c:pt>
                <c:pt idx="349">
                  <c:v>-0.25897329946159758</c:v>
                </c:pt>
                <c:pt idx="350">
                  <c:v>-0.26412361556504832</c:v>
                </c:pt>
                <c:pt idx="351">
                  <c:v>-0.26927399551885561</c:v>
                </c:pt>
                <c:pt idx="352">
                  <c:v>-0.27442443932215632</c:v>
                </c:pt>
                <c:pt idx="353">
                  <c:v>-0.27957494697408736</c:v>
                </c:pt>
                <c:pt idx="354">
                  <c:v>-0.28472551847378563</c:v>
                </c:pt>
                <c:pt idx="355">
                  <c:v>-0.28987615382038806</c:v>
                </c:pt>
                <c:pt idx="356">
                  <c:v>-0.2950268530130315</c:v>
                </c:pt>
                <c:pt idx="357">
                  <c:v>-0.3001776160508528</c:v>
                </c:pt>
                <c:pt idx="358">
                  <c:v>-0.30532844293298894</c:v>
                </c:pt>
                <c:pt idx="359">
                  <c:v>-0.31047933365857677</c:v>
                </c:pt>
                <c:pt idx="360">
                  <c:v>-0.31563028822675315</c:v>
                </c:pt>
                <c:pt idx="361">
                  <c:v>-0.32078130663665505</c:v>
                </c:pt>
                <c:pt idx="362">
                  <c:v>-0.32593238888741932</c:v>
                </c:pt>
                <c:pt idx="363">
                  <c:v>-0.33108353497818283</c:v>
                </c:pt>
                <c:pt idx="364">
                  <c:v>-0.33623474490808247</c:v>
                </c:pt>
                <c:pt idx="365">
                  <c:v>-0.34138601867625518</c:v>
                </c:pt>
                <c:pt idx="366">
                  <c:v>-0.34653735628183785</c:v>
                </c:pt>
                <c:pt idx="367">
                  <c:v>-0.35168875772396735</c:v>
                </c:pt>
                <c:pt idx="368">
                  <c:v>-0.35684022300178053</c:v>
                </c:pt>
                <c:pt idx="369">
                  <c:v>-0.36199175211441431</c:v>
                </c:pt>
                <c:pt idx="370">
                  <c:v>-0.3671433450610056</c:v>
                </c:pt>
                <c:pt idx="371">
                  <c:v>-0.37229500184069131</c:v>
                </c:pt>
                <c:pt idx="372">
                  <c:v>-0.3774467224526083</c:v>
                </c:pt>
                <c:pt idx="373">
                  <c:v>-0.38259850689589342</c:v>
                </c:pt>
                <c:pt idx="374">
                  <c:v>-0.38775035516968365</c:v>
                </c:pt>
                <c:pt idx="375">
                  <c:v>-0.39290226727311578</c:v>
                </c:pt>
                <c:pt idx="376">
                  <c:v>-0.39805424320532679</c:v>
                </c:pt>
                <c:pt idx="377">
                  <c:v>-0.40320628296545352</c:v>
                </c:pt>
                <c:pt idx="378">
                  <c:v>-0.40835838655263285</c:v>
                </c:pt>
                <c:pt idx="379">
                  <c:v>-0.41351055396600173</c:v>
                </c:pt>
                <c:pt idx="380">
                  <c:v>-0.41866278520469696</c:v>
                </c:pt>
                <c:pt idx="381">
                  <c:v>-0.42381508026785553</c:v>
                </c:pt>
                <c:pt idx="382">
                  <c:v>-0.42896743915461427</c:v>
                </c:pt>
                <c:pt idx="383">
                  <c:v>-0.43411986186411006</c:v>
                </c:pt>
                <c:pt idx="384">
                  <c:v>-0.43927234839547979</c:v>
                </c:pt>
                <c:pt idx="385">
                  <c:v>-0.4444248987478604</c:v>
                </c:pt>
                <c:pt idx="386">
                  <c:v>-0.44957751292038872</c:v>
                </c:pt>
                <c:pt idx="387">
                  <c:v>-0.45473019091220168</c:v>
                </c:pt>
                <c:pt idx="388">
                  <c:v>-0.45988293272243613</c:v>
                </c:pt>
                <c:pt idx="389">
                  <c:v>-0.46503573835022899</c:v>
                </c:pt>
                <c:pt idx="390">
                  <c:v>-0.47018860779471711</c:v>
                </c:pt>
                <c:pt idx="391">
                  <c:v>-0.4753415410550374</c:v>
                </c:pt>
                <c:pt idx="392">
                  <c:v>-0.48049453813032678</c:v>
                </c:pt>
                <c:pt idx="393">
                  <c:v>-0.4856475990197221</c:v>
                </c:pt>
                <c:pt idx="394">
                  <c:v>-0.49080072372236022</c:v>
                </c:pt>
                <c:pt idx="395">
                  <c:v>-0.49595391223737811</c:v>
                </c:pt>
                <c:pt idx="396">
                  <c:v>-0.50110716456391258</c:v>
                </c:pt>
                <c:pt idx="397">
                  <c:v>-0.50626048070110052</c:v>
                </c:pt>
                <c:pt idx="398">
                  <c:v>-0.51141386064807892</c:v>
                </c:pt>
                <c:pt idx="399">
                  <c:v>-0.51656730440398457</c:v>
                </c:pt>
                <c:pt idx="400">
                  <c:v>-0.52172081196795439</c:v>
                </c:pt>
                <c:pt idx="401">
                  <c:v>-0.52687438333912517</c:v>
                </c:pt>
                <c:pt idx="402">
                  <c:v>-0.53202801851663395</c:v>
                </c:pt>
                <c:pt idx="403">
                  <c:v>-0.53718171749961752</c:v>
                </c:pt>
                <c:pt idx="404">
                  <c:v>-0.54233548028721279</c:v>
                </c:pt>
                <c:pt idx="405">
                  <c:v>-0.54748930687855668</c:v>
                </c:pt>
                <c:pt idx="406">
                  <c:v>-0.55264319727278599</c:v>
                </c:pt>
                <c:pt idx="407">
                  <c:v>-0.55779715146903763</c:v>
                </c:pt>
                <c:pt idx="408">
                  <c:v>-0.56295116946644863</c:v>
                </c:pt>
                <c:pt idx="409">
                  <c:v>-0.56810525126415568</c:v>
                </c:pt>
                <c:pt idx="410">
                  <c:v>-0.57325939686129579</c:v>
                </c:pt>
                <c:pt idx="411">
                  <c:v>-0.57841360625700577</c:v>
                </c:pt>
                <c:pt idx="412">
                  <c:v>-0.58356787945042254</c:v>
                </c:pt>
                <c:pt idx="413">
                  <c:v>-0.58872221644068301</c:v>
                </c:pt>
                <c:pt idx="414">
                  <c:v>-0.59387661722692398</c:v>
                </c:pt>
                <c:pt idx="415">
                  <c:v>-0.59903108180828246</c:v>
                </c:pt>
                <c:pt idx="416">
                  <c:v>-0.60418561018389527</c:v>
                </c:pt>
                <c:pt idx="417">
                  <c:v>-0.60934020235289921</c:v>
                </c:pt>
                <c:pt idx="418">
                  <c:v>-0.61449485831443129</c:v>
                </c:pt>
                <c:pt idx="419">
                  <c:v>-0.61964957806762833</c:v>
                </c:pt>
                <c:pt idx="420">
                  <c:v>-0.62480436161162722</c:v>
                </c:pt>
                <c:pt idx="421">
                  <c:v>-0.6299592089455649</c:v>
                </c:pt>
                <c:pt idx="422">
                  <c:v>-0.63511412006857815</c:v>
                </c:pt>
                <c:pt idx="423">
                  <c:v>-0.640269094979804</c:v>
                </c:pt>
                <c:pt idx="424">
                  <c:v>-0.64542413367837925</c:v>
                </c:pt>
                <c:pt idx="425">
                  <c:v>-0.65057923616344071</c:v>
                </c:pt>
                <c:pt idx="426">
                  <c:v>-0.6557344024341254</c:v>
                </c:pt>
                <c:pt idx="427">
                  <c:v>-0.66088963248957011</c:v>
                </c:pt>
                <c:pt idx="428">
                  <c:v>-0.66604492632891177</c:v>
                </c:pt>
                <c:pt idx="429">
                  <c:v>-0.67120028395128717</c:v>
                </c:pt>
                <c:pt idx="430">
                  <c:v>-0.67635570535583334</c:v>
                </c:pt>
                <c:pt idx="431">
                  <c:v>-0.68151119054168707</c:v>
                </c:pt>
                <c:pt idx="432">
                  <c:v>-0.68666673950798529</c:v>
                </c:pt>
                <c:pt idx="433">
                  <c:v>-0.69182235225386479</c:v>
                </c:pt>
                <c:pt idx="434">
                  <c:v>-0.6969780287784626</c:v>
                </c:pt>
                <c:pt idx="435">
                  <c:v>-0.70213376908091552</c:v>
                </c:pt>
                <c:pt idx="436">
                  <c:v>-0.70728957316036034</c:v>
                </c:pt>
                <c:pt idx="437">
                  <c:v>-0.7124454410159341</c:v>
                </c:pt>
                <c:pt idx="438">
                  <c:v>-0.71760137264677359</c:v>
                </c:pt>
                <c:pt idx="439">
                  <c:v>-0.72275736805201574</c:v>
                </c:pt>
                <c:pt idx="440">
                  <c:v>-0.72791342723079744</c:v>
                </c:pt>
                <c:pt idx="441">
                  <c:v>-0.7330695501822555</c:v>
                </c:pt>
                <c:pt idx="442">
                  <c:v>-0.73822573690552684</c:v>
                </c:pt>
                <c:pt idx="443">
                  <c:v>-0.74338198739974837</c:v>
                </c:pt>
                <c:pt idx="444">
                  <c:v>-0.74853830166405688</c:v>
                </c:pt>
                <c:pt idx="445">
                  <c:v>-0.75369467969758941</c:v>
                </c:pt>
                <c:pt idx="446">
                  <c:v>-0.75885112149948275</c:v>
                </c:pt>
                <c:pt idx="447">
                  <c:v>-0.76400762706887371</c:v>
                </c:pt>
                <c:pt idx="448">
                  <c:v>-0.7691641964048993</c:v>
                </c:pt>
                <c:pt idx="449">
                  <c:v>-0.77432082950669634</c:v>
                </c:pt>
                <c:pt idx="450">
                  <c:v>-0.77947752637340173</c:v>
                </c:pt>
                <c:pt idx="451">
                  <c:v>-0.78463428700415228</c:v>
                </c:pt>
                <c:pt idx="452">
                  <c:v>-0.78979111139808489</c:v>
                </c:pt>
                <c:pt idx="453">
                  <c:v>-0.79494799955433648</c:v>
                </c:pt>
                <c:pt idx="454">
                  <c:v>-0.80010495147204397</c:v>
                </c:pt>
                <c:pt idx="455">
                  <c:v>-0.80526196715034415</c:v>
                </c:pt>
                <c:pt idx="456">
                  <c:v>-0.81041904658837394</c:v>
                </c:pt>
                <c:pt idx="457">
                  <c:v>-0.81557618978527024</c:v>
                </c:pt>
                <c:pt idx="458">
                  <c:v>-0.82073339674016998</c:v>
                </c:pt>
                <c:pt idx="459">
                  <c:v>-0.82589066745220996</c:v>
                </c:pt>
                <c:pt idx="460">
                  <c:v>-0.83104800192052708</c:v>
                </c:pt>
                <c:pt idx="461">
                  <c:v>-0.83620540014425815</c:v>
                </c:pt>
                <c:pt idx="462">
                  <c:v>-0.84136286212254008</c:v>
                </c:pt>
                <c:pt idx="463">
                  <c:v>-0.84652038785450978</c:v>
                </c:pt>
                <c:pt idx="464">
                  <c:v>-0.85167797733930417</c:v>
                </c:pt>
                <c:pt idx="465">
                  <c:v>-0.85683563057606005</c:v>
                </c:pt>
                <c:pt idx="466">
                  <c:v>-0.86199334756391444</c:v>
                </c:pt>
                <c:pt idx="467">
                  <c:v>-0.86715112830200403</c:v>
                </c:pt>
                <c:pt idx="468">
                  <c:v>-0.87230897278946584</c:v>
                </c:pt>
                <c:pt idx="469">
                  <c:v>-0.87746688102543668</c:v>
                </c:pt>
                <c:pt idx="470">
                  <c:v>-0.88262485300905347</c:v>
                </c:pt>
                <c:pt idx="471">
                  <c:v>-0.88778288873945299</c:v>
                </c:pt>
                <c:pt idx="472">
                  <c:v>-0.89294098821577217</c:v>
                </c:pt>
                <c:pt idx="473">
                  <c:v>-0.89809915143714791</c:v>
                </c:pt>
                <c:pt idx="474">
                  <c:v>-0.90325737840271714</c:v>
                </c:pt>
                <c:pt idx="475">
                  <c:v>-0.90841566911161664</c:v>
                </c:pt>
                <c:pt idx="476">
                  <c:v>-0.91357402356298334</c:v>
                </c:pt>
                <c:pt idx="477">
                  <c:v>-0.91873244175595414</c:v>
                </c:pt>
                <c:pt idx="478">
                  <c:v>-0.92389092368966586</c:v>
                </c:pt>
                <c:pt idx="479">
                  <c:v>-0.92904946936325539</c:v>
                </c:pt>
                <c:pt idx="480">
                  <c:v>-0.93420807877585965</c:v>
                </c:pt>
                <c:pt idx="481">
                  <c:v>-0.93936675192661545</c:v>
                </c:pt>
                <c:pt idx="482">
                  <c:v>-0.94452548881465981</c:v>
                </c:pt>
                <c:pt idx="483">
                  <c:v>-0.94968428943912941</c:v>
                </c:pt>
                <c:pt idx="484">
                  <c:v>-0.95484315379916129</c:v>
                </c:pt>
                <c:pt idx="485">
                  <c:v>-0.96000208189389225</c:v>
                </c:pt>
                <c:pt idx="486">
                  <c:v>-0.96516107372245918</c:v>
                </c:pt>
                <c:pt idx="487">
                  <c:v>-0.97032012928399891</c:v>
                </c:pt>
                <c:pt idx="488">
                  <c:v>-0.97547924857764834</c:v>
                </c:pt>
                <c:pt idx="489">
                  <c:v>-0.98063843160254438</c:v>
                </c:pt>
                <c:pt idx="490">
                  <c:v>-0.98579767835782395</c:v>
                </c:pt>
                <c:pt idx="491">
                  <c:v>-0.99095698884262384</c:v>
                </c:pt>
                <c:pt idx="492">
                  <c:v>-0.99611636305608098</c:v>
                </c:pt>
                <c:pt idx="493">
                  <c:v>-1.0012758009973322</c:v>
                </c:pt>
                <c:pt idx="494">
                  <c:v>-1.0064353026655144</c:v>
                </c:pt>
                <c:pt idx="495">
                  <c:v>-1.0115948680597644</c:v>
                </c:pt>
                <c:pt idx="496">
                  <c:v>-1.0167544971792191</c:v>
                </c:pt>
                <c:pt idx="497">
                  <c:v>-1.0219141900230155</c:v>
                </c:pt>
                <c:pt idx="498">
                  <c:v>-1.0270739465902905</c:v>
                </c:pt>
                <c:pt idx="499">
                  <c:v>-1.0322337668801806</c:v>
                </c:pt>
                <c:pt idx="500">
                  <c:v>-1.0373936508918231</c:v>
                </c:pt>
                <c:pt idx="501">
                  <c:v>-1.0425535986243546</c:v>
                </c:pt>
                <c:pt idx="502">
                  <c:v>-1.0477136100769122</c:v>
                </c:pt>
                <c:pt idx="503">
                  <c:v>-1.0528736852486327</c:v>
                </c:pt>
                <c:pt idx="504">
                  <c:v>-1.0580338241386529</c:v>
                </c:pt>
                <c:pt idx="505">
                  <c:v>-1.0631940267461097</c:v>
                </c:pt>
                <c:pt idx="506">
                  <c:v>-1.06835429307014</c:v>
                </c:pt>
                <c:pt idx="507">
                  <c:v>-1.0735146231098807</c:v>
                </c:pt>
                <c:pt idx="508">
                  <c:v>-1.0786750168644685</c:v>
                </c:pt>
                <c:pt idx="509">
                  <c:v>-1.0838354743330405</c:v>
                </c:pt>
                <c:pt idx="510">
                  <c:v>-1.0889959955147335</c:v>
                </c:pt>
                <c:pt idx="511">
                  <c:v>-1.0941565804086844</c:v>
                </c:pt>
                <c:pt idx="512">
                  <c:v>-1.0993172290140298</c:v>
                </c:pt>
                <c:pt idx="513">
                  <c:v>-1.1044779413299071</c:v>
                </c:pt>
                <c:pt idx="514">
                  <c:v>-1.1096387173554527</c:v>
                </c:pt>
                <c:pt idx="515">
                  <c:v>-1.1147995570898037</c:v>
                </c:pt>
                <c:pt idx="516">
                  <c:v>-1.119960460532097</c:v>
                </c:pt>
                <c:pt idx="517">
                  <c:v>-1.1251214276814694</c:v>
                </c:pt>
                <c:pt idx="518">
                  <c:v>-1.1302824585370577</c:v>
                </c:pt>
                <c:pt idx="519">
                  <c:v>-1.1354435530979987</c:v>
                </c:pt>
                <c:pt idx="520">
                  <c:v>-1.1406047113634297</c:v>
                </c:pt>
                <c:pt idx="521">
                  <c:v>-1.1457659333324872</c:v>
                </c:pt>
                <c:pt idx="522">
                  <c:v>-1.1509272190043083</c:v>
                </c:pt>
                <c:pt idx="523">
                  <c:v>-1.1560885683780295</c:v>
                </c:pt>
                <c:pt idx="524">
                  <c:v>-1.1612499814527881</c:v>
                </c:pt>
                <c:pt idx="525">
                  <c:v>-1.1664114582277207</c:v>
                </c:pt>
                <c:pt idx="526">
                  <c:v>-1.1715729987019643</c:v>
                </c:pt>
                <c:pt idx="527">
                  <c:v>-1.1767346028746557</c:v>
                </c:pt>
                <c:pt idx="528">
                  <c:v>-1.1818962707449319</c:v>
                </c:pt>
                <c:pt idx="529">
                  <c:v>-1.1870580023119297</c:v>
                </c:pt>
                <c:pt idx="530">
                  <c:v>-1.1922197975747859</c:v>
                </c:pt>
                <c:pt idx="531">
                  <c:v>-1.1973816565326374</c:v>
                </c:pt>
                <c:pt idx="532">
                  <c:v>-1.2025435791846211</c:v>
                </c:pt>
                <c:pt idx="533">
                  <c:v>-1.2077055655298738</c:v>
                </c:pt>
                <c:pt idx="534">
                  <c:v>-1.2128676155675326</c:v>
                </c:pt>
                <c:pt idx="535">
                  <c:v>-1.2180297292967344</c:v>
                </c:pt>
                <c:pt idx="536">
                  <c:v>-1.2231919067166157</c:v>
                </c:pt>
                <c:pt idx="537">
                  <c:v>-1.2283541478263136</c:v>
                </c:pt>
                <c:pt idx="538">
                  <c:v>-1.2335164526249649</c:v>
                </c:pt>
                <c:pt idx="539">
                  <c:v>-1.2386788211117066</c:v>
                </c:pt>
                <c:pt idx="540">
                  <c:v>-1.2438412532856755</c:v>
                </c:pt>
                <c:pt idx="541">
                  <c:v>-1.2490037491460084</c:v>
                </c:pt>
                <c:pt idx="542">
                  <c:v>-1.2541663086918422</c:v>
                </c:pt>
                <c:pt idx="543">
                  <c:v>-1.259328931922314</c:v>
                </c:pt>
                <c:pt idx="544">
                  <c:v>-1.2644916188365602</c:v>
                </c:pt>
                <c:pt idx="545">
                  <c:v>-1.2696543694337181</c:v>
                </c:pt>
                <c:pt idx="546">
                  <c:v>-1.2748171837129245</c:v>
                </c:pt>
                <c:pt idx="547">
                  <c:v>-1.2799800616733161</c:v>
                </c:pt>
                <c:pt idx="548">
                  <c:v>-1.2851430033140299</c:v>
                </c:pt>
                <c:pt idx="549">
                  <c:v>-1.2903060086342026</c:v>
                </c:pt>
                <c:pt idx="550">
                  <c:v>-1.2954690776329714</c:v>
                </c:pt>
                <c:pt idx="551">
                  <c:v>-1.300632210309473</c:v>
                </c:pt>
                <c:pt idx="552">
                  <c:v>-1.3057954066628441</c:v>
                </c:pt>
                <c:pt idx="553">
                  <c:v>-1.3109586666922217</c:v>
                </c:pt>
                <c:pt idx="554">
                  <c:v>-1.3161219903967429</c:v>
                </c:pt>
                <c:pt idx="555">
                  <c:v>-1.3212853777755442</c:v>
                </c:pt>
                <c:pt idx="556">
                  <c:v>-1.3264488288277627</c:v>
                </c:pt>
                <c:pt idx="557">
                  <c:v>-1.3316123435525353</c:v>
                </c:pt>
                <c:pt idx="558">
                  <c:v>-1.3367759219489987</c:v>
                </c:pt>
                <c:pt idx="559">
                  <c:v>-1.3419395640162899</c:v>
                </c:pt>
                <c:pt idx="560">
                  <c:v>-1.3471032697535457</c:v>
                </c:pt>
                <c:pt idx="561">
                  <c:v>-1.352267039159903</c:v>
                </c:pt>
                <c:pt idx="562">
                  <c:v>-1.3574308722344988</c:v>
                </c:pt>
                <c:pt idx="563">
                  <c:v>-1.3625947689764697</c:v>
                </c:pt>
                <c:pt idx="564">
                  <c:v>-1.3677587293849527</c:v>
                </c:pt>
                <c:pt idx="565">
                  <c:v>-1.3729227534590847</c:v>
                </c:pt>
                <c:pt idx="566">
                  <c:v>-1.3780868411980025</c:v>
                </c:pt>
                <c:pt idx="567">
                  <c:v>-1.3832509926008432</c:v>
                </c:pt>
                <c:pt idx="568">
                  <c:v>-1.3884152076667433</c:v>
                </c:pt>
                <c:pt idx="569">
                  <c:v>-1.3935794863948399</c:v>
                </c:pt>
                <c:pt idx="570">
                  <c:v>-1.3987438287842697</c:v>
                </c:pt>
                <c:pt idx="571">
                  <c:v>-1.4039082348341698</c:v>
                </c:pt>
                <c:pt idx="572">
                  <c:v>-1.4090727045436771</c:v>
                </c:pt>
                <c:pt idx="573">
                  <c:v>-1.4142372379119283</c:v>
                </c:pt>
                <c:pt idx="574">
                  <c:v>-1.4194018349380604</c:v>
                </c:pt>
                <c:pt idx="575">
                  <c:v>-1.4245664956212101</c:v>
                </c:pt>
                <c:pt idx="576">
                  <c:v>-1.4297312199605143</c:v>
                </c:pt>
                <c:pt idx="577">
                  <c:v>-1.4348960079551101</c:v>
                </c:pt>
                <c:pt idx="578">
                  <c:v>-1.440060859604134</c:v>
                </c:pt>
                <c:pt idx="579">
                  <c:v>-1.4452257749067232</c:v>
                </c:pt>
                <c:pt idx="580">
                  <c:v>-1.4503907538620144</c:v>
                </c:pt>
                <c:pt idx="581">
                  <c:v>-1.4555557964691446</c:v>
                </c:pt>
                <c:pt idx="582">
                  <c:v>-1.4607209027272503</c:v>
                </c:pt>
                <c:pt idx="583">
                  <c:v>-1.4658860726354688</c:v>
                </c:pt>
                <c:pt idx="584">
                  <c:v>-1.4710513061929367</c:v>
                </c:pt>
                <c:pt idx="585">
                  <c:v>-1.4762166033987911</c:v>
                </c:pt>
                <c:pt idx="586">
                  <c:v>-1.4813819642521688</c:v>
                </c:pt>
                <c:pt idx="587">
                  <c:v>-1.4865473887522065</c:v>
                </c:pt>
                <c:pt idx="588">
                  <c:v>-1.4917128768980412</c:v>
                </c:pt>
                <c:pt idx="589">
                  <c:v>-1.4968784286888099</c:v>
                </c:pt>
                <c:pt idx="590">
                  <c:v>-1.5020440441236493</c:v>
                </c:pt>
                <c:pt idx="591">
                  <c:v>-1.5072097232016963</c:v>
                </c:pt>
                <c:pt idx="592">
                  <c:v>-1.5123754659220878</c:v>
                </c:pt>
                <c:pt idx="593">
                  <c:v>-1.5175412722839605</c:v>
                </c:pt>
                <c:pt idx="594">
                  <c:v>-1.5227071422864515</c:v>
                </c:pt>
                <c:pt idx="595">
                  <c:v>-1.5278730759286976</c:v>
                </c:pt>
                <c:pt idx="596">
                  <c:v>-1.5330390732098356</c:v>
                </c:pt>
                <c:pt idx="597">
                  <c:v>-1.5382051341290024</c:v>
                </c:pt>
                <c:pt idx="598">
                  <c:v>-1.543371258685335</c:v>
                </c:pt>
                <c:pt idx="599">
                  <c:v>-1.54853744687797</c:v>
                </c:pt>
                <c:pt idx="600">
                  <c:v>-1.5537036987060444</c:v>
                </c:pt>
                <c:pt idx="601">
                  <c:v>-1.5588700141686951</c:v>
                </c:pt>
                <c:pt idx="602">
                  <c:v>-1.5640363932650589</c:v>
                </c:pt>
                <c:pt idx="603">
                  <c:v>-1.5692028359942729</c:v>
                </c:pt>
                <c:pt idx="604">
                  <c:v>-1.5743693423554737</c:v>
                </c:pt>
                <c:pt idx="605">
                  <c:v>-1.5795359123477983</c:v>
                </c:pt>
                <c:pt idx="606">
                  <c:v>-1.5847025459703836</c:v>
                </c:pt>
                <c:pt idx="607">
                  <c:v>-1.5898692432223664</c:v>
                </c:pt>
                <c:pt idx="608">
                  <c:v>-1.5950360041028835</c:v>
                </c:pt>
                <c:pt idx="609">
                  <c:v>-1.6002028286110719</c:v>
                </c:pt>
                <c:pt idx="610">
                  <c:v>-1.6053697167460683</c:v>
                </c:pt>
                <c:pt idx="611">
                  <c:v>-1.6105366685070097</c:v>
                </c:pt>
                <c:pt idx="612">
                  <c:v>-1.615703683893033</c:v>
                </c:pt>
                <c:pt idx="613">
                  <c:v>-1.620870762903275</c:v>
                </c:pt>
                <c:pt idx="614">
                  <c:v>-1.6260379055368726</c:v>
                </c:pt>
                <c:pt idx="615">
                  <c:v>-1.6312051117929625</c:v>
                </c:pt>
                <c:pt idx="616">
                  <c:v>-1.6363723816706819</c:v>
                </c:pt>
                <c:pt idx="617">
                  <c:v>-1.6415397151691673</c:v>
                </c:pt>
                <c:pt idx="618">
                  <c:v>-1.6467071122875558</c:v>
                </c:pt>
                <c:pt idx="619">
                  <c:v>-1.6518745730249844</c:v>
                </c:pt>
                <c:pt idx="620">
                  <c:v>-1.6570420973805897</c:v>
                </c:pt>
                <c:pt idx="621">
                  <c:v>-1.6622096853535087</c:v>
                </c:pt>
                <c:pt idx="622">
                  <c:v>-1.6673773369428782</c:v>
                </c:pt>
                <c:pt idx="623">
                  <c:v>-1.6725450521478349</c:v>
                </c:pt>
                <c:pt idx="624">
                  <c:v>-1.677712830967516</c:v>
                </c:pt>
                <c:pt idx="625">
                  <c:v>-1.6828806734010582</c:v>
                </c:pt>
                <c:pt idx="626">
                  <c:v>-1.6880485794475983</c:v>
                </c:pt>
                <c:pt idx="627">
                  <c:v>-1.6932165491062734</c:v>
                </c:pt>
                <c:pt idx="628">
                  <c:v>-1.6983845823762203</c:v>
                </c:pt>
                <c:pt idx="629">
                  <c:v>-1.7035526792565756</c:v>
                </c:pt>
                <c:pt idx="630">
                  <c:v>-1.7087208397464766</c:v>
                </c:pt>
                <c:pt idx="631">
                  <c:v>-1.7138890638450599</c:v>
                </c:pt>
                <c:pt idx="632">
                  <c:v>-1.7190573515514622</c:v>
                </c:pt>
                <c:pt idx="633">
                  <c:v>-1.7242257028648207</c:v>
                </c:pt>
                <c:pt idx="634">
                  <c:v>-1.7293941177842722</c:v>
                </c:pt>
                <c:pt idx="635">
                  <c:v>-1.7345625963089535</c:v>
                </c:pt>
                <c:pt idx="636">
                  <c:v>-1.7397311384380014</c:v>
                </c:pt>
                <c:pt idx="637">
                  <c:v>-1.7448997441705529</c:v>
                </c:pt>
                <c:pt idx="638">
                  <c:v>-1.7500684135057447</c:v>
                </c:pt>
                <c:pt idx="639">
                  <c:v>-1.7552371464427139</c:v>
                </c:pt>
                <c:pt idx="640">
                  <c:v>-1.7604059429805972</c:v>
                </c:pt>
                <c:pt idx="641">
                  <c:v>-1.7655748031185314</c:v>
                </c:pt>
                <c:pt idx="642">
                  <c:v>-1.7707437268556536</c:v>
                </c:pt>
                <c:pt idx="643">
                  <c:v>-1.7759127141911004</c:v>
                </c:pt>
                <c:pt idx="644">
                  <c:v>-1.781081765124009</c:v>
                </c:pt>
                <c:pt idx="645">
                  <c:v>-1.7862508796535159</c:v>
                </c:pt>
                <c:pt idx="646">
                  <c:v>-1.7914200577787582</c:v>
                </c:pt>
                <c:pt idx="647">
                  <c:v>-1.7965892994988728</c:v>
                </c:pt>
                <c:pt idx="648">
                  <c:v>-1.8017586048129963</c:v>
                </c:pt>
                <c:pt idx="649">
                  <c:v>-1.8069279737202659</c:v>
                </c:pt>
                <c:pt idx="650">
                  <c:v>-1.8120974062198183</c:v>
                </c:pt>
                <c:pt idx="651">
                  <c:v>-1.8172669023107904</c:v>
                </c:pt>
                <c:pt idx="652">
                  <c:v>-1.822436461992319</c:v>
                </c:pt>
                <c:pt idx="653">
                  <c:v>-1.827606085263541</c:v>
                </c:pt>
                <c:pt idx="654">
                  <c:v>-1.8327757721235931</c:v>
                </c:pt>
                <c:pt idx="655">
                  <c:v>-1.8379455225716126</c:v>
                </c:pt>
                <c:pt idx="656">
                  <c:v>-1.8431153366067361</c:v>
                </c:pt>
                <c:pt idx="657">
                  <c:v>-1.8482852142281003</c:v>
                </c:pt>
                <c:pt idx="658">
                  <c:v>-1.8534551554348424</c:v>
                </c:pt>
                <c:pt idx="659">
                  <c:v>-1.858625160226099</c:v>
                </c:pt>
                <c:pt idx="660">
                  <c:v>-1.8637952286010071</c:v>
                </c:pt>
                <c:pt idx="661">
                  <c:v>-1.8689653605587035</c:v>
                </c:pt>
                <c:pt idx="662">
                  <c:v>-1.8741355560983253</c:v>
                </c:pt>
                <c:pt idx="663">
                  <c:v>-1.879305815219009</c:v>
                </c:pt>
                <c:pt idx="664">
                  <c:v>-1.8844761379198918</c:v>
                </c:pt>
                <c:pt idx="665">
                  <c:v>-1.8896465242001104</c:v>
                </c:pt>
                <c:pt idx="666">
                  <c:v>-1.8948169740588017</c:v>
                </c:pt>
                <c:pt idx="667">
                  <c:v>-1.8999874874951024</c:v>
                </c:pt>
                <c:pt idx="668">
                  <c:v>-1.9051580645081496</c:v>
                </c:pt>
                <c:pt idx="669">
                  <c:v>-1.9103287050970801</c:v>
                </c:pt>
                <c:pt idx="670">
                  <c:v>-1.9154994092610307</c:v>
                </c:pt>
                <c:pt idx="671">
                  <c:v>-1.9206701769991383</c:v>
                </c:pt>
                <c:pt idx="672">
                  <c:v>-1.9258410083105397</c:v>
                </c:pt>
                <c:pt idx="673">
                  <c:v>-1.931011903194372</c:v>
                </c:pt>
                <c:pt idx="674">
                  <c:v>-1.9361828616497718</c:v>
                </c:pt>
                <c:pt idx="675">
                  <c:v>-1.9413538836758761</c:v>
                </c:pt>
                <c:pt idx="676">
                  <c:v>-1.9465249692718218</c:v>
                </c:pt>
                <c:pt idx="677">
                  <c:v>-1.9516961184367456</c:v>
                </c:pt>
                <c:pt idx="678">
                  <c:v>-1.9568673311697846</c:v>
                </c:pt>
                <c:pt idx="679">
                  <c:v>-1.9620386074700755</c:v>
                </c:pt>
                <c:pt idx="680">
                  <c:v>-1.9672099473367552</c:v>
                </c:pt>
                <c:pt idx="681">
                  <c:v>-1.9723813507689607</c:v>
                </c:pt>
                <c:pt idx="682">
                  <c:v>-1.9775528177658286</c:v>
                </c:pt>
                <c:pt idx="683">
                  <c:v>-1.9827243483264958</c:v>
                </c:pt>
                <c:pt idx="684">
                  <c:v>-1.9878959424500995</c:v>
                </c:pt>
                <c:pt idx="685">
                  <c:v>-1.9930676001357761</c:v>
                </c:pt>
                <c:pt idx="686">
                  <c:v>-1.9982393213826628</c:v>
                </c:pt>
                <c:pt idx="687">
                  <c:v>-2.0034111061898963</c:v>
                </c:pt>
                <c:pt idx="688">
                  <c:v>-2.0085829545566134</c:v>
                </c:pt>
                <c:pt idx="689">
                  <c:v>-2.0137548664819516</c:v>
                </c:pt>
                <c:pt idx="690">
                  <c:v>-2.018926841965047</c:v>
                </c:pt>
                <c:pt idx="691">
                  <c:v>-2.0240988810050369</c:v>
                </c:pt>
                <c:pt idx="692">
                  <c:v>-2.0292709836010578</c:v>
                </c:pt>
                <c:pt idx="693">
                  <c:v>-2.034443149752247</c:v>
                </c:pt>
                <c:pt idx="694">
                  <c:v>-2.0396153794577412</c:v>
                </c:pt>
                <c:pt idx="695">
                  <c:v>-2.0447876727166769</c:v>
                </c:pt>
                <c:pt idx="696">
                  <c:v>-2.0499600295281915</c:v>
                </c:pt>
                <c:pt idx="697">
                  <c:v>-2.0551324498914214</c:v>
                </c:pt>
                <c:pt idx="698">
                  <c:v>-2.0603049338055039</c:v>
                </c:pt>
                <c:pt idx="699">
                  <c:v>-2.0654774812695758</c:v>
                </c:pt>
                <c:pt idx="700">
                  <c:v>-2.0706500922827735</c:v>
                </c:pt>
                <c:pt idx="701">
                  <c:v>-2.0758227668442344</c:v>
                </c:pt>
                <c:pt idx="702">
                  <c:v>-2.080995504953095</c:v>
                </c:pt>
                <c:pt idx="703">
                  <c:v>-2.0861683066084926</c:v>
                </c:pt>
                <c:pt idx="704">
                  <c:v>-2.0913411718095638</c:v>
                </c:pt>
                <c:pt idx="705">
                  <c:v>-2.0965141005554453</c:v>
                </c:pt>
                <c:pt idx="706">
                  <c:v>-2.1016870928452742</c:v>
                </c:pt>
                <c:pt idx="707">
                  <c:v>-2.1068601486781873</c:v>
                </c:pt>
                <c:pt idx="708">
                  <c:v>-2.1120332680533211</c:v>
                </c:pt>
                <c:pt idx="709">
                  <c:v>-2.117206450969813</c:v>
                </c:pt>
                <c:pt idx="710">
                  <c:v>-2.1223796974267999</c:v>
                </c:pt>
                <c:pt idx="711">
                  <c:v>-2.1275530074234181</c:v>
                </c:pt>
                <c:pt idx="712">
                  <c:v>-2.1327263809588048</c:v>
                </c:pt>
                <c:pt idx="713">
                  <c:v>-2.1378998180320972</c:v>
                </c:pt>
                <c:pt idx="714">
                  <c:v>-2.1430733186424318</c:v>
                </c:pt>
                <c:pt idx="715">
                  <c:v>-2.1482468827889454</c:v>
                </c:pt>
                <c:pt idx="716">
                  <c:v>-2.1534205104707751</c:v>
                </c:pt>
                <c:pt idx="717">
                  <c:v>-2.1585942016870576</c:v>
                </c:pt>
                <c:pt idx="718">
                  <c:v>-2.1637679564369301</c:v>
                </c:pt>
                <c:pt idx="719">
                  <c:v>-2.1689417747195288</c:v>
                </c:pt>
                <c:pt idx="720">
                  <c:v>-2.1741156565339912</c:v>
                </c:pt>
                <c:pt idx="721">
                  <c:v>-2.1792896018794536</c:v>
                </c:pt>
                <c:pt idx="722">
                  <c:v>-2.1844636107550537</c:v>
                </c:pt>
                <c:pt idx="723">
                  <c:v>-2.1896376831599276</c:v>
                </c:pt>
                <c:pt idx="724">
                  <c:v>-2.1948118190932124</c:v>
                </c:pt>
                <c:pt idx="725">
                  <c:v>-2.199986018554045</c:v>
                </c:pt>
                <c:pt idx="726">
                  <c:v>-2.2051602815415623</c:v>
                </c:pt>
                <c:pt idx="727">
                  <c:v>-2.2103346080549011</c:v>
                </c:pt>
                <c:pt idx="728">
                  <c:v>-2.2155089980931981</c:v>
                </c:pt>
                <c:pt idx="729">
                  <c:v>-2.2206834516555904</c:v>
                </c:pt>
                <c:pt idx="730">
                  <c:v>-2.2258579687412148</c:v>
                </c:pt>
                <c:pt idx="731">
                  <c:v>-2.2310325493492082</c:v>
                </c:pt>
                <c:pt idx="732">
                  <c:v>-2.2362071934787076</c:v>
                </c:pt>
                <c:pt idx="733">
                  <c:v>-2.2413819011288494</c:v>
                </c:pt>
                <c:pt idx="734">
                  <c:v>-2.2465566722987709</c:v>
                </c:pt>
                <c:pt idx="735">
                  <c:v>-2.2517315069876092</c:v>
                </c:pt>
                <c:pt idx="736">
                  <c:v>-2.2569064051945005</c:v>
                </c:pt>
                <c:pt idx="737">
                  <c:v>-2.262081366918582</c:v>
                </c:pt>
                <c:pt idx="738">
                  <c:v>-2.2672563921589908</c:v>
                </c:pt>
                <c:pt idx="739">
                  <c:v>-2.2724314809148631</c:v>
                </c:pt>
                <c:pt idx="740">
                  <c:v>-2.2776066331853366</c:v>
                </c:pt>
                <c:pt idx="741">
                  <c:v>-2.2827818489695475</c:v>
                </c:pt>
                <c:pt idx="742">
                  <c:v>-2.2879571282666329</c:v>
                </c:pt>
                <c:pt idx="743">
                  <c:v>-2.2931324710757299</c:v>
                </c:pt>
                <c:pt idx="744">
                  <c:v>-2.2983078773959749</c:v>
                </c:pt>
                <c:pt idx="745">
                  <c:v>-2.3034833472265048</c:v>
                </c:pt>
                <c:pt idx="746">
                  <c:v>-2.308658880566457</c:v>
                </c:pt>
                <c:pt idx="747">
                  <c:v>-2.3138344774149679</c:v>
                </c:pt>
                <c:pt idx="748">
                  <c:v>-2.3190101377711745</c:v>
                </c:pt>
                <c:pt idx="749">
                  <c:v>-2.3241858616342137</c:v>
                </c:pt>
                <c:pt idx="750">
                  <c:v>-2.3293616490032223</c:v>
                </c:pt>
                <c:pt idx="751">
                  <c:v>-2.3345374998773374</c:v>
                </c:pt>
                <c:pt idx="752">
                  <c:v>-2.3397134142556957</c:v>
                </c:pt>
                <c:pt idx="753">
                  <c:v>-2.3448893921374339</c:v>
                </c:pt>
                <c:pt idx="754">
                  <c:v>-2.3500654335216891</c:v>
                </c:pt>
                <c:pt idx="755">
                  <c:v>-2.355241538407598</c:v>
                </c:pt>
                <c:pt idx="756">
                  <c:v>-2.3604177067942973</c:v>
                </c:pt>
                <c:pt idx="757">
                  <c:v>-2.3655939386809242</c:v>
                </c:pt>
                <c:pt idx="758">
                  <c:v>-2.3707702340666157</c:v>
                </c:pt>
                <c:pt idx="759">
                  <c:v>-2.3759465929505081</c:v>
                </c:pt>
                <c:pt idx="760">
                  <c:v>-2.3811230153317391</c:v>
                </c:pt>
                <c:pt idx="761">
                  <c:v>-2.3862995012094448</c:v>
                </c:pt>
                <c:pt idx="762">
                  <c:v>-2.3914760505827624</c:v>
                </c:pt>
                <c:pt idx="763">
                  <c:v>-2.3966526634508285</c:v>
                </c:pt>
                <c:pt idx="764">
                  <c:v>-2.4018293398127804</c:v>
                </c:pt>
                <c:pt idx="765">
                  <c:v>-2.4070060796677546</c:v>
                </c:pt>
                <c:pt idx="766">
                  <c:v>-2.4121828830148884</c:v>
                </c:pt>
                <c:pt idx="767">
                  <c:v>-2.4173597498533179</c:v>
                </c:pt>
                <c:pt idx="768">
                  <c:v>-2.4225366801821808</c:v>
                </c:pt>
                <c:pt idx="769">
                  <c:v>-2.4277136740006133</c:v>
                </c:pt>
                <c:pt idx="770">
                  <c:v>-2.4328907313077526</c:v>
                </c:pt>
                <c:pt idx="771">
                  <c:v>-2.4380678521027357</c:v>
                </c:pt>
                <c:pt idx="772">
                  <c:v>-2.4432450363846994</c:v>
                </c:pt>
                <c:pt idx="773">
                  <c:v>-2.4484222841527803</c:v>
                </c:pt>
                <c:pt idx="774">
                  <c:v>-2.4535995954061156</c:v>
                </c:pt>
                <c:pt idx="775">
                  <c:v>-2.458776970143842</c:v>
                </c:pt>
                <c:pt idx="776">
                  <c:v>-2.4639544083650962</c:v>
                </c:pt>
                <c:pt idx="777">
                  <c:v>-2.4691319100690152</c:v>
                </c:pt>
                <c:pt idx="778">
                  <c:v>-2.4743094752547359</c:v>
                </c:pt>
                <c:pt idx="779">
                  <c:v>-2.4794871039213953</c:v>
                </c:pt>
                <c:pt idx="780">
                  <c:v>-2.4846647960681301</c:v>
                </c:pt>
                <c:pt idx="781">
                  <c:v>-2.489842551694077</c:v>
                </c:pt>
                <c:pt idx="782">
                  <c:v>-2.4950203707983731</c:v>
                </c:pt>
                <c:pt idx="783">
                  <c:v>-2.5001982533801557</c:v>
                </c:pt>
                <c:pt idx="784">
                  <c:v>-2.5053761994385608</c:v>
                </c:pt>
                <c:pt idx="785">
                  <c:v>-2.5105542089727257</c:v>
                </c:pt>
                <c:pt idx="786">
                  <c:v>-2.5157322819817876</c:v>
                </c:pt>
                <c:pt idx="787">
                  <c:v>-2.5209104184648825</c:v>
                </c:pt>
                <c:pt idx="788">
                  <c:v>-2.5260886184211482</c:v>
                </c:pt>
                <c:pt idx="789">
                  <c:v>-2.5312668818497208</c:v>
                </c:pt>
                <c:pt idx="790">
                  <c:v>-2.5364452087497376</c:v>
                </c:pt>
                <c:pt idx="791">
                  <c:v>-2.5416235991203355</c:v>
                </c:pt>
                <c:pt idx="792">
                  <c:v>-2.546802052960651</c:v>
                </c:pt>
                <c:pt idx="793">
                  <c:v>-2.5519805702698215</c:v>
                </c:pt>
                <c:pt idx="794">
                  <c:v>-2.5571591510469833</c:v>
                </c:pt>
                <c:pt idx="795">
                  <c:v>-2.5623377952912736</c:v>
                </c:pt>
                <c:pt idx="796">
                  <c:v>-2.5675165030018294</c:v>
                </c:pt>
                <c:pt idx="797">
                  <c:v>-2.5726952741777875</c:v>
                </c:pt>
                <c:pt idx="798">
                  <c:v>-2.5778741088182846</c:v>
                </c:pt>
                <c:pt idx="799">
                  <c:v>-2.5830530069224573</c:v>
                </c:pt>
                <c:pt idx="800">
                  <c:v>-2.5882319684894428</c:v>
                </c:pt>
                <c:pt idx="801">
                  <c:v>-2.5934109935183782</c:v>
                </c:pt>
                <c:pt idx="802">
                  <c:v>-2.5985900820083998</c:v>
                </c:pt>
                <c:pt idx="803">
                  <c:v>-2.6037692339586451</c:v>
                </c:pt>
                <c:pt idx="804">
                  <c:v>-2.6089484493682504</c:v>
                </c:pt>
                <c:pt idx="805">
                  <c:v>-2.6141277282363529</c:v>
                </c:pt>
                <c:pt idx="806">
                  <c:v>-2.6193070705620896</c:v>
                </c:pt>
                <c:pt idx="807">
                  <c:v>-2.6244864763445968</c:v>
                </c:pt>
                <c:pt idx="808">
                  <c:v>-2.629665945583012</c:v>
                </c:pt>
                <c:pt idx="809">
                  <c:v>-2.6348454782764716</c:v>
                </c:pt>
                <c:pt idx="810">
                  <c:v>-2.6400250744241127</c:v>
                </c:pt>
                <c:pt idx="811">
                  <c:v>-2.6452047340250724</c:v>
                </c:pt>
                <c:pt idx="812">
                  <c:v>-2.6503844570784869</c:v>
                </c:pt>
                <c:pt idx="813">
                  <c:v>-2.6555642435834939</c:v>
                </c:pt>
                <c:pt idx="814">
                  <c:v>-2.6607440935392295</c:v>
                </c:pt>
                <c:pt idx="815">
                  <c:v>-2.6659240069448309</c:v>
                </c:pt>
                <c:pt idx="816">
                  <c:v>-2.6711039837994348</c:v>
                </c:pt>
                <c:pt idx="817">
                  <c:v>-2.6762840241021784</c:v>
                </c:pt>
                <c:pt idx="818">
                  <c:v>-2.6814641278521982</c:v>
                </c:pt>
                <c:pt idx="819">
                  <c:v>-2.6866442950486316</c:v>
                </c:pt>
                <c:pt idx="820">
                  <c:v>-2.691824525690615</c:v>
                </c:pt>
                <c:pt idx="821">
                  <c:v>-2.6970048197772853</c:v>
                </c:pt>
                <c:pt idx="822">
                  <c:v>-2.7021851773077796</c:v>
                </c:pt>
                <c:pt idx="823">
                  <c:v>-2.7073655982812346</c:v>
                </c:pt>
                <c:pt idx="824">
                  <c:v>-2.7125460826967873</c:v>
                </c:pt>
                <c:pt idx="825">
                  <c:v>-2.7177266305535746</c:v>
                </c:pt>
                <c:pt idx="826">
                  <c:v>-2.722907241850733</c:v>
                </c:pt>
                <c:pt idx="827">
                  <c:v>-2.7280879165873997</c:v>
                </c:pt>
                <c:pt idx="828">
                  <c:v>-2.7332686547627114</c:v>
                </c:pt>
                <c:pt idx="829">
                  <c:v>-2.7384494563758053</c:v>
                </c:pt>
                <c:pt idx="830">
                  <c:v>-2.743630321425818</c:v>
                </c:pt>
                <c:pt idx="831">
                  <c:v>-2.7488112499118862</c:v>
                </c:pt>
                <c:pt idx="832">
                  <c:v>-2.7539922418331471</c:v>
                </c:pt>
                <c:pt idx="833">
                  <c:v>-2.7591732971887373</c:v>
                </c:pt>
                <c:pt idx="834">
                  <c:v>-2.764354415977794</c:v>
                </c:pt>
                <c:pt idx="835">
                  <c:v>-2.7695355981994538</c:v>
                </c:pt>
                <c:pt idx="836">
                  <c:v>-2.7747168438528536</c:v>
                </c:pt>
                <c:pt idx="837">
                  <c:v>-2.7798981529371303</c:v>
                </c:pt>
                <c:pt idx="838">
                  <c:v>-2.7850795254514207</c:v>
                </c:pt>
                <c:pt idx="839">
                  <c:v>-2.7902609613948619</c:v>
                </c:pt>
                <c:pt idx="840">
                  <c:v>-2.7954424607665906</c:v>
                </c:pt>
                <c:pt idx="841">
                  <c:v>-2.8006240235657436</c:v>
                </c:pt>
                <c:pt idx="842">
                  <c:v>-2.8058056497914579</c:v>
                </c:pt>
                <c:pt idx="843">
                  <c:v>-2.8109873394428702</c:v>
                </c:pt>
                <c:pt idx="844">
                  <c:v>-2.8161690925191176</c:v>
                </c:pt>
                <c:pt idx="845">
                  <c:v>-2.8213509090193369</c:v>
                </c:pt>
                <c:pt idx="846">
                  <c:v>-2.8265327889426648</c:v>
                </c:pt>
                <c:pt idx="847">
                  <c:v>-2.8317147322882383</c:v>
                </c:pt>
                <c:pt idx="848">
                  <c:v>-2.8368967390551942</c:v>
                </c:pt>
                <c:pt idx="849">
                  <c:v>-2.8420788092426696</c:v>
                </c:pt>
                <c:pt idx="850">
                  <c:v>-2.8472609428498012</c:v>
                </c:pt>
                <c:pt idx="851">
                  <c:v>-2.8524431398757257</c:v>
                </c:pt>
                <c:pt idx="852">
                  <c:v>-2.8576254003195802</c:v>
                </c:pt>
                <c:pt idx="853">
                  <c:v>-2.8628077241805019</c:v>
                </c:pt>
                <c:pt idx="854">
                  <c:v>-2.8679901114576269</c:v>
                </c:pt>
                <c:pt idx="855">
                  <c:v>-2.8731725621500925</c:v>
                </c:pt>
                <c:pt idx="856">
                  <c:v>-2.8783550762570358</c:v>
                </c:pt>
                <c:pt idx="857">
                  <c:v>-2.8835376537775934</c:v>
                </c:pt>
                <c:pt idx="858">
                  <c:v>-2.8887202947109021</c:v>
                </c:pt>
                <c:pt idx="859">
                  <c:v>-2.8939029990560989</c:v>
                </c:pt>
                <c:pt idx="860">
                  <c:v>-2.8990857668123207</c:v>
                </c:pt>
                <c:pt idx="861">
                  <c:v>-2.904268597978704</c:v>
                </c:pt>
                <c:pt idx="862">
                  <c:v>-2.909451492554386</c:v>
                </c:pt>
                <c:pt idx="863">
                  <c:v>-2.9146344505385033</c:v>
                </c:pt>
                <c:pt idx="864">
                  <c:v>-2.9198174719301933</c:v>
                </c:pt>
                <c:pt idx="865">
                  <c:v>-2.9250005567285924</c:v>
                </c:pt>
                <c:pt idx="866">
                  <c:v>-2.9301837049328379</c:v>
                </c:pt>
                <c:pt idx="867">
                  <c:v>-2.9353669165420659</c:v>
                </c:pt>
                <c:pt idx="868">
                  <c:v>-2.9405501915554142</c:v>
                </c:pt>
                <c:pt idx="869">
                  <c:v>-2.9457335299720193</c:v>
                </c:pt>
                <c:pt idx="870">
                  <c:v>-2.950916931791018</c:v>
                </c:pt>
                <c:pt idx="871">
                  <c:v>-2.9561003970115469</c:v>
                </c:pt>
                <c:pt idx="872">
                  <c:v>-2.9612839256327432</c:v>
                </c:pt>
                <c:pt idx="873">
                  <c:v>-2.9664675176537436</c:v>
                </c:pt>
                <c:pt idx="874">
                  <c:v>-2.9716511730736852</c:v>
                </c:pt>
                <c:pt idx="875">
                  <c:v>-2.9768348918917047</c:v>
                </c:pt>
                <c:pt idx="876">
                  <c:v>-2.9820186741069392</c:v>
                </c:pt>
                <c:pt idx="877">
                  <c:v>-2.9872025197185255</c:v>
                </c:pt>
                <c:pt idx="878">
                  <c:v>-2.9923864287256001</c:v>
                </c:pt>
                <c:pt idx="879">
                  <c:v>-2.9975704011273003</c:v>
                </c:pt>
                <c:pt idx="880">
                  <c:v>-3.0027544369227628</c:v>
                </c:pt>
                <c:pt idx="881">
                  <c:v>-3.0079385361111246</c:v>
                </c:pt>
                <c:pt idx="882">
                  <c:v>-3.0131226986915225</c:v>
                </c:pt>
                <c:pt idx="883">
                  <c:v>-3.0183069246630931</c:v>
                </c:pt>
                <c:pt idx="884">
                  <c:v>-3.0234912140249737</c:v>
                </c:pt>
                <c:pt idx="885">
                  <c:v>-3.0286755667763008</c:v>
                </c:pt>
                <c:pt idx="886">
                  <c:v>-3.0338599829162116</c:v>
                </c:pt>
                <c:pt idx="887">
                  <c:v>-3.0390444624438429</c:v>
                </c:pt>
                <c:pt idx="888">
                  <c:v>-3.0442290053583316</c:v>
                </c:pt>
                <c:pt idx="889">
                  <c:v>-3.0494136116588142</c:v>
                </c:pt>
                <c:pt idx="890">
                  <c:v>-3.0545982813444281</c:v>
                </c:pt>
                <c:pt idx="891">
                  <c:v>-3.0597830144143097</c:v>
                </c:pt>
                <c:pt idx="892">
                  <c:v>-3.0649678108675964</c:v>
                </c:pt>
                <c:pt idx="893">
                  <c:v>-3.0701526707034246</c:v>
                </c:pt>
                <c:pt idx="894">
                  <c:v>-3.0753375939209313</c:v>
                </c:pt>
                <c:pt idx="895">
                  <c:v>-3.0805225805192533</c:v>
                </c:pt>
                <c:pt idx="896">
                  <c:v>-3.0857076304975277</c:v>
                </c:pt>
                <c:pt idx="897">
                  <c:v>-3.0908927438548912</c:v>
                </c:pt>
                <c:pt idx="898">
                  <c:v>-3.0960779205904809</c:v>
                </c:pt>
                <c:pt idx="899">
                  <c:v>-3.1012631607034336</c:v>
                </c:pt>
                <c:pt idx="900">
                  <c:v>-3.1064484641928858</c:v>
                </c:pt>
                <c:pt idx="901">
                  <c:v>-3.1116338310579748</c:v>
                </c:pt>
                <c:pt idx="902">
                  <c:v>-3.1168192612978372</c:v>
                </c:pt>
                <c:pt idx="903">
                  <c:v>-3.1220047549116101</c:v>
                </c:pt>
                <c:pt idx="904">
                  <c:v>-3.1271903118984303</c:v>
                </c:pt>
                <c:pt idx="905">
                  <c:v>-3.1323759322574345</c:v>
                </c:pt>
                <c:pt idx="906">
                  <c:v>-3.1375616159877597</c:v>
                </c:pt>
                <c:pt idx="907">
                  <c:v>-3.1427473630885427</c:v>
                </c:pt>
                <c:pt idx="908">
                  <c:v>-3.1479331735589207</c:v>
                </c:pt>
                <c:pt idx="909">
                  <c:v>-3.1531190473980302</c:v>
                </c:pt>
                <c:pt idx="910">
                  <c:v>-3.1583049846050084</c:v>
                </c:pt>
                <c:pt idx="911">
                  <c:v>-3.1634909851789916</c:v>
                </c:pt>
                <c:pt idx="912">
                  <c:v>-3.1686770491191174</c:v>
                </c:pt>
                <c:pt idx="913">
                  <c:v>-3.1738631764245224</c:v>
                </c:pt>
                <c:pt idx="914">
                  <c:v>-3.1790493670943434</c:v>
                </c:pt>
                <c:pt idx="915">
                  <c:v>-3.184235621127717</c:v>
                </c:pt>
                <c:pt idx="916">
                  <c:v>-3.1894219385237803</c:v>
                </c:pt>
                <c:pt idx="917">
                  <c:v>-3.1946083192816705</c:v>
                </c:pt>
                <c:pt idx="918">
                  <c:v>-3.1997947634005239</c:v>
                </c:pt>
                <c:pt idx="919">
                  <c:v>-3.204981270879478</c:v>
                </c:pt>
                <c:pt idx="920">
                  <c:v>-3.2101678417176691</c:v>
                </c:pt>
                <c:pt idx="921">
                  <c:v>-3.2153544759142343</c:v>
                </c:pt>
                <c:pt idx="922">
                  <c:v>-3.2205411734683107</c:v>
                </c:pt>
                <c:pt idx="923">
                  <c:v>-3.225727934379035</c:v>
                </c:pt>
                <c:pt idx="924">
                  <c:v>-3.230914758645544</c:v>
                </c:pt>
                <c:pt idx="925">
                  <c:v>-3.2361016462669747</c:v>
                </c:pt>
                <c:pt idx="926">
                  <c:v>-3.2412885972424639</c:v>
                </c:pt>
                <c:pt idx="927">
                  <c:v>-3.2464756115711482</c:v>
                </c:pt>
                <c:pt idx="928">
                  <c:v>-3.2516626892521647</c:v>
                </c:pt>
                <c:pt idx="929">
                  <c:v>-3.2568498302846507</c:v>
                </c:pt>
                <c:pt idx="930">
                  <c:v>-3.2620370346677423</c:v>
                </c:pt>
                <c:pt idx="931">
                  <c:v>-3.2672243024005772</c:v>
                </c:pt>
                <c:pt idx="932">
                  <c:v>-3.2724116334822915</c:v>
                </c:pt>
                <c:pt idx="933">
                  <c:v>-3.2775990279120224</c:v>
                </c:pt>
                <c:pt idx="934">
                  <c:v>-3.2827864856889071</c:v>
                </c:pt>
                <c:pt idx="935">
                  <c:v>-3.2879740068120822</c:v>
                </c:pt>
                <c:pt idx="936">
                  <c:v>-3.2931615912806844</c:v>
                </c:pt>
                <c:pt idx="937">
                  <c:v>-3.2983492390938509</c:v>
                </c:pt>
                <c:pt idx="938">
                  <c:v>-3.3035369502507184</c:v>
                </c:pt>
                <c:pt idx="939">
                  <c:v>-3.3087247247504235</c:v>
                </c:pt>
                <c:pt idx="940">
                  <c:v>-3.3139125625921033</c:v>
                </c:pt>
                <c:pt idx="941">
                  <c:v>-3.3191004637748951</c:v>
                </c:pt>
                <c:pt idx="942">
                  <c:v>-3.324288428297935</c:v>
                </c:pt>
                <c:pt idx="943">
                  <c:v>-3.3294764561603607</c:v>
                </c:pt>
                <c:pt idx="944">
                  <c:v>-3.3346645473613084</c:v>
                </c:pt>
                <c:pt idx="945">
                  <c:v>-3.3398527018999151</c:v>
                </c:pt>
                <c:pt idx="946">
                  <c:v>-3.3450409197753181</c:v>
                </c:pt>
                <c:pt idx="947">
                  <c:v>-3.3502292009866541</c:v>
                </c:pt>
                <c:pt idx="948">
                  <c:v>-3.3554175455330597</c:v>
                </c:pt>
                <c:pt idx="949">
                  <c:v>-3.3606059534136721</c:v>
                </c:pt>
                <c:pt idx="950">
                  <c:v>-3.3657944246276279</c:v>
                </c:pt>
                <c:pt idx="951">
                  <c:v>-3.3709829591740643</c:v>
                </c:pt>
                <c:pt idx="952">
                  <c:v>-3.376171557052118</c:v>
                </c:pt>
                <c:pt idx="953">
                  <c:v>-3.3813602182609257</c:v>
                </c:pt>
                <c:pt idx="954">
                  <c:v>-3.3865489427996245</c:v>
                </c:pt>
                <c:pt idx="955">
                  <c:v>-3.3917377306673511</c:v>
                </c:pt>
                <c:pt idx="956">
                  <c:v>-3.3969265818632426</c:v>
                </c:pt>
                <c:pt idx="957">
                  <c:v>-3.4021154963864357</c:v>
                </c:pt>
                <c:pt idx="958">
                  <c:v>-3.4073044742360672</c:v>
                </c:pt>
                <c:pt idx="959">
                  <c:v>-3.4124935154112741</c:v>
                </c:pt>
                <c:pt idx="960">
                  <c:v>-3.4176826199111936</c:v>
                </c:pt>
                <c:pt idx="961">
                  <c:v>-3.4228717877349624</c:v>
                </c:pt>
                <c:pt idx="962">
                  <c:v>-3.4280610188817171</c:v>
                </c:pt>
                <c:pt idx="963">
                  <c:v>-3.4332503133505945</c:v>
                </c:pt>
                <c:pt idx="964">
                  <c:v>-3.4384396711407317</c:v>
                </c:pt>
                <c:pt idx="965">
                  <c:v>-3.4436290922512658</c:v>
                </c:pt>
                <c:pt idx="966">
                  <c:v>-3.4488185766813335</c:v>
                </c:pt>
                <c:pt idx="967">
                  <c:v>-3.4540081244300715</c:v>
                </c:pt>
                <c:pt idx="968">
                  <c:v>-3.459197735496617</c:v>
                </c:pt>
                <c:pt idx="969">
                  <c:v>-3.4643874098801066</c:v>
                </c:pt>
                <c:pt idx="970">
                  <c:v>-3.4695771475796775</c:v>
                </c:pt>
                <c:pt idx="971">
                  <c:v>-3.4747669485944663</c:v>
                </c:pt>
                <c:pt idx="972">
                  <c:v>-3.4799568129236098</c:v>
                </c:pt>
                <c:pt idx="973">
                  <c:v>-3.4851467405662451</c:v>
                </c:pt>
                <c:pt idx="974">
                  <c:v>-3.4903367315215088</c:v>
                </c:pt>
                <c:pt idx="975">
                  <c:v>-3.4955267857885381</c:v>
                </c:pt>
                <c:pt idx="976">
                  <c:v>-3.5007169033664698</c:v>
                </c:pt>
                <c:pt idx="977">
                  <c:v>-3.5059070842544409</c:v>
                </c:pt>
                <c:pt idx="978">
                  <c:v>-3.5110973284515881</c:v>
                </c:pt>
                <c:pt idx="979">
                  <c:v>-3.5162876359570481</c:v>
                </c:pt>
                <c:pt idx="980">
                  <c:v>-3.521478006769958</c:v>
                </c:pt>
                <c:pt idx="981">
                  <c:v>-3.5266684408894551</c:v>
                </c:pt>
                <c:pt idx="982">
                  <c:v>-3.5318589383146755</c:v>
                </c:pt>
                <c:pt idx="983">
                  <c:v>-3.5370494990447563</c:v>
                </c:pt>
                <c:pt idx="984">
                  <c:v>-3.5422401230788347</c:v>
                </c:pt>
                <c:pt idx="985">
                  <c:v>-3.5474308104160475</c:v>
                </c:pt>
                <c:pt idx="986">
                  <c:v>-3.5526215610555316</c:v>
                </c:pt>
                <c:pt idx="987">
                  <c:v>-3.5578123749964234</c:v>
                </c:pt>
                <c:pt idx="988">
                  <c:v>-3.5630032522378605</c:v>
                </c:pt>
                <c:pt idx="989">
                  <c:v>-3.5681941927789791</c:v>
                </c:pt>
                <c:pt idx="990">
                  <c:v>-3.5733851966189167</c:v>
                </c:pt>
                <c:pt idx="991">
                  <c:v>-3.5785762637568097</c:v>
                </c:pt>
                <c:pt idx="992">
                  <c:v>-3.5837673941917951</c:v>
                </c:pt>
                <c:pt idx="993">
                  <c:v>-3.5889585879230101</c:v>
                </c:pt>
                <c:pt idx="994">
                  <c:v>-3.5941498449495914</c:v>
                </c:pt>
                <c:pt idx="995">
                  <c:v>-3.5993411652706757</c:v>
                </c:pt>
                <c:pt idx="996">
                  <c:v>-3.6045325488854001</c:v>
                </c:pt>
                <c:pt idx="997">
                  <c:v>-3.6097239957929013</c:v>
                </c:pt>
                <c:pt idx="998">
                  <c:v>-3.6149155059923159</c:v>
                </c:pt>
                <c:pt idx="999">
                  <c:v>-3.6201070794827812</c:v>
                </c:pt>
                <c:pt idx="1000">
                  <c:v>-3.6252987162634343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3B-6442-AFEC-07E56791BA28}"/>
            </c:ext>
          </c:extLst>
        </c:ser>
        <c:ser>
          <c:idx val="6"/>
          <c:order val="5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Trajecto!$D$155</c:f>
              <c:numCache>
                <c:formatCode>0</c:formatCode>
                <c:ptCount val="1"/>
                <c:pt idx="0">
                  <c:v>#N/A</c:v>
                </c:pt>
              </c:numCache>
            </c:numRef>
          </c:xVal>
          <c:yVal>
            <c:numRef>
              <c:f>Trajecto!$C$155</c:f>
              <c:numCache>
                <c:formatCode>0</c:formatCode>
                <c:ptCount val="1"/>
                <c:pt idx="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3B-6442-AFEC-07E56791BA28}"/>
            </c:ext>
          </c:extLst>
        </c:ser>
        <c:ser>
          <c:idx val="7"/>
          <c:order val="6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808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Trajecto!$D$156</c:f>
              <c:numCache>
                <c:formatCode>0</c:formatCode>
                <c:ptCount val="1"/>
                <c:pt idx="0">
                  <c:v>47.106432017558873</c:v>
                </c:pt>
              </c:numCache>
            </c:numRef>
          </c:xVal>
          <c:yVal>
            <c:numRef>
              <c:f>Trajecto!$C$156</c:f>
              <c:numCache>
                <c:formatCode>0</c:formatCode>
                <c:ptCount val="1"/>
                <c:pt idx="0">
                  <c:v>82.570525710966322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3B-6442-AFEC-07E56791BA28}"/>
            </c:ext>
          </c:extLst>
        </c:ser>
        <c:ser>
          <c:idx val="8"/>
          <c:order val="7"/>
          <c:tx>
            <c:strRef>
              <c:f>Trajecto!$D$158</c:f>
              <c:strCache>
                <c:ptCount val="1"/>
                <c:pt idx="0">
                  <c:v>Arc de triomphe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dLbls>
            <c:dLbl>
              <c:idx val="8"/>
              <c:tx>
                <c:strRef>
                  <c:f>Trajecto!$D$158</c:f>
                  <c:strCache>
                    <c:ptCount val="1"/>
                    <c:pt idx="0">
                      <c:v>Arc de triomphe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C0C0C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{9CF317DE-D4B1-4B43-A5ED-73E1139F2FC0}</c15:txfldGUID>
                      <c15:f>Trajecto!$D$158</c15:f>
                      <c15:dlblFieldTableCache>
                        <c:ptCount val="1"/>
                        <c:pt idx="0">
                          <c:v>Arc de triomphe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4B3B-6442-AFEC-07E56791BA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Trajecto!$D$159:$D$174</c:f>
              <c:numCache>
                <c:formatCode>0</c:formatCode>
                <c:ptCount val="16"/>
                <c:pt idx="0">
                  <c:v>28.741647304996103</c:v>
                </c:pt>
                <c:pt idx="1">
                  <c:v>51.741647304996107</c:v>
                </c:pt>
                <c:pt idx="2">
                  <c:v>51.741647304996107</c:v>
                </c:pt>
                <c:pt idx="3">
                  <c:v>28.741647304996103</c:v>
                </c:pt>
                <c:pt idx="4">
                  <c:v>51.741647304996107</c:v>
                </c:pt>
                <c:pt idx="5">
                  <c:v>51.741647304996107</c:v>
                </c:pt>
                <c:pt idx="6">
                  <c:v>36.741647304996107</c:v>
                </c:pt>
                <c:pt idx="7">
                  <c:v>36.741647304996107</c:v>
                </c:pt>
                <c:pt idx="8">
                  <c:v>51.741647304996107</c:v>
                </c:pt>
                <c:pt idx="9">
                  <c:v>36.741647304996107</c:v>
                </c:pt>
                <c:pt idx="10">
                  <c:v>36.341647304996101</c:v>
                </c:pt>
                <c:pt idx="11">
                  <c:v>35.541647304996104</c:v>
                </c:pt>
                <c:pt idx="12">
                  <c:v>34.741647304996107</c:v>
                </c:pt>
                <c:pt idx="13">
                  <c:v>33.741647304996107</c:v>
                </c:pt>
                <c:pt idx="14">
                  <c:v>32.541647304996104</c:v>
                </c:pt>
                <c:pt idx="15">
                  <c:v>28.741647304996103</c:v>
                </c:pt>
              </c:numCache>
            </c:numRef>
          </c:xVal>
          <c:yVal>
            <c:numRef>
              <c:f>Trajecto!$B$161:$B$176</c:f>
              <c:numCache>
                <c:formatCode>General</c:formatCode>
                <c:ptCount val="16"/>
                <c:pt idx="0">
                  <c:v>49</c:v>
                </c:pt>
                <c:pt idx="1">
                  <c:v>49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0.5</c:v>
                </c:pt>
                <c:pt idx="6">
                  <c:v>0.5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3B-6442-AFEC-07E56791BA28}"/>
            </c:ext>
          </c:extLst>
        </c:ser>
        <c:ser>
          <c:idx val="9"/>
          <c:order val="8"/>
          <c:tx>
            <c:strRef>
              <c:f>Trajecto!$F$158</c:f>
              <c:strCache>
                <c:ptCount val="1"/>
                <c:pt idx="0">
                  <c:v>Arc de triomphe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Trajecto!$F$159:$F$174</c:f>
              <c:numCache>
                <c:formatCode>0</c:formatCode>
                <c:ptCount val="16"/>
                <c:pt idx="0">
                  <c:v>28.741647304996103</c:v>
                </c:pt>
                <c:pt idx="1">
                  <c:v>5.7416473049961034</c:v>
                </c:pt>
                <c:pt idx="2">
                  <c:v>5.7416473049961034</c:v>
                </c:pt>
                <c:pt idx="3">
                  <c:v>28.741647304996103</c:v>
                </c:pt>
                <c:pt idx="4">
                  <c:v>5.7416473049961034</c:v>
                </c:pt>
                <c:pt idx="5">
                  <c:v>5.7416473049961034</c:v>
                </c:pt>
                <c:pt idx="6">
                  <c:v>20.741647304996103</c:v>
                </c:pt>
                <c:pt idx="7">
                  <c:v>20.741647304996103</c:v>
                </c:pt>
                <c:pt idx="8">
                  <c:v>5.7416473049961034</c:v>
                </c:pt>
                <c:pt idx="9">
                  <c:v>20.741647304996103</c:v>
                </c:pt>
                <c:pt idx="10">
                  <c:v>21.141647304996106</c:v>
                </c:pt>
                <c:pt idx="11">
                  <c:v>21.941647304996103</c:v>
                </c:pt>
                <c:pt idx="12">
                  <c:v>22.741647304996103</c:v>
                </c:pt>
                <c:pt idx="13">
                  <c:v>23.741647304996103</c:v>
                </c:pt>
                <c:pt idx="14">
                  <c:v>24.941647304996103</c:v>
                </c:pt>
                <c:pt idx="15">
                  <c:v>28.741647304996103</c:v>
                </c:pt>
              </c:numCache>
            </c:numRef>
          </c:xVal>
          <c:yVal>
            <c:numRef>
              <c:f>Trajecto!$B$161:$B$176</c:f>
              <c:numCache>
                <c:formatCode>General</c:formatCode>
                <c:ptCount val="16"/>
                <c:pt idx="0">
                  <c:v>49</c:v>
                </c:pt>
                <c:pt idx="1">
                  <c:v>49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0.5</c:v>
                </c:pt>
                <c:pt idx="6">
                  <c:v>0.5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B3B-6442-AFEC-07E56791BA28}"/>
            </c:ext>
          </c:extLst>
        </c:ser>
        <c:ser>
          <c:idx val="10"/>
          <c:order val="9"/>
          <c:tx>
            <c:strRef>
              <c:f>Trajecto!$D$176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dLbls>
            <c:dLbl>
              <c:idx val="6"/>
              <c:tx>
                <c:strRef>
                  <c:f>Trajecto!$D$176</c:f>
                  <c:strCache>
                    <c:ptCount val="1"/>
                    <c:pt idx="0">
                      <c:v>Tour Eiffel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C0C0C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{D183694B-1B4E-47FD-98B9-FAF441F03314}</c15:txfldGUID>
                      <c15:f>Trajecto!$D$176</c15:f>
                      <c15:dlblFieldTableCache>
                        <c:ptCount val="1"/>
                        <c:pt idx="0">
                          <c:v>Tour Eiffel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4B3B-6442-AFEC-07E56791BA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Trajecto!$D$177:$D$193</c:f>
              <c:numCache>
                <c:formatCode>0</c:formatCode>
                <c:ptCount val="17"/>
                <c:pt idx="0">
                  <c:v>28.741647304996103</c:v>
                </c:pt>
                <c:pt idx="1">
                  <c:v>28.741647304996103</c:v>
                </c:pt>
                <c:pt idx="2">
                  <c:v>38.741647304996107</c:v>
                </c:pt>
                <c:pt idx="3">
                  <c:v>28.741647304996103</c:v>
                </c:pt>
                <c:pt idx="4">
                  <c:v>38.741647304996107</c:v>
                </c:pt>
                <c:pt idx="5">
                  <c:v>41.741647304996107</c:v>
                </c:pt>
                <c:pt idx="6">
                  <c:v>45.741647304996107</c:v>
                </c:pt>
                <c:pt idx="7">
                  <c:v>48.741647304996107</c:v>
                </c:pt>
                <c:pt idx="8">
                  <c:v>53.741647304996107</c:v>
                </c:pt>
                <c:pt idx="9">
                  <c:v>58.741647304996107</c:v>
                </c:pt>
                <c:pt idx="10">
                  <c:v>64.741647304996107</c:v>
                </c:pt>
                <c:pt idx="11">
                  <c:v>76.741647304996107</c:v>
                </c:pt>
                <c:pt idx="12">
                  <c:v>90.741647304996107</c:v>
                </c:pt>
                <c:pt idx="13">
                  <c:v>65.741647304996107</c:v>
                </c:pt>
                <c:pt idx="14">
                  <c:v>58.741647304996107</c:v>
                </c:pt>
                <c:pt idx="15">
                  <c:v>43.741647304996107</c:v>
                </c:pt>
                <c:pt idx="16">
                  <c:v>28.741647304996103</c:v>
                </c:pt>
              </c:numCache>
            </c:numRef>
          </c:xVal>
          <c:yVal>
            <c:numRef>
              <c:f>Trajecto!$B$179:$B$195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B3B-6442-AFEC-07E56791BA28}"/>
            </c:ext>
          </c:extLst>
        </c:ser>
        <c:ser>
          <c:idx val="11"/>
          <c:order val="10"/>
          <c:tx>
            <c:strRef>
              <c:f>Trajecto!$F$176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Trajecto!$F$177:$F$193</c:f>
              <c:numCache>
                <c:formatCode>0</c:formatCode>
                <c:ptCount val="17"/>
                <c:pt idx="0">
                  <c:v>28.741647304996103</c:v>
                </c:pt>
                <c:pt idx="1">
                  <c:v>28.741647304996103</c:v>
                </c:pt>
                <c:pt idx="2">
                  <c:v>18.741647304996103</c:v>
                </c:pt>
                <c:pt idx="3">
                  <c:v>28.741647304996103</c:v>
                </c:pt>
                <c:pt idx="4">
                  <c:v>18.741647304996103</c:v>
                </c:pt>
                <c:pt idx="5">
                  <c:v>15.741647304996103</c:v>
                </c:pt>
                <c:pt idx="6">
                  <c:v>11.741647304996103</c:v>
                </c:pt>
                <c:pt idx="7">
                  <c:v>8.7416473049961034</c:v>
                </c:pt>
                <c:pt idx="8">
                  <c:v>3.7416473049961034</c:v>
                </c:pt>
                <c:pt idx="9">
                  <c:v>-1.2583526950038966</c:v>
                </c:pt>
                <c:pt idx="10">
                  <c:v>-7.2583526950038966</c:v>
                </c:pt>
                <c:pt idx="11">
                  <c:v>-19.258352695003897</c:v>
                </c:pt>
                <c:pt idx="12">
                  <c:v>-33.258352695003893</c:v>
                </c:pt>
                <c:pt idx="13">
                  <c:v>-8.2583526950038966</c:v>
                </c:pt>
                <c:pt idx="14">
                  <c:v>-1.2583526950038966</c:v>
                </c:pt>
                <c:pt idx="15">
                  <c:v>13.741647304996103</c:v>
                </c:pt>
                <c:pt idx="16">
                  <c:v>28.741647304996103</c:v>
                </c:pt>
              </c:numCache>
            </c:numRef>
          </c:xVal>
          <c:yVal>
            <c:numRef>
              <c:f>Trajecto!$B$179:$B$195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B3B-6442-AFEC-07E56791BA28}"/>
            </c:ext>
          </c:extLst>
        </c:ser>
        <c:ser>
          <c:idx val="12"/>
          <c:order val="11"/>
          <c:tx>
            <c:strRef>
              <c:f>Trajecto!$D$176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Trajecto!$D$194:$D$197</c:f>
              <c:numCache>
                <c:formatCode>0</c:formatCode>
                <c:ptCount val="4"/>
                <c:pt idx="0">
                  <c:v>28.741647304996103</c:v>
                </c:pt>
                <c:pt idx="1">
                  <c:v>45.741647304996107</c:v>
                </c:pt>
                <c:pt idx="2">
                  <c:v>39.741647304996107</c:v>
                </c:pt>
                <c:pt idx="3">
                  <c:v>28.741647304996103</c:v>
                </c:pt>
              </c:numCache>
            </c:numRef>
          </c:xVal>
          <c:yVal>
            <c:numRef>
              <c:f>Trajecto!$B$196:$B$199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B3B-6442-AFEC-07E56791BA28}"/>
            </c:ext>
          </c:extLst>
        </c:ser>
        <c:ser>
          <c:idx val="13"/>
          <c:order val="12"/>
          <c:tx>
            <c:strRef>
              <c:f>Trajecto!$F$176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Trajecto!$F$194:$F$197</c:f>
              <c:numCache>
                <c:formatCode>0</c:formatCode>
                <c:ptCount val="4"/>
                <c:pt idx="0">
                  <c:v>28.741647304996103</c:v>
                </c:pt>
                <c:pt idx="1">
                  <c:v>11.741647304996103</c:v>
                </c:pt>
                <c:pt idx="2">
                  <c:v>17.741647304996103</c:v>
                </c:pt>
                <c:pt idx="3">
                  <c:v>28.741647304996103</c:v>
                </c:pt>
              </c:numCache>
            </c:numRef>
          </c:xVal>
          <c:yVal>
            <c:numRef>
              <c:f>Trajecto!$B$196:$B$199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B3B-6442-AFEC-07E56791BA28}"/>
            </c:ext>
          </c:extLst>
        </c:ser>
        <c:ser>
          <c:idx val="3"/>
          <c:order val="13"/>
          <c:tx>
            <c:strRef>
              <c:f>Trajecto!$B$108</c:f>
              <c:strCache>
                <c:ptCount val="1"/>
                <c:pt idx="0">
                  <c:v>Fusée sous parachute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dLbls>
            <c:dLbl>
              <c:idx val="1"/>
              <c:tx>
                <c:strRef>
                  <c:f>Trajecto!$B$108</c:f>
                  <c:strCache>
                    <c:ptCount val="1"/>
                    <c:pt idx="0">
                      <c:v>Fusée sous parachute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{A12CA756-02DD-419C-A342-E5BB8F3A2B14}</c15:txfldGUID>
                      <c15:f>Trajecto!$B$108</c15:f>
                      <c15:dlblFieldTableCache>
                        <c:ptCount val="1"/>
                        <c:pt idx="0">
                          <c:v>Fusée sous parachute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4B3B-6442-AFEC-07E56791BA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Trajecto!$B$123:$B$129</c:f>
              <c:numCache>
                <c:formatCode>0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xVal>
          <c:yVal>
            <c:numRef>
              <c:f>Trajecto!$C$121:$C$127</c:f>
              <c:numCache>
                <c:formatCode>0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B3B-6442-AFEC-07E56791B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365328"/>
        <c:axId val="1"/>
      </c:scatterChart>
      <c:valAx>
        <c:axId val="18063653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Trajecto!$B$111</c:f>
              <c:strCache>
                <c:ptCount val="1"/>
                <c:pt idx="0">
                  <c:v>Portée x [m]</c:v>
                </c:pt>
              </c:strCache>
            </c:strRef>
          </c:tx>
          <c:layout>
            <c:manualLayout>
              <c:xMode val="edge"/>
              <c:yMode val="edge"/>
              <c:x val="0.56464627732344275"/>
              <c:y val="0.84829693458129052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800" b="1" i="0" u="none" strike="noStrike" baseline="0">
                  <a:solidFill>
                    <a:srgbClr val="0000FF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Altitude z [m]</a:t>
                </a:r>
              </a:p>
            </c:rich>
          </c:tx>
          <c:layout>
            <c:manualLayout>
              <c:xMode val="edge"/>
              <c:yMode val="edge"/>
              <c:x val="8.1818320007296386E-2"/>
              <c:y val="6.8111391736410301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6365328"/>
        <c:crosses val="autoZero"/>
        <c:crossBetween val="midCat"/>
      </c:valAx>
      <c:spPr>
        <a:gradFill rotWithShape="0">
          <a:gsLst>
            <a:gs pos="0">
              <a:srgbClr val="99CC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paperSize="9" firstPageNumber="0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Trajecto!$B$113</c:f>
          <c:strCache>
            <c:ptCount val="1"/>
            <c:pt idx="0">
              <c:v>Altitude z  /  Temps</c:v>
            </c:pt>
          </c:strCache>
        </c:strRef>
      </c:tx>
      <c:layout>
        <c:manualLayout>
          <c:xMode val="edge"/>
          <c:yMode val="edge"/>
          <c:x val="0.57666688909649"/>
          <c:y val="3.71518182868650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6666916233451413E-2"/>
          <c:y val="3.5608360198500402E-2"/>
          <c:w val="0.89333624132890865"/>
          <c:h val="0.89614373166225958"/>
        </c:manualLayout>
      </c:layout>
      <c:scatterChart>
        <c:scatterStyle val="lineMarker"/>
        <c:varyColors val="0"/>
        <c:ser>
          <c:idx val="4"/>
          <c:order val="0"/>
          <c:tx>
            <c:v>Point invisible pour mise à l'echelle</c:v>
          </c:tx>
          <c:spPr>
            <a:ln w="28575">
              <a:noFill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Trajecto!$B$120</c:f>
              <c:numCache>
                <c:formatCode>0</c:formatCode>
                <c:ptCount val="1"/>
                <c:pt idx="0">
                  <c:v>165.14105142193264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C-E84B-8A2E-77A3E8DE6A60}"/>
            </c:ext>
          </c:extLst>
        </c:ser>
        <c:ser>
          <c:idx val="0"/>
          <c:order val="1"/>
          <c:tx>
            <c:v>1 point par seconde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Calculs!$AC$4:$AC$1004</c:f>
              <c:numCache>
                <c:formatCode>0</c:formatCode>
                <c:ptCount val="100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1.0000000000000007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2.0000000000000013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3.0000000000000022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4.0000000000000027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4.9999999999999991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5.9999999999999956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6.999999999999992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7.9999999999999885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8.9999999999999858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9.9999999999999822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10.999999999999979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11.999999999999975</c:v>
                </c:pt>
                <c:pt idx="301">
                  <c:v>12.000099999999975</c:v>
                </c:pt>
                <c:pt idx="302">
                  <c:v>12.000199999999975</c:v>
                </c:pt>
                <c:pt idx="303">
                  <c:v>12.000299999999974</c:v>
                </c:pt>
                <c:pt idx="304">
                  <c:v>12.000399999999974</c:v>
                </c:pt>
                <c:pt idx="305">
                  <c:v>12.000499999999974</c:v>
                </c:pt>
                <c:pt idx="306">
                  <c:v>12.000599999999974</c:v>
                </c:pt>
                <c:pt idx="307">
                  <c:v>12.000699999999973</c:v>
                </c:pt>
                <c:pt idx="308">
                  <c:v>12.000799999999973</c:v>
                </c:pt>
                <c:pt idx="309">
                  <c:v>12.000899999999973</c:v>
                </c:pt>
                <c:pt idx="310">
                  <c:v>12.000999999999973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9.5476849499258624E-4</c:v>
                </c:pt>
                <c:pt idx="2">
                  <c:v>6.7041506585954914E-3</c:v>
                </c:pt>
                <c:pt idx="3">
                  <c:v>2.1347892084722167E-2</c:v>
                </c:pt>
                <c:pt idx="4">
                  <c:v>4.5641448750859806E-2</c:v>
                </c:pt>
                <c:pt idx="5">
                  <c:v>7.8886855363211827E-2</c:v>
                </c:pt>
                <c:pt idx="6">
                  <c:v>0.12082755256820427</c:v>
                </c:pt>
                <c:pt idx="7">
                  <c:v>0.17142780490487936</c:v>
                </c:pt>
                <c:pt idx="8">
                  <c:v>0.23065163508789061</c:v>
                </c:pt>
                <c:pt idx="9">
                  <c:v>0.29846282623171161</c:v>
                </c:pt>
                <c:pt idx="10">
                  <c:v>0.37482492409416895</c:v>
                </c:pt>
                <c:pt idx="11">
                  <c:v>0.45970123933881296</c:v>
                </c:pt>
                <c:pt idx="12">
                  <c:v>0.55305484981563557</c:v>
                </c:pt>
                <c:pt idx="13">
                  <c:v>0.65484860285964364</c:v>
                </c:pt>
                <c:pt idx="14">
                  <c:v>0.76504511760679228</c:v>
                </c:pt>
                <c:pt idx="15">
                  <c:v>0.88360678732678144</c:v>
                </c:pt>
                <c:pt idx="16">
                  <c:v>1.010495781772216</c:v>
                </c:pt>
                <c:pt idx="17">
                  <c:v>1.1456740495436277</c:v>
                </c:pt>
                <c:pt idx="18">
                  <c:v>1.2891033204698563</c:v>
                </c:pt>
                <c:pt idx="19">
                  <c:v>1.4407451080032851</c:v>
                </c:pt>
                <c:pt idx="20">
                  <c:v>1.6005607116294238</c:v>
                </c:pt>
                <c:pt idx="21">
                  <c:v>1.7685112192903334</c:v>
                </c:pt>
                <c:pt idx="22">
                  <c:v>1.9445575098213814</c:v>
                </c:pt>
                <c:pt idx="23">
                  <c:v>2.1286602554008214</c:v>
                </c:pt>
                <c:pt idx="24">
                  <c:v>2.3207799240116849</c:v>
                </c:pt>
                <c:pt idx="25">
                  <c:v>2.5208767819154749</c:v>
                </c:pt>
                <c:pt idx="26">
                  <c:v>2.7289071684632513</c:v>
                </c:pt>
                <c:pt idx="27">
                  <c:v>2.9448270722619618</c:v>
                </c:pt>
                <c:pt idx="28">
                  <c:v>3.1685958650668411</c:v>
                </c:pt>
                <c:pt idx="29">
                  <c:v>3.4001727359070255</c:v>
                </c:pt>
                <c:pt idx="30">
                  <c:v>3.6395166948821154</c:v>
                </c:pt>
                <c:pt idx="31">
                  <c:v>3.8865865751309832</c:v>
                </c:pt>
                <c:pt idx="32">
                  <c:v>4.1413410348610018</c:v>
                </c:pt>
                <c:pt idx="33">
                  <c:v>4.4037385594307912</c:v>
                </c:pt>
                <c:pt idx="34">
                  <c:v>4.6737374634805438</c:v>
                </c:pt>
                <c:pt idx="35">
                  <c:v>4.9512958931047795</c:v>
                </c:pt>
                <c:pt idx="36">
                  <c:v>5.2363718280630369</c:v>
                </c:pt>
                <c:pt idx="37">
                  <c:v>5.5289230840245649</c:v>
                </c:pt>
                <c:pt idx="38">
                  <c:v>5.8289073148435193</c:v>
                </c:pt>
                <c:pt idx="39">
                  <c:v>6.1362820148615835</c:v>
                </c:pt>
                <c:pt idx="40">
                  <c:v>6.4510045212352356</c:v>
                </c:pt>
                <c:pt idx="41">
                  <c:v>6.773032016285188</c:v>
                </c:pt>
                <c:pt idx="42">
                  <c:v>7.1023215298657449</c:v>
                </c:pt>
                <c:pt idx="43">
                  <c:v>7.4388299417520543</c:v>
                </c:pt>
                <c:pt idx="44">
                  <c:v>7.7825139840433817</c:v>
                </c:pt>
                <c:pt idx="45">
                  <c:v>8.133330243580712</c:v>
                </c:pt>
                <c:pt idx="46">
                  <c:v>8.4912351643771107</c:v>
                </c:pt>
                <c:pt idx="47">
                  <c:v>8.856185050059393</c:v>
                </c:pt>
                <c:pt idx="48">
                  <c:v>9.2281360663197596</c:v>
                </c:pt>
                <c:pt idx="49">
                  <c:v>9.6070442433761354</c:v>
                </c:pt>
                <c:pt idx="50">
                  <c:v>9.9928654784400557</c:v>
                </c:pt>
                <c:pt idx="51">
                  <c:v>10.385555538190985</c:v>
                </c:pt>
                <c:pt idx="52">
                  <c:v>10.785070061256034</c:v>
                </c:pt>
                <c:pt idx="53">
                  <c:v>11.191364560694105</c:v>
                </c:pt>
                <c:pt idx="54">
                  <c:v>11.604394426483534</c:v>
                </c:pt>
                <c:pt idx="55">
                  <c:v>12.024114928012343</c:v>
                </c:pt>
                <c:pt idx="56">
                  <c:v>12.450481216570271</c:v>
                </c:pt>
                <c:pt idx="57">
                  <c:v>12.883448327841787</c:v>
                </c:pt>
                <c:pt idx="58">
                  <c:v>13.322971184399307</c:v>
                </c:pt>
                <c:pt idx="59">
                  <c:v>13.769004598195895</c:v>
                </c:pt>
                <c:pt idx="60">
                  <c:v>14.221503273056737</c:v>
                </c:pt>
                <c:pt idx="61">
                  <c:v>14.680421807168704</c:v>
                </c:pt>
                <c:pt idx="62">
                  <c:v>15.145714695567374</c:v>
                </c:pt>
                <c:pt idx="63">
                  <c:v>15.617316903013398</c:v>
                </c:pt>
                <c:pt idx="64">
                  <c:v>16.095124431270687</c:v>
                </c:pt>
                <c:pt idx="65">
                  <c:v>16.579013756530479</c:v>
                </c:pt>
                <c:pt idx="66">
                  <c:v>17.068861275233086</c:v>
                </c:pt>
                <c:pt idx="67">
                  <c:v>17.564525493092628</c:v>
                </c:pt>
                <c:pt idx="68">
                  <c:v>18.065829212405738</c:v>
                </c:pt>
                <c:pt idx="69">
                  <c:v>18.572545671116956</c:v>
                </c:pt>
                <c:pt idx="70">
                  <c:v>19.084384688712674</c:v>
                </c:pt>
                <c:pt idx="71">
                  <c:v>19.601024408415785</c:v>
                </c:pt>
                <c:pt idx="72">
                  <c:v>20.122143044437539</c:v>
                </c:pt>
                <c:pt idx="73">
                  <c:v>20.647418910002198</c:v>
                </c:pt>
                <c:pt idx="74">
                  <c:v>21.17653044456943</c:v>
                </c:pt>
                <c:pt idx="75">
                  <c:v>21.709156240248184</c:v>
                </c:pt>
                <c:pt idx="76">
                  <c:v>22.244975067396553</c:v>
                </c:pt>
                <c:pt idx="77">
                  <c:v>22.783665899402816</c:v>
                </c:pt>
                <c:pt idx="78">
                  <c:v>23.324907936643587</c:v>
                </c:pt>
                <c:pt idx="79">
                  <c:v>23.868380629615611</c:v>
                </c:pt>
                <c:pt idx="80">
                  <c:v>24.413763701238416</c:v>
                </c:pt>
                <c:pt idx="81">
                  <c:v>24.960774904383236</c:v>
                </c:pt>
                <c:pt idx="82">
                  <c:v>25.509207741852734</c:v>
                </c:pt>
                <c:pt idx="83">
                  <c:v>26.058893663775766</c:v>
                </c:pt>
                <c:pt idx="84">
                  <c:v>26.609664294624221</c:v>
                </c:pt>
                <c:pt idx="85">
                  <c:v>27.161351439129472</c:v>
                </c:pt>
                <c:pt idx="86">
                  <c:v>27.713787087965549</c:v>
                </c:pt>
                <c:pt idx="87">
                  <c:v>28.266803423199537</c:v>
                </c:pt>
                <c:pt idx="88">
                  <c:v>28.820232823509691</c:v>
                </c:pt>
                <c:pt idx="89">
                  <c:v>29.373919794083825</c:v>
                </c:pt>
                <c:pt idx="90">
                  <c:v>29.927732881649849</c:v>
                </c:pt>
                <c:pt idx="91">
                  <c:v>30.481552722841503</c:v>
                </c:pt>
                <c:pt idx="92">
                  <c:v>31.035260105954482</c:v>
                </c:pt>
                <c:pt idx="93">
                  <c:v>31.588738954775391</c:v>
                </c:pt>
                <c:pt idx="94">
                  <c:v>32.141879308374747</c:v>
                </c:pt>
                <c:pt idx="95">
                  <c:v>32.694574333077455</c:v>
                </c:pt>
                <c:pt idx="96">
                  <c:v>33.246717338059348</c:v>
                </c:pt>
                <c:pt idx="97">
                  <c:v>33.79821370453071</c:v>
                </c:pt>
                <c:pt idx="98">
                  <c:v>34.348992798283383</c:v>
                </c:pt>
                <c:pt idx="99">
                  <c:v>34.898996009247092</c:v>
                </c:pt>
                <c:pt idx="100">
                  <c:v>35.448164807077475</c:v>
                </c:pt>
                <c:pt idx="101">
                  <c:v>35.996440741261011</c:v>
                </c:pt>
                <c:pt idx="102">
                  <c:v>36.543765441193187</c:v>
                </c:pt>
                <c:pt idx="103">
                  <c:v>37.090080616230161</c:v>
                </c:pt>
                <c:pt idx="104">
                  <c:v>37.63532805571402</c:v>
                </c:pt>
                <c:pt idx="105">
                  <c:v>38.179449628971888</c:v>
                </c:pt>
                <c:pt idx="106">
                  <c:v>38.72238728528901</c:v>
                </c:pt>
                <c:pt idx="107">
                  <c:v>39.264083053856019</c:v>
                </c:pt>
                <c:pt idx="108">
                  <c:v>39.804479043690584</c:v>
                </c:pt>
                <c:pt idx="109">
                  <c:v>40.343532352230483</c:v>
                </c:pt>
                <c:pt idx="110">
                  <c:v>40.881229951784142</c:v>
                </c:pt>
                <c:pt idx="111">
                  <c:v>41.41757373720128</c:v>
                </c:pt>
                <c:pt idx="112">
                  <c:v>41.952565595747878</c:v>
                </c:pt>
                <c:pt idx="113">
                  <c:v>42.486207407138416</c:v>
                </c:pt>
                <c:pt idx="114">
                  <c:v>43.018501043567888</c:v>
                </c:pt>
                <c:pt idx="115">
                  <c:v>43.549448369743658</c:v>
                </c:pt>
                <c:pt idx="116">
                  <c:v>44.079051242917082</c:v>
                </c:pt>
                <c:pt idx="117">
                  <c:v>44.607311512914997</c:v>
                </c:pt>
                <c:pt idx="118">
                  <c:v>45.134231022170979</c:v>
                </c:pt>
                <c:pt idx="119">
                  <c:v>45.659811605756445</c:v>
                </c:pt>
                <c:pt idx="120">
                  <c:v>46.184055091411544</c:v>
                </c:pt>
                <c:pt idx="121">
                  <c:v>46.706963299575904</c:v>
                </c:pt>
                <c:pt idx="122">
                  <c:v>47.228538043419157</c:v>
                </c:pt>
                <c:pt idx="123">
                  <c:v>47.748781128871315</c:v>
                </c:pt>
                <c:pt idx="124">
                  <c:v>48.267694354652932</c:v>
                </c:pt>
                <c:pt idx="125">
                  <c:v>48.785279512305145</c:v>
                </c:pt>
                <c:pt idx="126">
                  <c:v>49.30153838621947</c:v>
                </c:pt>
                <c:pt idx="127">
                  <c:v>49.816472753667476</c:v>
                </c:pt>
                <c:pt idx="128">
                  <c:v>50.330084384830265</c:v>
                </c:pt>
                <c:pt idx="129">
                  <c:v>50.842375042827769</c:v>
                </c:pt>
                <c:pt idx="130">
                  <c:v>51.353346483747899</c:v>
                </c:pt>
                <c:pt idx="131">
                  <c:v>51.863000456675501</c:v>
                </c:pt>
                <c:pt idx="132">
                  <c:v>52.371338703721158</c:v>
                </c:pt>
                <c:pt idx="133">
                  <c:v>52.878362960049799</c:v>
                </c:pt>
                <c:pt idx="134">
                  <c:v>53.384074953909192</c:v>
                </c:pt>
                <c:pt idx="135">
                  <c:v>53.888476406658214</c:v>
                </c:pt>
                <c:pt idx="136">
                  <c:v>54.391569032794976</c:v>
                </c:pt>
                <c:pt idx="137">
                  <c:v>54.893354539984799</c:v>
                </c:pt>
                <c:pt idx="138">
                  <c:v>55.393834629088019</c:v>
                </c:pt>
                <c:pt idx="139">
                  <c:v>55.893010994187613</c:v>
                </c:pt>
                <c:pt idx="140">
                  <c:v>56.390885322616697</c:v>
                </c:pt>
                <c:pt idx="141">
                  <c:v>56.887459294985817</c:v>
                </c:pt>
                <c:pt idx="142">
                  <c:v>57.382734585210144</c:v>
                </c:pt>
                <c:pt idx="143">
                  <c:v>57.876712860536443</c:v>
                </c:pt>
                <c:pt idx="144">
                  <c:v>58.369395781569949</c:v>
                </c:pt>
                <c:pt idx="145">
                  <c:v>58.860785002301036</c:v>
                </c:pt>
                <c:pt idx="146">
                  <c:v>59.350882170131769</c:v>
                </c:pt>
                <c:pt idx="147">
                  <c:v>59.839688925902266</c:v>
                </c:pt>
                <c:pt idx="148">
                  <c:v>60.327206903916952</c:v>
                </c:pt>
                <c:pt idx="149">
                  <c:v>60.813437731970623</c:v>
                </c:pt>
                <c:pt idx="150">
                  <c:v>61.298383031374371</c:v>
                </c:pt>
                <c:pt idx="151">
                  <c:v>61.782044416981378</c:v>
                </c:pt>
                <c:pt idx="152">
                  <c:v>62.264423497212526</c:v>
                </c:pt>
                <c:pt idx="153">
                  <c:v>62.745521874081895</c:v>
                </c:pt>
                <c:pt idx="154">
                  <c:v>63.225341143222082</c:v>
                </c:pt>
                <c:pt idx="155">
                  <c:v>63.703882893909409</c:v>
                </c:pt>
                <c:pt idx="156">
                  <c:v>64.181148709088944</c:v>
                </c:pt>
                <c:pt idx="157">
                  <c:v>64.657140165399426</c:v>
                </c:pt>
                <c:pt idx="158">
                  <c:v>65.13185883319801</c:v>
                </c:pt>
                <c:pt idx="159">
                  <c:v>65.605306276584869</c:v>
                </c:pt>
                <c:pt idx="160">
                  <c:v>66.07748405342771</c:v>
                </c:pt>
                <c:pt idx="161">
                  <c:v>66.548393715386041</c:v>
                </c:pt>
                <c:pt idx="162">
                  <c:v>67.018036807935431</c:v>
                </c:pt>
                <c:pt idx="163">
                  <c:v>67.486414870391528</c:v>
                </c:pt>
                <c:pt idx="164">
                  <c:v>67.953529435933987</c:v>
                </c:pt>
                <c:pt idx="165">
                  <c:v>68.419382031630249</c:v>
                </c:pt>
                <c:pt idx="166">
                  <c:v>68.883974178459198</c:v>
                </c:pt>
                <c:pt idx="167">
                  <c:v>69.347307391334652</c:v>
                </c:pt>
                <c:pt idx="168">
                  <c:v>69.809383179128758</c:v>
                </c:pt>
                <c:pt idx="169">
                  <c:v>70.270203044695222</c:v>
                </c:pt>
                <c:pt idx="170">
                  <c:v>70.729768484892418</c:v>
                </c:pt>
                <c:pt idx="171">
                  <c:v>71.188080990606366</c:v>
                </c:pt>
                <c:pt idx="172">
                  <c:v>71.6451420467736</c:v>
                </c:pt>
                <c:pt idx="173">
                  <c:v>72.100953132403873</c:v>
                </c:pt>
                <c:pt idx="174">
                  <c:v>72.555515720602742</c:v>
                </c:pt>
                <c:pt idx="175">
                  <c:v>73.008831278594016</c:v>
                </c:pt>
                <c:pt idx="176">
                  <c:v>73.460901267742116</c:v>
                </c:pt>
                <c:pt idx="177">
                  <c:v>73.911727143574268</c:v>
                </c:pt>
                <c:pt idx="178">
                  <c:v>74.361310355802573</c:v>
                </c:pt>
                <c:pt idx="179">
                  <c:v>74.809652348345992</c:v>
                </c:pt>
                <c:pt idx="180">
                  <c:v>75.256754559352117</c:v>
                </c:pt>
                <c:pt idx="181">
                  <c:v>75.702618421218958</c:v>
                </c:pt>
                <c:pt idx="182">
                  <c:v>76.147245360616452</c:v>
                </c:pt>
                <c:pt idx="183">
                  <c:v>76.590636798507987</c:v>
                </c:pt>
                <c:pt idx="184">
                  <c:v>77.032794150171682</c:v>
                </c:pt>
                <c:pt idx="185">
                  <c:v>77.473718825221653</c:v>
                </c:pt>
                <c:pt idx="186">
                  <c:v>77.913412227629081</c:v>
                </c:pt>
                <c:pt idx="187">
                  <c:v>78.351875755743237</c:v>
                </c:pt>
                <c:pt idx="188">
                  <c:v>78.789110802312294</c:v>
                </c:pt>
                <c:pt idx="189">
                  <c:v>79.225118754504081</c:v>
                </c:pt>
                <c:pt idx="190">
                  <c:v>79.659900993926755</c:v>
                </c:pt>
                <c:pt idx="191">
                  <c:v>80.093458896649238</c:v>
                </c:pt>
                <c:pt idx="192">
                  <c:v>80.525793833221684</c:v>
                </c:pt>
                <c:pt idx="193">
                  <c:v>80.956907168695707</c:v>
                </c:pt>
                <c:pt idx="194">
                  <c:v>81.386800262644599</c:v>
                </c:pt>
                <c:pt idx="195">
                  <c:v>81.815474469183314</c:v>
                </c:pt>
                <c:pt idx="196">
                  <c:v>82.242931136988474</c:v>
                </c:pt>
                <c:pt idx="197">
                  <c:v>82.66917160931817</c:v>
                </c:pt>
                <c:pt idx="198">
                  <c:v>83.09419722403166</c:v>
                </c:pt>
                <c:pt idx="199">
                  <c:v>83.518009313609014</c:v>
                </c:pt>
                <c:pt idx="200">
                  <c:v>83.940609205170588</c:v>
                </c:pt>
                <c:pt idx="201">
                  <c:v>88.10003960790084</c:v>
                </c:pt>
                <c:pt idx="202">
                  <c:v>92.13909652460832</c:v>
                </c:pt>
                <c:pt idx="203">
                  <c:v>96.059050358541484</c:v>
                </c:pt>
                <c:pt idx="204">
                  <c:v>99.861120497665453</c:v>
                </c:pt>
                <c:pt idx="205">
                  <c:v>103.5464770759672</c:v>
                </c:pt>
                <c:pt idx="206">
                  <c:v>107.11624263826782</c:v>
                </c:pt>
                <c:pt idx="207">
                  <c:v>110.5714937140406</c:v>
                </c:pt>
                <c:pt idx="208">
                  <c:v>113.91326230534288</c:v>
                </c:pt>
                <c:pt idx="209">
                  <c:v>117.14253729360945</c:v>
                </c:pt>
                <c:pt idx="210">
                  <c:v>120.26026576972284</c:v>
                </c:pt>
                <c:pt idx="211">
                  <c:v>123.26735429146969</c:v>
                </c:pt>
                <c:pt idx="212">
                  <c:v>126.16467007220953</c:v>
                </c:pt>
                <c:pt idx="213">
                  <c:v>128.95304210432133</c:v>
                </c:pt>
                <c:pt idx="214">
                  <c:v>131.6332622207529</c:v>
                </c:pt>
                <c:pt idx="215">
                  <c:v>134.20608609777705</c:v>
                </c:pt>
                <c:pt idx="216">
                  <c:v>136.67223420185522</c:v>
                </c:pt>
                <c:pt idx="217">
                  <c:v>139.03239268332396</c:v>
                </c:pt>
                <c:pt idx="218">
                  <c:v>141.28721421945218</c:v>
                </c:pt>
                <c:pt idx="219">
                  <c:v>143.43731880926651</c:v>
                </c:pt>
                <c:pt idx="220">
                  <c:v>145.48329452241197</c:v>
                </c:pt>
                <c:pt idx="221">
                  <c:v>147.4256982042053</c:v>
                </c:pt>
                <c:pt idx="222">
                  <c:v>149.26505613895472</c:v>
                </c:pt>
                <c:pt idx="223">
                  <c:v>151.00186467356687</c:v>
                </c:pt>
                <c:pt idx="224">
                  <c:v>152.63659080345235</c:v>
                </c:pt>
                <c:pt idx="225">
                  <c:v>154.16967272278825</c:v>
                </c:pt>
                <c:pt idx="226">
                  <c:v>155.60152034132884</c:v>
                </c:pt>
                <c:pt idx="227">
                  <c:v>156.9325157702136</c:v>
                </c:pt>
                <c:pt idx="228">
                  <c:v>158.16301377967667</c:v>
                </c:pt>
                <c:pt idx="229">
                  <c:v>159.29334223232712</c:v>
                </c:pt>
                <c:pt idx="230">
                  <c:v>160.32380249694458</c:v>
                </c:pt>
                <c:pt idx="231">
                  <c:v>161.25466984986136</c:v>
                </c:pt>
                <c:pt idx="232">
                  <c:v>162.08619387458521</c:v>
                </c:pt>
                <c:pt idx="233">
                  <c:v>162.8185988764416</c:v>
                </c:pt>
                <c:pt idx="234">
                  <c:v>163.45208433963256</c:v>
                </c:pt>
                <c:pt idx="235">
                  <c:v>163.986825472704</c:v>
                </c:pt>
                <c:pt idx="236">
                  <c:v>164.42297392092351</c:v>
                </c:pt>
                <c:pt idx="237">
                  <c:v>164.76065877942563</c:v>
                </c:pt>
                <c:pt idx="238">
                  <c:v>164.99998812813877</c:v>
                </c:pt>
                <c:pt idx="239">
                  <c:v>165.14105142193264</c:v>
                </c:pt>
                <c:pt idx="240">
                  <c:v>165.18392314444216</c:v>
                </c:pt>
                <c:pt idx="241">
                  <c:v>165.12866801184336</c:v>
                </c:pt>
                <c:pt idx="242">
                  <c:v>164.9753475341864</c:v>
                </c:pt>
                <c:pt idx="243">
                  <c:v>164.72402706995669</c:v>
                </c:pt>
                <c:pt idx="244">
                  <c:v>164.37478220468753</c:v>
                </c:pt>
                <c:pt idx="245">
                  <c:v>163.92770366236198</c:v>
                </c:pt>
                <c:pt idx="246">
                  <c:v>163.38290063297231</c:v>
                </c:pt>
                <c:pt idx="247">
                  <c:v>162.74050283522681</c:v>
                </c:pt>
                <c:pt idx="248">
                  <c:v>162.00066172111823</c:v>
                </c:pt>
                <c:pt idx="249">
                  <c:v>161.16355114260585</c:v>
                </c:pt>
                <c:pt idx="250">
                  <c:v>160.22936768916352</c:v>
                </c:pt>
                <c:pt idx="251">
                  <c:v>159.19833082159258</c:v>
                </c:pt>
                <c:pt idx="252">
                  <c:v>158.07068287533076</c:v>
                </c:pt>
                <c:pt idx="253">
                  <c:v>156.84668897603291</c:v>
                </c:pt>
                <c:pt idx="254">
                  <c:v>155.52663689280709</c:v>
                </c:pt>
                <c:pt idx="255">
                  <c:v>154.1108368445465</c:v>
                </c:pt>
                <c:pt idx="256">
                  <c:v>152.59962126904048</c:v>
                </c:pt>
                <c:pt idx="257">
                  <c:v>150.9933445611577</c:v>
                </c:pt>
                <c:pt idx="258">
                  <c:v>149.29238278435668</c:v>
                </c:pt>
                <c:pt idx="259">
                  <c:v>147.49713335853306</c:v>
                </c:pt>
                <c:pt idx="260">
                  <c:v>145.60801472643632</c:v>
                </c:pt>
                <c:pt idx="261">
                  <c:v>143.62546600039684</c:v>
                </c:pt>
                <c:pt idx="262">
                  <c:v>141.54994659079031</c:v>
                </c:pt>
                <c:pt idx="263">
                  <c:v>139.38193581746179</c:v>
                </c:pt>
                <c:pt idx="264">
                  <c:v>137.12193250519931</c:v>
                </c:pt>
                <c:pt idx="265">
                  <c:v>134.77045456425907</c:v>
                </c:pt>
                <c:pt idx="266">
                  <c:v>132.32803855688812</c:v>
                </c:pt>
                <c:pt idx="267">
                  <c:v>129.79523925075134</c:v>
                </c:pt>
                <c:pt idx="268">
                  <c:v>127.17262916014595</c:v>
                </c:pt>
                <c:pt idx="269">
                  <c:v>124.46079807586914</c:v>
                </c:pt>
                <c:pt idx="270">
                  <c:v>121.66035258459372</c:v>
                </c:pt>
                <c:pt idx="271">
                  <c:v>118.77191557859807</c:v>
                </c:pt>
                <c:pt idx="272">
                  <c:v>115.7961257566901</c:v>
                </c:pt>
                <c:pt idx="273">
                  <c:v>112.73363711715946</c:v>
                </c:pt>
                <c:pt idx="274">
                  <c:v>109.58511844358586</c:v>
                </c:pt>
                <c:pt idx="275">
                  <c:v>106.35125278432541</c:v>
                </c:pt>
                <c:pt idx="276">
                  <c:v>103.03273692648965</c:v>
                </c:pt>
                <c:pt idx="277">
                  <c:v>99.630280865223597</c:v>
                </c:pt>
                <c:pt idx="278">
                  <c:v>96.144607269080225</c:v>
                </c:pt>
                <c:pt idx="279">
                  <c:v>92.57645094227756</c:v>
                </c:pt>
                <c:pt idx="280">
                  <c:v>88.92655828461325</c:v>
                </c:pt>
                <c:pt idx="281">
                  <c:v>85.195686749797787</c:v>
                </c:pt>
                <c:pt idx="282">
                  <c:v>81.384604302953321</c:v>
                </c:pt>
                <c:pt idx="283">
                  <c:v>77.494088878008881</c:v>
                </c:pt>
                <c:pt idx="284">
                  <c:v>73.524927835706109</c:v>
                </c:pt>
                <c:pt idx="285">
                  <c:v>69.477917422911105</c:v>
                </c:pt>
                <c:pt idx="286">
                  <c:v>65.353862233908828</c:v>
                </c:pt>
                <c:pt idx="287">
                  <c:v>61.153574674336156</c:v>
                </c:pt>
                <c:pt idx="288">
                  <c:v>56.877874428388367</c:v>
                </c:pt>
                <c:pt idx="289">
                  <c:v>52.527587929911768</c:v>
                </c:pt>
                <c:pt idx="290">
                  <c:v>48.103547837972172</c:v>
                </c:pt>
                <c:pt idx="291">
                  <c:v>43.606592517465444</c:v>
                </c:pt>
                <c:pt idx="292">
                  <c:v>39.037565525312054</c:v>
                </c:pt>
                <c:pt idx="293">
                  <c:v>34.397315102752962</c:v>
                </c:pt>
                <c:pt idx="294">
                  <c:v>29.686693674238942</c:v>
                </c:pt>
                <c:pt idx="295">
                  <c:v>24.906557353380094</c:v>
                </c:pt>
                <c:pt idx="296">
                  <c:v>20.057765456396496</c:v>
                </c:pt>
                <c:pt idx="297">
                  <c:v>15.141180023485148</c:v>
                </c:pt>
                <c:pt idx="298">
                  <c:v>10.157665348492372</c:v>
                </c:pt>
                <c:pt idx="299">
                  <c:v>5.1080875172548428</c:v>
                </c:pt>
                <c:pt idx="300">
                  <c:v>-6.6860450534402815E-3</c:v>
                </c:pt>
                <c:pt idx="301">
                  <c:v>-1.183323143211765E-2</c:v>
                </c:pt>
                <c:pt idx="302">
                  <c:v>-1.6980481703443604E-2</c:v>
                </c:pt>
                <c:pt idx="303">
                  <c:v>-2.2127795866555042E-2</c:v>
                </c:pt>
                <c:pt idx="304">
                  <c:v>-2.7275173920588862E-2</c:v>
                </c:pt>
                <c:pt idx="305">
                  <c:v>-3.2422615864681967E-2</c:v>
                </c:pt>
                <c:pt idx="306">
                  <c:v>-3.7570121697971262E-2</c:v>
                </c:pt>
                <c:pt idx="307">
                  <c:v>-4.271769141959364E-2</c:v>
                </c:pt>
                <c:pt idx="308">
                  <c:v>-4.7865325028686005E-2</c:v>
                </c:pt>
                <c:pt idx="309">
                  <c:v>-5.3013022524385264E-2</c:v>
                </c:pt>
                <c:pt idx="310">
                  <c:v>-5.8160783905828309E-2</c:v>
                </c:pt>
                <c:pt idx="311">
                  <c:v>-6.3308609172152044E-2</c:v>
                </c:pt>
                <c:pt idx="312">
                  <c:v>-6.845649832249337E-2</c:v>
                </c:pt>
                <c:pt idx="313">
                  <c:v>-7.360445135598917E-2</c:v>
                </c:pt>
                <c:pt idx="314">
                  <c:v>-7.8752468271776357E-2</c:v>
                </c:pt>
                <c:pt idx="315">
                  <c:v>-8.3900549068991831E-2</c:v>
                </c:pt>
                <c:pt idx="316">
                  <c:v>-8.9048693746772489E-2</c:v>
                </c:pt>
                <c:pt idx="317">
                  <c:v>-9.4196902304255231E-2</c:v>
                </c:pt>
                <c:pt idx="318">
                  <c:v>-9.9345174740576955E-2</c:v>
                </c:pt>
                <c:pt idx="319">
                  <c:v>-0.10449351105487456</c:v>
                </c:pt>
                <c:pt idx="320">
                  <c:v>-0.10964191124628495</c:v>
                </c:pt>
                <c:pt idx="321">
                  <c:v>-0.11479037531394501</c:v>
                </c:pt>
                <c:pt idx="322">
                  <c:v>-0.11993890325699165</c:v>
                </c:pt>
                <c:pt idx="323">
                  <c:v>-0.12508749507456177</c:v>
                </c:pt>
                <c:pt idx="324">
                  <c:v>-0.13023615076579226</c:v>
                </c:pt>
                <c:pt idx="325">
                  <c:v>-0.13538487032982002</c:v>
                </c:pt>
                <c:pt idx="326">
                  <c:v>-0.14053365376578195</c:v>
                </c:pt>
                <c:pt idx="327">
                  <c:v>-0.14568250107281494</c:v>
                </c:pt>
                <c:pt idx="328">
                  <c:v>-0.15083141225005589</c:v>
                </c:pt>
                <c:pt idx="329">
                  <c:v>-0.15598038729664168</c:v>
                </c:pt>
                <c:pt idx="330">
                  <c:v>-0.16112942621170923</c:v>
                </c:pt>
                <c:pt idx="331">
                  <c:v>-0.16627852899439544</c:v>
                </c:pt>
                <c:pt idx="332">
                  <c:v>-0.1714276956438372</c:v>
                </c:pt>
                <c:pt idx="333">
                  <c:v>-0.17657692615917139</c:v>
                </c:pt>
                <c:pt idx="334">
                  <c:v>-0.18172622053953494</c:v>
                </c:pt>
                <c:pt idx="335">
                  <c:v>-0.18687557878406472</c:v>
                </c:pt>
                <c:pt idx="336">
                  <c:v>-0.19202500089189761</c:v>
                </c:pt>
                <c:pt idx="337">
                  <c:v>-0.19717448686217054</c:v>
                </c:pt>
                <c:pt idx="338">
                  <c:v>-0.20232403669402038</c:v>
                </c:pt>
                <c:pt idx="339">
                  <c:v>-0.20747365038658405</c:v>
                </c:pt>
                <c:pt idx="340">
                  <c:v>-0.21262332793899844</c:v>
                </c:pt>
                <c:pt idx="341">
                  <c:v>-0.21777306935040042</c:v>
                </c:pt>
                <c:pt idx="342">
                  <c:v>-0.22292287461992691</c:v>
                </c:pt>
                <c:pt idx="343">
                  <c:v>-0.2280727437467148</c:v>
                </c:pt>
                <c:pt idx="344">
                  <c:v>-0.23322267672990099</c:v>
                </c:pt>
                <c:pt idx="345">
                  <c:v>-0.23837267356862235</c:v>
                </c:pt>
                <c:pt idx="346">
                  <c:v>-0.24352273426201582</c:v>
                </c:pt>
                <c:pt idx="347">
                  <c:v>-0.24867285880921824</c:v>
                </c:pt>
                <c:pt idx="348">
                  <c:v>-0.25382304720936655</c:v>
                </c:pt>
                <c:pt idx="349">
                  <c:v>-0.25897329946159758</c:v>
                </c:pt>
                <c:pt idx="350">
                  <c:v>-0.26412361556504832</c:v>
                </c:pt>
                <c:pt idx="351">
                  <c:v>-0.26927399551885561</c:v>
                </c:pt>
                <c:pt idx="352">
                  <c:v>-0.27442443932215632</c:v>
                </c:pt>
                <c:pt idx="353">
                  <c:v>-0.27957494697408736</c:v>
                </c:pt>
                <c:pt idx="354">
                  <c:v>-0.28472551847378563</c:v>
                </c:pt>
                <c:pt idx="355">
                  <c:v>-0.28987615382038806</c:v>
                </c:pt>
                <c:pt idx="356">
                  <c:v>-0.2950268530130315</c:v>
                </c:pt>
                <c:pt idx="357">
                  <c:v>-0.3001776160508528</c:v>
                </c:pt>
                <c:pt idx="358">
                  <c:v>-0.30532844293298894</c:v>
                </c:pt>
                <c:pt idx="359">
                  <c:v>-0.31047933365857677</c:v>
                </c:pt>
                <c:pt idx="360">
                  <c:v>-0.31563028822675315</c:v>
                </c:pt>
                <c:pt idx="361">
                  <c:v>-0.32078130663665505</c:v>
                </c:pt>
                <c:pt idx="362">
                  <c:v>-0.32593238888741932</c:v>
                </c:pt>
                <c:pt idx="363">
                  <c:v>-0.33108353497818283</c:v>
                </c:pt>
                <c:pt idx="364">
                  <c:v>-0.33623474490808247</c:v>
                </c:pt>
                <c:pt idx="365">
                  <c:v>-0.34138601867625518</c:v>
                </c:pt>
                <c:pt idx="366">
                  <c:v>-0.34653735628183785</c:v>
                </c:pt>
                <c:pt idx="367">
                  <c:v>-0.35168875772396735</c:v>
                </c:pt>
                <c:pt idx="368">
                  <c:v>-0.35684022300178053</c:v>
                </c:pt>
                <c:pt idx="369">
                  <c:v>-0.36199175211441431</c:v>
                </c:pt>
                <c:pt idx="370">
                  <c:v>-0.3671433450610056</c:v>
                </c:pt>
                <c:pt idx="371">
                  <c:v>-0.37229500184069131</c:v>
                </c:pt>
                <c:pt idx="372">
                  <c:v>-0.3774467224526083</c:v>
                </c:pt>
                <c:pt idx="373">
                  <c:v>-0.38259850689589342</c:v>
                </c:pt>
                <c:pt idx="374">
                  <c:v>-0.38775035516968365</c:v>
                </c:pt>
                <c:pt idx="375">
                  <c:v>-0.39290226727311578</c:v>
                </c:pt>
                <c:pt idx="376">
                  <c:v>-0.39805424320532679</c:v>
                </c:pt>
                <c:pt idx="377">
                  <c:v>-0.40320628296545352</c:v>
                </c:pt>
                <c:pt idx="378">
                  <c:v>-0.40835838655263285</c:v>
                </c:pt>
                <c:pt idx="379">
                  <c:v>-0.41351055396600173</c:v>
                </c:pt>
                <c:pt idx="380">
                  <c:v>-0.41866278520469696</c:v>
                </c:pt>
                <c:pt idx="381">
                  <c:v>-0.42381508026785553</c:v>
                </c:pt>
                <c:pt idx="382">
                  <c:v>-0.42896743915461427</c:v>
                </c:pt>
                <c:pt idx="383">
                  <c:v>-0.43411986186411006</c:v>
                </c:pt>
                <c:pt idx="384">
                  <c:v>-0.43927234839547979</c:v>
                </c:pt>
                <c:pt idx="385">
                  <c:v>-0.4444248987478604</c:v>
                </c:pt>
                <c:pt idx="386">
                  <c:v>-0.44957751292038872</c:v>
                </c:pt>
                <c:pt idx="387">
                  <c:v>-0.45473019091220168</c:v>
                </c:pt>
                <c:pt idx="388">
                  <c:v>-0.45988293272243613</c:v>
                </c:pt>
                <c:pt idx="389">
                  <c:v>-0.46503573835022899</c:v>
                </c:pt>
                <c:pt idx="390">
                  <c:v>-0.47018860779471711</c:v>
                </c:pt>
                <c:pt idx="391">
                  <c:v>-0.4753415410550374</c:v>
                </c:pt>
                <c:pt idx="392">
                  <c:v>-0.48049453813032678</c:v>
                </c:pt>
                <c:pt idx="393">
                  <c:v>-0.4856475990197221</c:v>
                </c:pt>
                <c:pt idx="394">
                  <c:v>-0.49080072372236022</c:v>
                </c:pt>
                <c:pt idx="395">
                  <c:v>-0.49595391223737811</c:v>
                </c:pt>
                <c:pt idx="396">
                  <c:v>-0.50110716456391258</c:v>
                </c:pt>
                <c:pt idx="397">
                  <c:v>-0.50626048070110052</c:v>
                </c:pt>
                <c:pt idx="398">
                  <c:v>-0.51141386064807892</c:v>
                </c:pt>
                <c:pt idx="399">
                  <c:v>-0.51656730440398457</c:v>
                </c:pt>
                <c:pt idx="400">
                  <c:v>-0.52172081196795439</c:v>
                </c:pt>
                <c:pt idx="401">
                  <c:v>-0.52687438333912517</c:v>
                </c:pt>
                <c:pt idx="402">
                  <c:v>-0.53202801851663395</c:v>
                </c:pt>
                <c:pt idx="403">
                  <c:v>-0.53718171749961752</c:v>
                </c:pt>
                <c:pt idx="404">
                  <c:v>-0.54233548028721279</c:v>
                </c:pt>
                <c:pt idx="405">
                  <c:v>-0.54748930687855668</c:v>
                </c:pt>
                <c:pt idx="406">
                  <c:v>-0.55264319727278599</c:v>
                </c:pt>
                <c:pt idx="407">
                  <c:v>-0.55779715146903763</c:v>
                </c:pt>
                <c:pt idx="408">
                  <c:v>-0.56295116946644863</c:v>
                </c:pt>
                <c:pt idx="409">
                  <c:v>-0.56810525126415568</c:v>
                </c:pt>
                <c:pt idx="410">
                  <c:v>-0.57325939686129579</c:v>
                </c:pt>
                <c:pt idx="411">
                  <c:v>-0.57841360625700577</c:v>
                </c:pt>
                <c:pt idx="412">
                  <c:v>-0.58356787945042254</c:v>
                </c:pt>
                <c:pt idx="413">
                  <c:v>-0.58872221644068301</c:v>
                </c:pt>
                <c:pt idx="414">
                  <c:v>-0.59387661722692398</c:v>
                </c:pt>
                <c:pt idx="415">
                  <c:v>-0.59903108180828246</c:v>
                </c:pt>
                <c:pt idx="416">
                  <c:v>-0.60418561018389527</c:v>
                </c:pt>
                <c:pt idx="417">
                  <c:v>-0.60934020235289921</c:v>
                </c:pt>
                <c:pt idx="418">
                  <c:v>-0.61449485831443129</c:v>
                </c:pt>
                <c:pt idx="419">
                  <c:v>-0.61964957806762833</c:v>
                </c:pt>
                <c:pt idx="420">
                  <c:v>-0.62480436161162722</c:v>
                </c:pt>
                <c:pt idx="421">
                  <c:v>-0.6299592089455649</c:v>
                </c:pt>
                <c:pt idx="422">
                  <c:v>-0.63511412006857815</c:v>
                </c:pt>
                <c:pt idx="423">
                  <c:v>-0.640269094979804</c:v>
                </c:pt>
                <c:pt idx="424">
                  <c:v>-0.64542413367837925</c:v>
                </c:pt>
                <c:pt idx="425">
                  <c:v>-0.65057923616344071</c:v>
                </c:pt>
                <c:pt idx="426">
                  <c:v>-0.6557344024341254</c:v>
                </c:pt>
                <c:pt idx="427">
                  <c:v>-0.66088963248957011</c:v>
                </c:pt>
                <c:pt idx="428">
                  <c:v>-0.66604492632891177</c:v>
                </c:pt>
                <c:pt idx="429">
                  <c:v>-0.67120028395128717</c:v>
                </c:pt>
                <c:pt idx="430">
                  <c:v>-0.67635570535583334</c:v>
                </c:pt>
                <c:pt idx="431">
                  <c:v>-0.68151119054168707</c:v>
                </c:pt>
                <c:pt idx="432">
                  <c:v>-0.68666673950798529</c:v>
                </c:pt>
                <c:pt idx="433">
                  <c:v>-0.69182235225386479</c:v>
                </c:pt>
                <c:pt idx="434">
                  <c:v>-0.6969780287784626</c:v>
                </c:pt>
                <c:pt idx="435">
                  <c:v>-0.70213376908091552</c:v>
                </c:pt>
                <c:pt idx="436">
                  <c:v>-0.70728957316036034</c:v>
                </c:pt>
                <c:pt idx="437">
                  <c:v>-0.7124454410159341</c:v>
                </c:pt>
                <c:pt idx="438">
                  <c:v>-0.71760137264677359</c:v>
                </c:pt>
                <c:pt idx="439">
                  <c:v>-0.72275736805201574</c:v>
                </c:pt>
                <c:pt idx="440">
                  <c:v>-0.72791342723079744</c:v>
                </c:pt>
                <c:pt idx="441">
                  <c:v>-0.7330695501822555</c:v>
                </c:pt>
                <c:pt idx="442">
                  <c:v>-0.73822573690552684</c:v>
                </c:pt>
                <c:pt idx="443">
                  <c:v>-0.74338198739974837</c:v>
                </c:pt>
                <c:pt idx="444">
                  <c:v>-0.74853830166405688</c:v>
                </c:pt>
                <c:pt idx="445">
                  <c:v>-0.75369467969758941</c:v>
                </c:pt>
                <c:pt idx="446">
                  <c:v>-0.75885112149948275</c:v>
                </c:pt>
                <c:pt idx="447">
                  <c:v>-0.76400762706887371</c:v>
                </c:pt>
                <c:pt idx="448">
                  <c:v>-0.7691641964048993</c:v>
                </c:pt>
                <c:pt idx="449">
                  <c:v>-0.77432082950669634</c:v>
                </c:pt>
                <c:pt idx="450">
                  <c:v>-0.77947752637340173</c:v>
                </c:pt>
                <c:pt idx="451">
                  <c:v>-0.78463428700415228</c:v>
                </c:pt>
                <c:pt idx="452">
                  <c:v>-0.78979111139808489</c:v>
                </c:pt>
                <c:pt idx="453">
                  <c:v>-0.79494799955433648</c:v>
                </c:pt>
                <c:pt idx="454">
                  <c:v>-0.80010495147204397</c:v>
                </c:pt>
                <c:pt idx="455">
                  <c:v>-0.80526196715034415</c:v>
                </c:pt>
                <c:pt idx="456">
                  <c:v>-0.81041904658837394</c:v>
                </c:pt>
                <c:pt idx="457">
                  <c:v>-0.81557618978527024</c:v>
                </c:pt>
                <c:pt idx="458">
                  <c:v>-0.82073339674016998</c:v>
                </c:pt>
                <c:pt idx="459">
                  <c:v>-0.82589066745220996</c:v>
                </c:pt>
                <c:pt idx="460">
                  <c:v>-0.83104800192052708</c:v>
                </c:pt>
                <c:pt idx="461">
                  <c:v>-0.83620540014425815</c:v>
                </c:pt>
                <c:pt idx="462">
                  <c:v>-0.84136286212254008</c:v>
                </c:pt>
                <c:pt idx="463">
                  <c:v>-0.84652038785450978</c:v>
                </c:pt>
                <c:pt idx="464">
                  <c:v>-0.85167797733930417</c:v>
                </c:pt>
                <c:pt idx="465">
                  <c:v>-0.85683563057606005</c:v>
                </c:pt>
                <c:pt idx="466">
                  <c:v>-0.86199334756391444</c:v>
                </c:pt>
                <c:pt idx="467">
                  <c:v>-0.86715112830200403</c:v>
                </c:pt>
                <c:pt idx="468">
                  <c:v>-0.87230897278946584</c:v>
                </c:pt>
                <c:pt idx="469">
                  <c:v>-0.87746688102543668</c:v>
                </c:pt>
                <c:pt idx="470">
                  <c:v>-0.88262485300905347</c:v>
                </c:pt>
                <c:pt idx="471">
                  <c:v>-0.88778288873945299</c:v>
                </c:pt>
                <c:pt idx="472">
                  <c:v>-0.89294098821577217</c:v>
                </c:pt>
                <c:pt idx="473">
                  <c:v>-0.89809915143714791</c:v>
                </c:pt>
                <c:pt idx="474">
                  <c:v>-0.90325737840271714</c:v>
                </c:pt>
                <c:pt idx="475">
                  <c:v>-0.90841566911161664</c:v>
                </c:pt>
                <c:pt idx="476">
                  <c:v>-0.91357402356298334</c:v>
                </c:pt>
                <c:pt idx="477">
                  <c:v>-0.91873244175595414</c:v>
                </c:pt>
                <c:pt idx="478">
                  <c:v>-0.92389092368966586</c:v>
                </c:pt>
                <c:pt idx="479">
                  <c:v>-0.92904946936325539</c:v>
                </c:pt>
                <c:pt idx="480">
                  <c:v>-0.93420807877585965</c:v>
                </c:pt>
                <c:pt idx="481">
                  <c:v>-0.93936675192661545</c:v>
                </c:pt>
                <c:pt idx="482">
                  <c:v>-0.94452548881465981</c:v>
                </c:pt>
                <c:pt idx="483">
                  <c:v>-0.94968428943912941</c:v>
                </c:pt>
                <c:pt idx="484">
                  <c:v>-0.95484315379916129</c:v>
                </c:pt>
                <c:pt idx="485">
                  <c:v>-0.96000208189389225</c:v>
                </c:pt>
                <c:pt idx="486">
                  <c:v>-0.96516107372245918</c:v>
                </c:pt>
                <c:pt idx="487">
                  <c:v>-0.97032012928399891</c:v>
                </c:pt>
                <c:pt idx="488">
                  <c:v>-0.97547924857764834</c:v>
                </c:pt>
                <c:pt idx="489">
                  <c:v>-0.98063843160254438</c:v>
                </c:pt>
                <c:pt idx="490">
                  <c:v>-0.98579767835782395</c:v>
                </c:pt>
                <c:pt idx="491">
                  <c:v>-0.99095698884262384</c:v>
                </c:pt>
                <c:pt idx="492">
                  <c:v>-0.99611636305608098</c:v>
                </c:pt>
                <c:pt idx="493">
                  <c:v>-1.0012758009973322</c:v>
                </c:pt>
                <c:pt idx="494">
                  <c:v>-1.0064353026655144</c:v>
                </c:pt>
                <c:pt idx="495">
                  <c:v>-1.0115948680597644</c:v>
                </c:pt>
                <c:pt idx="496">
                  <c:v>-1.0167544971792191</c:v>
                </c:pt>
                <c:pt idx="497">
                  <c:v>-1.0219141900230155</c:v>
                </c:pt>
                <c:pt idx="498">
                  <c:v>-1.0270739465902905</c:v>
                </c:pt>
                <c:pt idx="499">
                  <c:v>-1.0322337668801806</c:v>
                </c:pt>
                <c:pt idx="500">
                  <c:v>-1.0373936508918231</c:v>
                </c:pt>
                <c:pt idx="501">
                  <c:v>-1.0425535986243546</c:v>
                </c:pt>
                <c:pt idx="502">
                  <c:v>-1.0477136100769122</c:v>
                </c:pt>
                <c:pt idx="503">
                  <c:v>-1.0528736852486327</c:v>
                </c:pt>
                <c:pt idx="504">
                  <c:v>-1.0580338241386529</c:v>
                </c:pt>
                <c:pt idx="505">
                  <c:v>-1.0631940267461097</c:v>
                </c:pt>
                <c:pt idx="506">
                  <c:v>-1.06835429307014</c:v>
                </c:pt>
                <c:pt idx="507">
                  <c:v>-1.0735146231098807</c:v>
                </c:pt>
                <c:pt idx="508">
                  <c:v>-1.0786750168644685</c:v>
                </c:pt>
                <c:pt idx="509">
                  <c:v>-1.0838354743330405</c:v>
                </c:pt>
                <c:pt idx="510">
                  <c:v>-1.0889959955147335</c:v>
                </c:pt>
                <c:pt idx="511">
                  <c:v>-1.0941565804086844</c:v>
                </c:pt>
                <c:pt idx="512">
                  <c:v>-1.0993172290140298</c:v>
                </c:pt>
                <c:pt idx="513">
                  <c:v>-1.1044779413299071</c:v>
                </c:pt>
                <c:pt idx="514">
                  <c:v>-1.1096387173554527</c:v>
                </c:pt>
                <c:pt idx="515">
                  <c:v>-1.1147995570898037</c:v>
                </c:pt>
                <c:pt idx="516">
                  <c:v>-1.119960460532097</c:v>
                </c:pt>
                <c:pt idx="517">
                  <c:v>-1.1251214276814694</c:v>
                </c:pt>
                <c:pt idx="518">
                  <c:v>-1.1302824585370577</c:v>
                </c:pt>
                <c:pt idx="519">
                  <c:v>-1.1354435530979987</c:v>
                </c:pt>
                <c:pt idx="520">
                  <c:v>-1.1406047113634297</c:v>
                </c:pt>
                <c:pt idx="521">
                  <c:v>-1.1457659333324872</c:v>
                </c:pt>
                <c:pt idx="522">
                  <c:v>-1.1509272190043083</c:v>
                </c:pt>
                <c:pt idx="523">
                  <c:v>-1.1560885683780295</c:v>
                </c:pt>
                <c:pt idx="524">
                  <c:v>-1.1612499814527881</c:v>
                </c:pt>
                <c:pt idx="525">
                  <c:v>-1.1664114582277207</c:v>
                </c:pt>
                <c:pt idx="526">
                  <c:v>-1.1715729987019643</c:v>
                </c:pt>
                <c:pt idx="527">
                  <c:v>-1.1767346028746557</c:v>
                </c:pt>
                <c:pt idx="528">
                  <c:v>-1.1818962707449319</c:v>
                </c:pt>
                <c:pt idx="529">
                  <c:v>-1.1870580023119297</c:v>
                </c:pt>
                <c:pt idx="530">
                  <c:v>-1.1922197975747859</c:v>
                </c:pt>
                <c:pt idx="531">
                  <c:v>-1.1973816565326374</c:v>
                </c:pt>
                <c:pt idx="532">
                  <c:v>-1.2025435791846211</c:v>
                </c:pt>
                <c:pt idx="533">
                  <c:v>-1.2077055655298738</c:v>
                </c:pt>
                <c:pt idx="534">
                  <c:v>-1.2128676155675326</c:v>
                </c:pt>
                <c:pt idx="535">
                  <c:v>-1.2180297292967344</c:v>
                </c:pt>
                <c:pt idx="536">
                  <c:v>-1.2231919067166157</c:v>
                </c:pt>
                <c:pt idx="537">
                  <c:v>-1.2283541478263136</c:v>
                </c:pt>
                <c:pt idx="538">
                  <c:v>-1.2335164526249649</c:v>
                </c:pt>
                <c:pt idx="539">
                  <c:v>-1.2386788211117066</c:v>
                </c:pt>
                <c:pt idx="540">
                  <c:v>-1.2438412532856755</c:v>
                </c:pt>
                <c:pt idx="541">
                  <c:v>-1.2490037491460084</c:v>
                </c:pt>
                <c:pt idx="542">
                  <c:v>-1.2541663086918422</c:v>
                </c:pt>
                <c:pt idx="543">
                  <c:v>-1.259328931922314</c:v>
                </c:pt>
                <c:pt idx="544">
                  <c:v>-1.2644916188365602</c:v>
                </c:pt>
                <c:pt idx="545">
                  <c:v>-1.2696543694337181</c:v>
                </c:pt>
                <c:pt idx="546">
                  <c:v>-1.2748171837129245</c:v>
                </c:pt>
                <c:pt idx="547">
                  <c:v>-1.2799800616733161</c:v>
                </c:pt>
                <c:pt idx="548">
                  <c:v>-1.2851430033140299</c:v>
                </c:pt>
                <c:pt idx="549">
                  <c:v>-1.2903060086342026</c:v>
                </c:pt>
                <c:pt idx="550">
                  <c:v>-1.2954690776329714</c:v>
                </c:pt>
                <c:pt idx="551">
                  <c:v>-1.300632210309473</c:v>
                </c:pt>
                <c:pt idx="552">
                  <c:v>-1.3057954066628441</c:v>
                </c:pt>
                <c:pt idx="553">
                  <c:v>-1.3109586666922217</c:v>
                </c:pt>
                <c:pt idx="554">
                  <c:v>-1.3161219903967429</c:v>
                </c:pt>
                <c:pt idx="555">
                  <c:v>-1.3212853777755442</c:v>
                </c:pt>
                <c:pt idx="556">
                  <c:v>-1.3264488288277627</c:v>
                </c:pt>
                <c:pt idx="557">
                  <c:v>-1.3316123435525353</c:v>
                </c:pt>
                <c:pt idx="558">
                  <c:v>-1.3367759219489987</c:v>
                </c:pt>
                <c:pt idx="559">
                  <c:v>-1.3419395640162899</c:v>
                </c:pt>
                <c:pt idx="560">
                  <c:v>-1.3471032697535457</c:v>
                </c:pt>
                <c:pt idx="561">
                  <c:v>-1.352267039159903</c:v>
                </c:pt>
                <c:pt idx="562">
                  <c:v>-1.3574308722344988</c:v>
                </c:pt>
                <c:pt idx="563">
                  <c:v>-1.3625947689764697</c:v>
                </c:pt>
                <c:pt idx="564">
                  <c:v>-1.3677587293849527</c:v>
                </c:pt>
                <c:pt idx="565">
                  <c:v>-1.3729227534590847</c:v>
                </c:pt>
                <c:pt idx="566">
                  <c:v>-1.3780868411980025</c:v>
                </c:pt>
                <c:pt idx="567">
                  <c:v>-1.3832509926008432</c:v>
                </c:pt>
                <c:pt idx="568">
                  <c:v>-1.3884152076667433</c:v>
                </c:pt>
                <c:pt idx="569">
                  <c:v>-1.3935794863948399</c:v>
                </c:pt>
                <c:pt idx="570">
                  <c:v>-1.3987438287842697</c:v>
                </c:pt>
                <c:pt idx="571">
                  <c:v>-1.4039082348341698</c:v>
                </c:pt>
                <c:pt idx="572">
                  <c:v>-1.4090727045436771</c:v>
                </c:pt>
                <c:pt idx="573">
                  <c:v>-1.4142372379119283</c:v>
                </c:pt>
                <c:pt idx="574">
                  <c:v>-1.4194018349380604</c:v>
                </c:pt>
                <c:pt idx="575">
                  <c:v>-1.4245664956212101</c:v>
                </c:pt>
                <c:pt idx="576">
                  <c:v>-1.4297312199605143</c:v>
                </c:pt>
                <c:pt idx="577">
                  <c:v>-1.4348960079551101</c:v>
                </c:pt>
                <c:pt idx="578">
                  <c:v>-1.440060859604134</c:v>
                </c:pt>
                <c:pt idx="579">
                  <c:v>-1.4452257749067232</c:v>
                </c:pt>
                <c:pt idx="580">
                  <c:v>-1.4503907538620144</c:v>
                </c:pt>
                <c:pt idx="581">
                  <c:v>-1.4555557964691446</c:v>
                </c:pt>
                <c:pt idx="582">
                  <c:v>-1.4607209027272503</c:v>
                </c:pt>
                <c:pt idx="583">
                  <c:v>-1.4658860726354688</c:v>
                </c:pt>
                <c:pt idx="584">
                  <c:v>-1.4710513061929367</c:v>
                </c:pt>
                <c:pt idx="585">
                  <c:v>-1.4762166033987911</c:v>
                </c:pt>
                <c:pt idx="586">
                  <c:v>-1.4813819642521688</c:v>
                </c:pt>
                <c:pt idx="587">
                  <c:v>-1.4865473887522065</c:v>
                </c:pt>
                <c:pt idx="588">
                  <c:v>-1.4917128768980412</c:v>
                </c:pt>
                <c:pt idx="589">
                  <c:v>-1.4968784286888099</c:v>
                </c:pt>
                <c:pt idx="590">
                  <c:v>-1.5020440441236493</c:v>
                </c:pt>
                <c:pt idx="591">
                  <c:v>-1.5072097232016963</c:v>
                </c:pt>
                <c:pt idx="592">
                  <c:v>-1.5123754659220878</c:v>
                </c:pt>
                <c:pt idx="593">
                  <c:v>-1.5175412722839605</c:v>
                </c:pt>
                <c:pt idx="594">
                  <c:v>-1.5227071422864515</c:v>
                </c:pt>
                <c:pt idx="595">
                  <c:v>-1.5278730759286976</c:v>
                </c:pt>
                <c:pt idx="596">
                  <c:v>-1.5330390732098356</c:v>
                </c:pt>
                <c:pt idx="597">
                  <c:v>-1.5382051341290024</c:v>
                </c:pt>
                <c:pt idx="598">
                  <c:v>-1.543371258685335</c:v>
                </c:pt>
                <c:pt idx="599">
                  <c:v>-1.54853744687797</c:v>
                </c:pt>
                <c:pt idx="600">
                  <c:v>-1.5537036987060444</c:v>
                </c:pt>
                <c:pt idx="601">
                  <c:v>-1.5588700141686951</c:v>
                </c:pt>
                <c:pt idx="602">
                  <c:v>-1.5640363932650589</c:v>
                </c:pt>
                <c:pt idx="603">
                  <c:v>-1.5692028359942729</c:v>
                </c:pt>
                <c:pt idx="604">
                  <c:v>-1.5743693423554737</c:v>
                </c:pt>
                <c:pt idx="605">
                  <c:v>-1.5795359123477983</c:v>
                </c:pt>
                <c:pt idx="606">
                  <c:v>-1.5847025459703836</c:v>
                </c:pt>
                <c:pt idx="607">
                  <c:v>-1.5898692432223664</c:v>
                </c:pt>
                <c:pt idx="608">
                  <c:v>-1.5950360041028835</c:v>
                </c:pt>
                <c:pt idx="609">
                  <c:v>-1.6002028286110719</c:v>
                </c:pt>
                <c:pt idx="610">
                  <c:v>-1.6053697167460683</c:v>
                </c:pt>
                <c:pt idx="611">
                  <c:v>-1.6105366685070097</c:v>
                </c:pt>
                <c:pt idx="612">
                  <c:v>-1.615703683893033</c:v>
                </c:pt>
                <c:pt idx="613">
                  <c:v>-1.620870762903275</c:v>
                </c:pt>
                <c:pt idx="614">
                  <c:v>-1.6260379055368726</c:v>
                </c:pt>
                <c:pt idx="615">
                  <c:v>-1.6312051117929625</c:v>
                </c:pt>
                <c:pt idx="616">
                  <c:v>-1.6363723816706819</c:v>
                </c:pt>
                <c:pt idx="617">
                  <c:v>-1.6415397151691673</c:v>
                </c:pt>
                <c:pt idx="618">
                  <c:v>-1.6467071122875558</c:v>
                </c:pt>
                <c:pt idx="619">
                  <c:v>-1.6518745730249844</c:v>
                </c:pt>
                <c:pt idx="620">
                  <c:v>-1.6570420973805897</c:v>
                </c:pt>
                <c:pt idx="621">
                  <c:v>-1.6622096853535087</c:v>
                </c:pt>
                <c:pt idx="622">
                  <c:v>-1.6673773369428782</c:v>
                </c:pt>
                <c:pt idx="623">
                  <c:v>-1.6725450521478349</c:v>
                </c:pt>
                <c:pt idx="624">
                  <c:v>-1.677712830967516</c:v>
                </c:pt>
                <c:pt idx="625">
                  <c:v>-1.6828806734010582</c:v>
                </c:pt>
                <c:pt idx="626">
                  <c:v>-1.6880485794475983</c:v>
                </c:pt>
                <c:pt idx="627">
                  <c:v>-1.6932165491062734</c:v>
                </c:pt>
                <c:pt idx="628">
                  <c:v>-1.6983845823762203</c:v>
                </c:pt>
                <c:pt idx="629">
                  <c:v>-1.7035526792565756</c:v>
                </c:pt>
                <c:pt idx="630">
                  <c:v>-1.7087208397464766</c:v>
                </c:pt>
                <c:pt idx="631">
                  <c:v>-1.7138890638450599</c:v>
                </c:pt>
                <c:pt idx="632">
                  <c:v>-1.7190573515514622</c:v>
                </c:pt>
                <c:pt idx="633">
                  <c:v>-1.7242257028648207</c:v>
                </c:pt>
                <c:pt idx="634">
                  <c:v>-1.7293941177842722</c:v>
                </c:pt>
                <c:pt idx="635">
                  <c:v>-1.7345625963089535</c:v>
                </c:pt>
                <c:pt idx="636">
                  <c:v>-1.7397311384380014</c:v>
                </c:pt>
                <c:pt idx="637">
                  <c:v>-1.7448997441705529</c:v>
                </c:pt>
                <c:pt idx="638">
                  <c:v>-1.7500684135057447</c:v>
                </c:pt>
                <c:pt idx="639">
                  <c:v>-1.7552371464427139</c:v>
                </c:pt>
                <c:pt idx="640">
                  <c:v>-1.7604059429805972</c:v>
                </c:pt>
                <c:pt idx="641">
                  <c:v>-1.7655748031185314</c:v>
                </c:pt>
                <c:pt idx="642">
                  <c:v>-1.7707437268556536</c:v>
                </c:pt>
                <c:pt idx="643">
                  <c:v>-1.7759127141911004</c:v>
                </c:pt>
                <c:pt idx="644">
                  <c:v>-1.781081765124009</c:v>
                </c:pt>
                <c:pt idx="645">
                  <c:v>-1.7862508796535159</c:v>
                </c:pt>
                <c:pt idx="646">
                  <c:v>-1.7914200577787582</c:v>
                </c:pt>
                <c:pt idx="647">
                  <c:v>-1.7965892994988728</c:v>
                </c:pt>
                <c:pt idx="648">
                  <c:v>-1.8017586048129963</c:v>
                </c:pt>
                <c:pt idx="649">
                  <c:v>-1.8069279737202659</c:v>
                </c:pt>
                <c:pt idx="650">
                  <c:v>-1.8120974062198183</c:v>
                </c:pt>
                <c:pt idx="651">
                  <c:v>-1.8172669023107904</c:v>
                </c:pt>
                <c:pt idx="652">
                  <c:v>-1.822436461992319</c:v>
                </c:pt>
                <c:pt idx="653">
                  <c:v>-1.827606085263541</c:v>
                </c:pt>
                <c:pt idx="654">
                  <c:v>-1.8327757721235931</c:v>
                </c:pt>
                <c:pt idx="655">
                  <c:v>-1.8379455225716126</c:v>
                </c:pt>
                <c:pt idx="656">
                  <c:v>-1.8431153366067361</c:v>
                </c:pt>
                <c:pt idx="657">
                  <c:v>-1.8482852142281003</c:v>
                </c:pt>
                <c:pt idx="658">
                  <c:v>-1.8534551554348424</c:v>
                </c:pt>
                <c:pt idx="659">
                  <c:v>-1.858625160226099</c:v>
                </c:pt>
                <c:pt idx="660">
                  <c:v>-1.8637952286010071</c:v>
                </c:pt>
                <c:pt idx="661">
                  <c:v>-1.8689653605587035</c:v>
                </c:pt>
                <c:pt idx="662">
                  <c:v>-1.8741355560983253</c:v>
                </c:pt>
                <c:pt idx="663">
                  <c:v>-1.879305815219009</c:v>
                </c:pt>
                <c:pt idx="664">
                  <c:v>-1.8844761379198918</c:v>
                </c:pt>
                <c:pt idx="665">
                  <c:v>-1.8896465242001104</c:v>
                </c:pt>
                <c:pt idx="666">
                  <c:v>-1.8948169740588017</c:v>
                </c:pt>
                <c:pt idx="667">
                  <c:v>-1.8999874874951024</c:v>
                </c:pt>
                <c:pt idx="668">
                  <c:v>-1.9051580645081496</c:v>
                </c:pt>
                <c:pt idx="669">
                  <c:v>-1.9103287050970801</c:v>
                </c:pt>
                <c:pt idx="670">
                  <c:v>-1.9154994092610307</c:v>
                </c:pt>
                <c:pt idx="671">
                  <c:v>-1.9206701769991383</c:v>
                </c:pt>
                <c:pt idx="672">
                  <c:v>-1.9258410083105397</c:v>
                </c:pt>
                <c:pt idx="673">
                  <c:v>-1.931011903194372</c:v>
                </c:pt>
                <c:pt idx="674">
                  <c:v>-1.9361828616497718</c:v>
                </c:pt>
                <c:pt idx="675">
                  <c:v>-1.9413538836758761</c:v>
                </c:pt>
                <c:pt idx="676">
                  <c:v>-1.9465249692718218</c:v>
                </c:pt>
                <c:pt idx="677">
                  <c:v>-1.9516961184367456</c:v>
                </c:pt>
                <c:pt idx="678">
                  <c:v>-1.9568673311697846</c:v>
                </c:pt>
                <c:pt idx="679">
                  <c:v>-1.9620386074700755</c:v>
                </c:pt>
                <c:pt idx="680">
                  <c:v>-1.9672099473367552</c:v>
                </c:pt>
                <c:pt idx="681">
                  <c:v>-1.9723813507689607</c:v>
                </c:pt>
                <c:pt idx="682">
                  <c:v>-1.9775528177658286</c:v>
                </c:pt>
                <c:pt idx="683">
                  <c:v>-1.9827243483264958</c:v>
                </c:pt>
                <c:pt idx="684">
                  <c:v>-1.9878959424500995</c:v>
                </c:pt>
                <c:pt idx="685">
                  <c:v>-1.9930676001357761</c:v>
                </c:pt>
                <c:pt idx="686">
                  <c:v>-1.9982393213826628</c:v>
                </c:pt>
                <c:pt idx="687">
                  <c:v>-2.0034111061898963</c:v>
                </c:pt>
                <c:pt idx="688">
                  <c:v>-2.0085829545566134</c:v>
                </c:pt>
                <c:pt idx="689">
                  <c:v>-2.0137548664819516</c:v>
                </c:pt>
                <c:pt idx="690">
                  <c:v>-2.018926841965047</c:v>
                </c:pt>
                <c:pt idx="691">
                  <c:v>-2.0240988810050369</c:v>
                </c:pt>
                <c:pt idx="692">
                  <c:v>-2.0292709836010578</c:v>
                </c:pt>
                <c:pt idx="693">
                  <c:v>-2.034443149752247</c:v>
                </c:pt>
                <c:pt idx="694">
                  <c:v>-2.0396153794577412</c:v>
                </c:pt>
                <c:pt idx="695">
                  <c:v>-2.0447876727166769</c:v>
                </c:pt>
                <c:pt idx="696">
                  <c:v>-2.0499600295281915</c:v>
                </c:pt>
                <c:pt idx="697">
                  <c:v>-2.0551324498914214</c:v>
                </c:pt>
                <c:pt idx="698">
                  <c:v>-2.0603049338055039</c:v>
                </c:pt>
                <c:pt idx="699">
                  <c:v>-2.0654774812695758</c:v>
                </c:pt>
                <c:pt idx="700">
                  <c:v>-2.0706500922827735</c:v>
                </c:pt>
                <c:pt idx="701">
                  <c:v>-2.0758227668442344</c:v>
                </c:pt>
                <c:pt idx="702">
                  <c:v>-2.080995504953095</c:v>
                </c:pt>
                <c:pt idx="703">
                  <c:v>-2.0861683066084926</c:v>
                </c:pt>
                <c:pt idx="704">
                  <c:v>-2.0913411718095638</c:v>
                </c:pt>
                <c:pt idx="705">
                  <c:v>-2.0965141005554453</c:v>
                </c:pt>
                <c:pt idx="706">
                  <c:v>-2.1016870928452742</c:v>
                </c:pt>
                <c:pt idx="707">
                  <c:v>-2.1068601486781873</c:v>
                </c:pt>
                <c:pt idx="708">
                  <c:v>-2.1120332680533211</c:v>
                </c:pt>
                <c:pt idx="709">
                  <c:v>-2.117206450969813</c:v>
                </c:pt>
                <c:pt idx="710">
                  <c:v>-2.1223796974267999</c:v>
                </c:pt>
                <c:pt idx="711">
                  <c:v>-2.1275530074234181</c:v>
                </c:pt>
                <c:pt idx="712">
                  <c:v>-2.1327263809588048</c:v>
                </c:pt>
                <c:pt idx="713">
                  <c:v>-2.1378998180320972</c:v>
                </c:pt>
                <c:pt idx="714">
                  <c:v>-2.1430733186424318</c:v>
                </c:pt>
                <c:pt idx="715">
                  <c:v>-2.1482468827889454</c:v>
                </c:pt>
                <c:pt idx="716">
                  <c:v>-2.1534205104707751</c:v>
                </c:pt>
                <c:pt idx="717">
                  <c:v>-2.1585942016870576</c:v>
                </c:pt>
                <c:pt idx="718">
                  <c:v>-2.1637679564369301</c:v>
                </c:pt>
                <c:pt idx="719">
                  <c:v>-2.1689417747195288</c:v>
                </c:pt>
                <c:pt idx="720">
                  <c:v>-2.1741156565339912</c:v>
                </c:pt>
                <c:pt idx="721">
                  <c:v>-2.1792896018794536</c:v>
                </c:pt>
                <c:pt idx="722">
                  <c:v>-2.1844636107550537</c:v>
                </c:pt>
                <c:pt idx="723">
                  <c:v>-2.1896376831599276</c:v>
                </c:pt>
                <c:pt idx="724">
                  <c:v>-2.1948118190932124</c:v>
                </c:pt>
                <c:pt idx="725">
                  <c:v>-2.199986018554045</c:v>
                </c:pt>
                <c:pt idx="726">
                  <c:v>-2.2051602815415623</c:v>
                </c:pt>
                <c:pt idx="727">
                  <c:v>-2.2103346080549011</c:v>
                </c:pt>
                <c:pt idx="728">
                  <c:v>-2.2155089980931981</c:v>
                </c:pt>
                <c:pt idx="729">
                  <c:v>-2.2206834516555904</c:v>
                </c:pt>
                <c:pt idx="730">
                  <c:v>-2.2258579687412148</c:v>
                </c:pt>
                <c:pt idx="731">
                  <c:v>-2.2310325493492082</c:v>
                </c:pt>
                <c:pt idx="732">
                  <c:v>-2.2362071934787076</c:v>
                </c:pt>
                <c:pt idx="733">
                  <c:v>-2.2413819011288494</c:v>
                </c:pt>
                <c:pt idx="734">
                  <c:v>-2.2465566722987709</c:v>
                </c:pt>
                <c:pt idx="735">
                  <c:v>-2.2517315069876092</c:v>
                </c:pt>
                <c:pt idx="736">
                  <c:v>-2.2569064051945005</c:v>
                </c:pt>
                <c:pt idx="737">
                  <c:v>-2.262081366918582</c:v>
                </c:pt>
                <c:pt idx="738">
                  <c:v>-2.2672563921589908</c:v>
                </c:pt>
                <c:pt idx="739">
                  <c:v>-2.2724314809148631</c:v>
                </c:pt>
                <c:pt idx="740">
                  <c:v>-2.2776066331853366</c:v>
                </c:pt>
                <c:pt idx="741">
                  <c:v>-2.2827818489695475</c:v>
                </c:pt>
                <c:pt idx="742">
                  <c:v>-2.2879571282666329</c:v>
                </c:pt>
                <c:pt idx="743">
                  <c:v>-2.2931324710757299</c:v>
                </c:pt>
                <c:pt idx="744">
                  <c:v>-2.2983078773959749</c:v>
                </c:pt>
                <c:pt idx="745">
                  <c:v>-2.3034833472265048</c:v>
                </c:pt>
                <c:pt idx="746">
                  <c:v>-2.308658880566457</c:v>
                </c:pt>
                <c:pt idx="747">
                  <c:v>-2.3138344774149679</c:v>
                </c:pt>
                <c:pt idx="748">
                  <c:v>-2.3190101377711745</c:v>
                </c:pt>
                <c:pt idx="749">
                  <c:v>-2.3241858616342137</c:v>
                </c:pt>
                <c:pt idx="750">
                  <c:v>-2.3293616490032223</c:v>
                </c:pt>
                <c:pt idx="751">
                  <c:v>-2.3345374998773374</c:v>
                </c:pt>
                <c:pt idx="752">
                  <c:v>-2.3397134142556957</c:v>
                </c:pt>
                <c:pt idx="753">
                  <c:v>-2.3448893921374339</c:v>
                </c:pt>
                <c:pt idx="754">
                  <c:v>-2.3500654335216891</c:v>
                </c:pt>
                <c:pt idx="755">
                  <c:v>-2.355241538407598</c:v>
                </c:pt>
                <c:pt idx="756">
                  <c:v>-2.3604177067942973</c:v>
                </c:pt>
                <c:pt idx="757">
                  <c:v>-2.3655939386809242</c:v>
                </c:pt>
                <c:pt idx="758">
                  <c:v>-2.3707702340666157</c:v>
                </c:pt>
                <c:pt idx="759">
                  <c:v>-2.3759465929505081</c:v>
                </c:pt>
                <c:pt idx="760">
                  <c:v>-2.3811230153317391</c:v>
                </c:pt>
                <c:pt idx="761">
                  <c:v>-2.3862995012094448</c:v>
                </c:pt>
                <c:pt idx="762">
                  <c:v>-2.3914760505827624</c:v>
                </c:pt>
                <c:pt idx="763">
                  <c:v>-2.3966526634508285</c:v>
                </c:pt>
                <c:pt idx="764">
                  <c:v>-2.4018293398127804</c:v>
                </c:pt>
                <c:pt idx="765">
                  <c:v>-2.4070060796677546</c:v>
                </c:pt>
                <c:pt idx="766">
                  <c:v>-2.4121828830148884</c:v>
                </c:pt>
                <c:pt idx="767">
                  <c:v>-2.4173597498533179</c:v>
                </c:pt>
                <c:pt idx="768">
                  <c:v>-2.4225366801821808</c:v>
                </c:pt>
                <c:pt idx="769">
                  <c:v>-2.4277136740006133</c:v>
                </c:pt>
                <c:pt idx="770">
                  <c:v>-2.4328907313077526</c:v>
                </c:pt>
                <c:pt idx="771">
                  <c:v>-2.4380678521027357</c:v>
                </c:pt>
                <c:pt idx="772">
                  <c:v>-2.4432450363846994</c:v>
                </c:pt>
                <c:pt idx="773">
                  <c:v>-2.4484222841527803</c:v>
                </c:pt>
                <c:pt idx="774">
                  <c:v>-2.4535995954061156</c:v>
                </c:pt>
                <c:pt idx="775">
                  <c:v>-2.458776970143842</c:v>
                </c:pt>
                <c:pt idx="776">
                  <c:v>-2.4639544083650962</c:v>
                </c:pt>
                <c:pt idx="777">
                  <c:v>-2.4691319100690152</c:v>
                </c:pt>
                <c:pt idx="778">
                  <c:v>-2.4743094752547359</c:v>
                </c:pt>
                <c:pt idx="779">
                  <c:v>-2.4794871039213953</c:v>
                </c:pt>
                <c:pt idx="780">
                  <c:v>-2.4846647960681301</c:v>
                </c:pt>
                <c:pt idx="781">
                  <c:v>-2.489842551694077</c:v>
                </c:pt>
                <c:pt idx="782">
                  <c:v>-2.4950203707983731</c:v>
                </c:pt>
                <c:pt idx="783">
                  <c:v>-2.5001982533801557</c:v>
                </c:pt>
                <c:pt idx="784">
                  <c:v>-2.5053761994385608</c:v>
                </c:pt>
                <c:pt idx="785">
                  <c:v>-2.5105542089727257</c:v>
                </c:pt>
                <c:pt idx="786">
                  <c:v>-2.5157322819817876</c:v>
                </c:pt>
                <c:pt idx="787">
                  <c:v>-2.5209104184648825</c:v>
                </c:pt>
                <c:pt idx="788">
                  <c:v>-2.5260886184211482</c:v>
                </c:pt>
                <c:pt idx="789">
                  <c:v>-2.5312668818497208</c:v>
                </c:pt>
                <c:pt idx="790">
                  <c:v>-2.5364452087497376</c:v>
                </c:pt>
                <c:pt idx="791">
                  <c:v>-2.5416235991203355</c:v>
                </c:pt>
                <c:pt idx="792">
                  <c:v>-2.546802052960651</c:v>
                </c:pt>
                <c:pt idx="793">
                  <c:v>-2.5519805702698215</c:v>
                </c:pt>
                <c:pt idx="794">
                  <c:v>-2.5571591510469833</c:v>
                </c:pt>
                <c:pt idx="795">
                  <c:v>-2.5623377952912736</c:v>
                </c:pt>
                <c:pt idx="796">
                  <c:v>-2.5675165030018294</c:v>
                </c:pt>
                <c:pt idx="797">
                  <c:v>-2.5726952741777875</c:v>
                </c:pt>
                <c:pt idx="798">
                  <c:v>-2.5778741088182846</c:v>
                </c:pt>
                <c:pt idx="799">
                  <c:v>-2.5830530069224573</c:v>
                </c:pt>
                <c:pt idx="800">
                  <c:v>-2.5882319684894428</c:v>
                </c:pt>
                <c:pt idx="801">
                  <c:v>-2.5934109935183782</c:v>
                </c:pt>
                <c:pt idx="802">
                  <c:v>-2.5985900820083998</c:v>
                </c:pt>
                <c:pt idx="803">
                  <c:v>-2.6037692339586451</c:v>
                </c:pt>
                <c:pt idx="804">
                  <c:v>-2.6089484493682504</c:v>
                </c:pt>
                <c:pt idx="805">
                  <c:v>-2.6141277282363529</c:v>
                </c:pt>
                <c:pt idx="806">
                  <c:v>-2.6193070705620896</c:v>
                </c:pt>
                <c:pt idx="807">
                  <c:v>-2.6244864763445968</c:v>
                </c:pt>
                <c:pt idx="808">
                  <c:v>-2.629665945583012</c:v>
                </c:pt>
                <c:pt idx="809">
                  <c:v>-2.6348454782764716</c:v>
                </c:pt>
                <c:pt idx="810">
                  <c:v>-2.6400250744241127</c:v>
                </c:pt>
                <c:pt idx="811">
                  <c:v>-2.6452047340250724</c:v>
                </c:pt>
                <c:pt idx="812">
                  <c:v>-2.6503844570784869</c:v>
                </c:pt>
                <c:pt idx="813">
                  <c:v>-2.6555642435834939</c:v>
                </c:pt>
                <c:pt idx="814">
                  <c:v>-2.6607440935392295</c:v>
                </c:pt>
                <c:pt idx="815">
                  <c:v>-2.6659240069448309</c:v>
                </c:pt>
                <c:pt idx="816">
                  <c:v>-2.6711039837994348</c:v>
                </c:pt>
                <c:pt idx="817">
                  <c:v>-2.6762840241021784</c:v>
                </c:pt>
                <c:pt idx="818">
                  <c:v>-2.6814641278521982</c:v>
                </c:pt>
                <c:pt idx="819">
                  <c:v>-2.6866442950486316</c:v>
                </c:pt>
                <c:pt idx="820">
                  <c:v>-2.691824525690615</c:v>
                </c:pt>
                <c:pt idx="821">
                  <c:v>-2.6970048197772853</c:v>
                </c:pt>
                <c:pt idx="822">
                  <c:v>-2.7021851773077796</c:v>
                </c:pt>
                <c:pt idx="823">
                  <c:v>-2.7073655982812346</c:v>
                </c:pt>
                <c:pt idx="824">
                  <c:v>-2.7125460826967873</c:v>
                </c:pt>
                <c:pt idx="825">
                  <c:v>-2.7177266305535746</c:v>
                </c:pt>
                <c:pt idx="826">
                  <c:v>-2.722907241850733</c:v>
                </c:pt>
                <c:pt idx="827">
                  <c:v>-2.7280879165873997</c:v>
                </c:pt>
                <c:pt idx="828">
                  <c:v>-2.7332686547627114</c:v>
                </c:pt>
                <c:pt idx="829">
                  <c:v>-2.7384494563758053</c:v>
                </c:pt>
                <c:pt idx="830">
                  <c:v>-2.743630321425818</c:v>
                </c:pt>
                <c:pt idx="831">
                  <c:v>-2.7488112499118862</c:v>
                </c:pt>
                <c:pt idx="832">
                  <c:v>-2.7539922418331471</c:v>
                </c:pt>
                <c:pt idx="833">
                  <c:v>-2.7591732971887373</c:v>
                </c:pt>
                <c:pt idx="834">
                  <c:v>-2.764354415977794</c:v>
                </c:pt>
                <c:pt idx="835">
                  <c:v>-2.7695355981994538</c:v>
                </c:pt>
                <c:pt idx="836">
                  <c:v>-2.7747168438528536</c:v>
                </c:pt>
                <c:pt idx="837">
                  <c:v>-2.7798981529371303</c:v>
                </c:pt>
                <c:pt idx="838">
                  <c:v>-2.7850795254514207</c:v>
                </c:pt>
                <c:pt idx="839">
                  <c:v>-2.7902609613948619</c:v>
                </c:pt>
                <c:pt idx="840">
                  <c:v>-2.7954424607665906</c:v>
                </c:pt>
                <c:pt idx="841">
                  <c:v>-2.8006240235657436</c:v>
                </c:pt>
                <c:pt idx="842">
                  <c:v>-2.8058056497914579</c:v>
                </c:pt>
                <c:pt idx="843">
                  <c:v>-2.8109873394428702</c:v>
                </c:pt>
                <c:pt idx="844">
                  <c:v>-2.8161690925191176</c:v>
                </c:pt>
                <c:pt idx="845">
                  <c:v>-2.8213509090193369</c:v>
                </c:pt>
                <c:pt idx="846">
                  <c:v>-2.8265327889426648</c:v>
                </c:pt>
                <c:pt idx="847">
                  <c:v>-2.8317147322882383</c:v>
                </c:pt>
                <c:pt idx="848">
                  <c:v>-2.8368967390551942</c:v>
                </c:pt>
                <c:pt idx="849">
                  <c:v>-2.8420788092426696</c:v>
                </c:pt>
                <c:pt idx="850">
                  <c:v>-2.8472609428498012</c:v>
                </c:pt>
                <c:pt idx="851">
                  <c:v>-2.8524431398757257</c:v>
                </c:pt>
                <c:pt idx="852">
                  <c:v>-2.8576254003195802</c:v>
                </c:pt>
                <c:pt idx="853">
                  <c:v>-2.8628077241805019</c:v>
                </c:pt>
                <c:pt idx="854">
                  <c:v>-2.8679901114576269</c:v>
                </c:pt>
                <c:pt idx="855">
                  <c:v>-2.8731725621500925</c:v>
                </c:pt>
                <c:pt idx="856">
                  <c:v>-2.8783550762570358</c:v>
                </c:pt>
                <c:pt idx="857">
                  <c:v>-2.8835376537775934</c:v>
                </c:pt>
                <c:pt idx="858">
                  <c:v>-2.8887202947109021</c:v>
                </c:pt>
                <c:pt idx="859">
                  <c:v>-2.8939029990560989</c:v>
                </c:pt>
                <c:pt idx="860">
                  <c:v>-2.8990857668123207</c:v>
                </c:pt>
                <c:pt idx="861">
                  <c:v>-2.904268597978704</c:v>
                </c:pt>
                <c:pt idx="862">
                  <c:v>-2.909451492554386</c:v>
                </c:pt>
                <c:pt idx="863">
                  <c:v>-2.9146344505385033</c:v>
                </c:pt>
                <c:pt idx="864">
                  <c:v>-2.9198174719301933</c:v>
                </c:pt>
                <c:pt idx="865">
                  <c:v>-2.9250005567285924</c:v>
                </c:pt>
                <c:pt idx="866">
                  <c:v>-2.9301837049328379</c:v>
                </c:pt>
                <c:pt idx="867">
                  <c:v>-2.9353669165420659</c:v>
                </c:pt>
                <c:pt idx="868">
                  <c:v>-2.9405501915554142</c:v>
                </c:pt>
                <c:pt idx="869">
                  <c:v>-2.9457335299720193</c:v>
                </c:pt>
                <c:pt idx="870">
                  <c:v>-2.950916931791018</c:v>
                </c:pt>
                <c:pt idx="871">
                  <c:v>-2.9561003970115469</c:v>
                </c:pt>
                <c:pt idx="872">
                  <c:v>-2.9612839256327432</c:v>
                </c:pt>
                <c:pt idx="873">
                  <c:v>-2.9664675176537436</c:v>
                </c:pt>
                <c:pt idx="874">
                  <c:v>-2.9716511730736852</c:v>
                </c:pt>
                <c:pt idx="875">
                  <c:v>-2.9768348918917047</c:v>
                </c:pt>
                <c:pt idx="876">
                  <c:v>-2.9820186741069392</c:v>
                </c:pt>
                <c:pt idx="877">
                  <c:v>-2.9872025197185255</c:v>
                </c:pt>
                <c:pt idx="878">
                  <c:v>-2.9923864287256001</c:v>
                </c:pt>
                <c:pt idx="879">
                  <c:v>-2.9975704011273003</c:v>
                </c:pt>
                <c:pt idx="880">
                  <c:v>-3.0027544369227628</c:v>
                </c:pt>
                <c:pt idx="881">
                  <c:v>-3.0079385361111246</c:v>
                </c:pt>
                <c:pt idx="882">
                  <c:v>-3.0131226986915225</c:v>
                </c:pt>
                <c:pt idx="883">
                  <c:v>-3.0183069246630931</c:v>
                </c:pt>
                <c:pt idx="884">
                  <c:v>-3.0234912140249737</c:v>
                </c:pt>
                <c:pt idx="885">
                  <c:v>-3.0286755667763008</c:v>
                </c:pt>
                <c:pt idx="886">
                  <c:v>-3.0338599829162116</c:v>
                </c:pt>
                <c:pt idx="887">
                  <c:v>-3.0390444624438429</c:v>
                </c:pt>
                <c:pt idx="888">
                  <c:v>-3.0442290053583316</c:v>
                </c:pt>
                <c:pt idx="889">
                  <c:v>-3.0494136116588142</c:v>
                </c:pt>
                <c:pt idx="890">
                  <c:v>-3.0545982813444281</c:v>
                </c:pt>
                <c:pt idx="891">
                  <c:v>-3.0597830144143097</c:v>
                </c:pt>
                <c:pt idx="892">
                  <c:v>-3.0649678108675964</c:v>
                </c:pt>
                <c:pt idx="893">
                  <c:v>-3.0701526707034246</c:v>
                </c:pt>
                <c:pt idx="894">
                  <c:v>-3.0753375939209313</c:v>
                </c:pt>
                <c:pt idx="895">
                  <c:v>-3.0805225805192533</c:v>
                </c:pt>
                <c:pt idx="896">
                  <c:v>-3.0857076304975277</c:v>
                </c:pt>
                <c:pt idx="897">
                  <c:v>-3.0908927438548912</c:v>
                </c:pt>
                <c:pt idx="898">
                  <c:v>-3.0960779205904809</c:v>
                </c:pt>
                <c:pt idx="899">
                  <c:v>-3.1012631607034336</c:v>
                </c:pt>
                <c:pt idx="900">
                  <c:v>-3.1064484641928858</c:v>
                </c:pt>
                <c:pt idx="901">
                  <c:v>-3.1116338310579748</c:v>
                </c:pt>
                <c:pt idx="902">
                  <c:v>-3.1168192612978372</c:v>
                </c:pt>
                <c:pt idx="903">
                  <c:v>-3.1220047549116101</c:v>
                </c:pt>
                <c:pt idx="904">
                  <c:v>-3.1271903118984303</c:v>
                </c:pt>
                <c:pt idx="905">
                  <c:v>-3.1323759322574345</c:v>
                </c:pt>
                <c:pt idx="906">
                  <c:v>-3.1375616159877597</c:v>
                </c:pt>
                <c:pt idx="907">
                  <c:v>-3.1427473630885427</c:v>
                </c:pt>
                <c:pt idx="908">
                  <c:v>-3.1479331735589207</c:v>
                </c:pt>
                <c:pt idx="909">
                  <c:v>-3.1531190473980302</c:v>
                </c:pt>
                <c:pt idx="910">
                  <c:v>-3.1583049846050084</c:v>
                </c:pt>
                <c:pt idx="911">
                  <c:v>-3.1634909851789916</c:v>
                </c:pt>
                <c:pt idx="912">
                  <c:v>-3.1686770491191174</c:v>
                </c:pt>
                <c:pt idx="913">
                  <c:v>-3.1738631764245224</c:v>
                </c:pt>
                <c:pt idx="914">
                  <c:v>-3.1790493670943434</c:v>
                </c:pt>
                <c:pt idx="915">
                  <c:v>-3.184235621127717</c:v>
                </c:pt>
                <c:pt idx="916">
                  <c:v>-3.1894219385237803</c:v>
                </c:pt>
                <c:pt idx="917">
                  <c:v>-3.1946083192816705</c:v>
                </c:pt>
                <c:pt idx="918">
                  <c:v>-3.1997947634005239</c:v>
                </c:pt>
                <c:pt idx="919">
                  <c:v>-3.204981270879478</c:v>
                </c:pt>
                <c:pt idx="920">
                  <c:v>-3.2101678417176691</c:v>
                </c:pt>
                <c:pt idx="921">
                  <c:v>-3.2153544759142343</c:v>
                </c:pt>
                <c:pt idx="922">
                  <c:v>-3.2205411734683107</c:v>
                </c:pt>
                <c:pt idx="923">
                  <c:v>-3.225727934379035</c:v>
                </c:pt>
                <c:pt idx="924">
                  <c:v>-3.230914758645544</c:v>
                </c:pt>
                <c:pt idx="925">
                  <c:v>-3.2361016462669747</c:v>
                </c:pt>
                <c:pt idx="926">
                  <c:v>-3.2412885972424639</c:v>
                </c:pt>
                <c:pt idx="927">
                  <c:v>-3.2464756115711482</c:v>
                </c:pt>
                <c:pt idx="928">
                  <c:v>-3.2516626892521647</c:v>
                </c:pt>
                <c:pt idx="929">
                  <c:v>-3.2568498302846507</c:v>
                </c:pt>
                <c:pt idx="930">
                  <c:v>-3.2620370346677423</c:v>
                </c:pt>
                <c:pt idx="931">
                  <c:v>-3.2672243024005772</c:v>
                </c:pt>
                <c:pt idx="932">
                  <c:v>-3.2724116334822915</c:v>
                </c:pt>
                <c:pt idx="933">
                  <c:v>-3.2775990279120224</c:v>
                </c:pt>
                <c:pt idx="934">
                  <c:v>-3.2827864856889071</c:v>
                </c:pt>
                <c:pt idx="935">
                  <c:v>-3.2879740068120822</c:v>
                </c:pt>
                <c:pt idx="936">
                  <c:v>-3.2931615912806844</c:v>
                </c:pt>
                <c:pt idx="937">
                  <c:v>-3.2983492390938509</c:v>
                </c:pt>
                <c:pt idx="938">
                  <c:v>-3.3035369502507184</c:v>
                </c:pt>
                <c:pt idx="939">
                  <c:v>-3.3087247247504235</c:v>
                </c:pt>
                <c:pt idx="940">
                  <c:v>-3.3139125625921033</c:v>
                </c:pt>
                <c:pt idx="941">
                  <c:v>-3.3191004637748951</c:v>
                </c:pt>
                <c:pt idx="942">
                  <c:v>-3.324288428297935</c:v>
                </c:pt>
                <c:pt idx="943">
                  <c:v>-3.3294764561603607</c:v>
                </c:pt>
                <c:pt idx="944">
                  <c:v>-3.3346645473613084</c:v>
                </c:pt>
                <c:pt idx="945">
                  <c:v>-3.3398527018999151</c:v>
                </c:pt>
                <c:pt idx="946">
                  <c:v>-3.3450409197753181</c:v>
                </c:pt>
                <c:pt idx="947">
                  <c:v>-3.3502292009866541</c:v>
                </c:pt>
                <c:pt idx="948">
                  <c:v>-3.3554175455330597</c:v>
                </c:pt>
                <c:pt idx="949">
                  <c:v>-3.3606059534136721</c:v>
                </c:pt>
                <c:pt idx="950">
                  <c:v>-3.3657944246276279</c:v>
                </c:pt>
                <c:pt idx="951">
                  <c:v>-3.3709829591740643</c:v>
                </c:pt>
                <c:pt idx="952">
                  <c:v>-3.376171557052118</c:v>
                </c:pt>
                <c:pt idx="953">
                  <c:v>-3.3813602182609257</c:v>
                </c:pt>
                <c:pt idx="954">
                  <c:v>-3.3865489427996245</c:v>
                </c:pt>
                <c:pt idx="955">
                  <c:v>-3.3917377306673511</c:v>
                </c:pt>
                <c:pt idx="956">
                  <c:v>-3.3969265818632426</c:v>
                </c:pt>
                <c:pt idx="957">
                  <c:v>-3.4021154963864357</c:v>
                </c:pt>
                <c:pt idx="958">
                  <c:v>-3.4073044742360672</c:v>
                </c:pt>
                <c:pt idx="959">
                  <c:v>-3.4124935154112741</c:v>
                </c:pt>
                <c:pt idx="960">
                  <c:v>-3.4176826199111936</c:v>
                </c:pt>
                <c:pt idx="961">
                  <c:v>-3.4228717877349624</c:v>
                </c:pt>
                <c:pt idx="962">
                  <c:v>-3.4280610188817171</c:v>
                </c:pt>
                <c:pt idx="963">
                  <c:v>-3.4332503133505945</c:v>
                </c:pt>
                <c:pt idx="964">
                  <c:v>-3.4384396711407317</c:v>
                </c:pt>
                <c:pt idx="965">
                  <c:v>-3.4436290922512658</c:v>
                </c:pt>
                <c:pt idx="966">
                  <c:v>-3.4488185766813335</c:v>
                </c:pt>
                <c:pt idx="967">
                  <c:v>-3.4540081244300715</c:v>
                </c:pt>
                <c:pt idx="968">
                  <c:v>-3.459197735496617</c:v>
                </c:pt>
                <c:pt idx="969">
                  <c:v>-3.4643874098801066</c:v>
                </c:pt>
                <c:pt idx="970">
                  <c:v>-3.4695771475796775</c:v>
                </c:pt>
                <c:pt idx="971">
                  <c:v>-3.4747669485944663</c:v>
                </c:pt>
                <c:pt idx="972">
                  <c:v>-3.4799568129236098</c:v>
                </c:pt>
                <c:pt idx="973">
                  <c:v>-3.4851467405662451</c:v>
                </c:pt>
                <c:pt idx="974">
                  <c:v>-3.4903367315215088</c:v>
                </c:pt>
                <c:pt idx="975">
                  <c:v>-3.4955267857885381</c:v>
                </c:pt>
                <c:pt idx="976">
                  <c:v>-3.5007169033664698</c:v>
                </c:pt>
                <c:pt idx="977">
                  <c:v>-3.5059070842544409</c:v>
                </c:pt>
                <c:pt idx="978">
                  <c:v>-3.5110973284515881</c:v>
                </c:pt>
                <c:pt idx="979">
                  <c:v>-3.5162876359570481</c:v>
                </c:pt>
                <c:pt idx="980">
                  <c:v>-3.521478006769958</c:v>
                </c:pt>
                <c:pt idx="981">
                  <c:v>-3.5266684408894551</c:v>
                </c:pt>
                <c:pt idx="982">
                  <c:v>-3.5318589383146755</c:v>
                </c:pt>
                <c:pt idx="983">
                  <c:v>-3.5370494990447563</c:v>
                </c:pt>
                <c:pt idx="984">
                  <c:v>-3.5422401230788347</c:v>
                </c:pt>
                <c:pt idx="985">
                  <c:v>-3.5474308104160475</c:v>
                </c:pt>
                <c:pt idx="986">
                  <c:v>-3.5526215610555316</c:v>
                </c:pt>
                <c:pt idx="987">
                  <c:v>-3.5578123749964234</c:v>
                </c:pt>
                <c:pt idx="988">
                  <c:v>-3.5630032522378605</c:v>
                </c:pt>
                <c:pt idx="989">
                  <c:v>-3.5681941927789791</c:v>
                </c:pt>
                <c:pt idx="990">
                  <c:v>-3.5733851966189167</c:v>
                </c:pt>
                <c:pt idx="991">
                  <c:v>-3.5785762637568097</c:v>
                </c:pt>
                <c:pt idx="992">
                  <c:v>-3.5837673941917951</c:v>
                </c:pt>
                <c:pt idx="993">
                  <c:v>-3.5889585879230101</c:v>
                </c:pt>
                <c:pt idx="994">
                  <c:v>-3.5941498449495914</c:v>
                </c:pt>
                <c:pt idx="995">
                  <c:v>-3.5993411652706757</c:v>
                </c:pt>
                <c:pt idx="996">
                  <c:v>-3.6045325488854001</c:v>
                </c:pt>
                <c:pt idx="997">
                  <c:v>-3.6097239957929013</c:v>
                </c:pt>
                <c:pt idx="998">
                  <c:v>-3.6149155059923159</c:v>
                </c:pt>
                <c:pt idx="999">
                  <c:v>-3.6201070794827812</c:v>
                </c:pt>
                <c:pt idx="1000">
                  <c:v>-3.6252987162634343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BC-E84B-8A2E-77A3E8DE6A60}"/>
            </c:ext>
          </c:extLst>
        </c:ser>
        <c:ser>
          <c:idx val="1"/>
          <c:order val="2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2.1000000000000014</c:v>
                </c:pt>
                <c:pt idx="202">
                  <c:v>2.2000000000000015</c:v>
                </c:pt>
                <c:pt idx="203">
                  <c:v>2.3000000000000016</c:v>
                </c:pt>
                <c:pt idx="204">
                  <c:v>2.4000000000000017</c:v>
                </c:pt>
                <c:pt idx="205">
                  <c:v>2.5000000000000018</c:v>
                </c:pt>
                <c:pt idx="206">
                  <c:v>2.6000000000000019</c:v>
                </c:pt>
                <c:pt idx="207">
                  <c:v>2.700000000000002</c:v>
                </c:pt>
                <c:pt idx="208">
                  <c:v>2.800000000000002</c:v>
                </c:pt>
                <c:pt idx="209">
                  <c:v>2.9000000000000021</c:v>
                </c:pt>
                <c:pt idx="210">
                  <c:v>3.0000000000000022</c:v>
                </c:pt>
                <c:pt idx="211">
                  <c:v>3.1000000000000023</c:v>
                </c:pt>
                <c:pt idx="212">
                  <c:v>3.2000000000000024</c:v>
                </c:pt>
                <c:pt idx="213">
                  <c:v>3.3000000000000025</c:v>
                </c:pt>
                <c:pt idx="214">
                  <c:v>3.4000000000000026</c:v>
                </c:pt>
                <c:pt idx="215">
                  <c:v>3.5000000000000027</c:v>
                </c:pt>
                <c:pt idx="216">
                  <c:v>3.6000000000000028</c:v>
                </c:pt>
                <c:pt idx="217">
                  <c:v>3.7000000000000028</c:v>
                </c:pt>
                <c:pt idx="218">
                  <c:v>3.8000000000000029</c:v>
                </c:pt>
                <c:pt idx="219">
                  <c:v>3.900000000000003</c:v>
                </c:pt>
                <c:pt idx="220">
                  <c:v>4.0000000000000027</c:v>
                </c:pt>
                <c:pt idx="221">
                  <c:v>4.1000000000000023</c:v>
                </c:pt>
                <c:pt idx="222">
                  <c:v>4.200000000000002</c:v>
                </c:pt>
                <c:pt idx="223">
                  <c:v>4.3000000000000016</c:v>
                </c:pt>
                <c:pt idx="224">
                  <c:v>4.4000000000000012</c:v>
                </c:pt>
                <c:pt idx="225">
                  <c:v>4.5000000000000009</c:v>
                </c:pt>
                <c:pt idx="226">
                  <c:v>4.6000000000000005</c:v>
                </c:pt>
                <c:pt idx="227">
                  <c:v>4.7</c:v>
                </c:pt>
                <c:pt idx="228">
                  <c:v>4.8</c:v>
                </c:pt>
                <c:pt idx="229">
                  <c:v>4.8999999999999995</c:v>
                </c:pt>
                <c:pt idx="230">
                  <c:v>4.9999999999999991</c:v>
                </c:pt>
                <c:pt idx="231">
                  <c:v>5.0999999999999988</c:v>
                </c:pt>
                <c:pt idx="232">
                  <c:v>5.1999999999999984</c:v>
                </c:pt>
                <c:pt idx="233">
                  <c:v>5.299999999999998</c:v>
                </c:pt>
                <c:pt idx="234">
                  <c:v>5.3999999999999977</c:v>
                </c:pt>
                <c:pt idx="235">
                  <c:v>5.4999999999999973</c:v>
                </c:pt>
                <c:pt idx="236">
                  <c:v>5.599999999999997</c:v>
                </c:pt>
                <c:pt idx="237">
                  <c:v>5.6999999999999966</c:v>
                </c:pt>
                <c:pt idx="238">
                  <c:v>5.7999999999999963</c:v>
                </c:pt>
                <c:pt idx="239">
                  <c:v>5.8999999999999959</c:v>
                </c:pt>
                <c:pt idx="240">
                  <c:v>5.9999999999999956</c:v>
                </c:pt>
                <c:pt idx="241">
                  <c:v>6.0999999999999952</c:v>
                </c:pt>
                <c:pt idx="242">
                  <c:v>6.1999999999999948</c:v>
                </c:pt>
                <c:pt idx="243">
                  <c:v>6.2999999999999945</c:v>
                </c:pt>
                <c:pt idx="244">
                  <c:v>6.3999999999999941</c:v>
                </c:pt>
                <c:pt idx="245">
                  <c:v>6.4999999999999938</c:v>
                </c:pt>
                <c:pt idx="246">
                  <c:v>6.5999999999999934</c:v>
                </c:pt>
                <c:pt idx="247">
                  <c:v>6.6999999999999931</c:v>
                </c:pt>
                <c:pt idx="248">
                  <c:v>6.7999999999999927</c:v>
                </c:pt>
                <c:pt idx="249">
                  <c:v>6.8999999999999924</c:v>
                </c:pt>
                <c:pt idx="250">
                  <c:v>6.999999999999992</c:v>
                </c:pt>
                <c:pt idx="251">
                  <c:v>7.0999999999999917</c:v>
                </c:pt>
                <c:pt idx="252">
                  <c:v>7.1999999999999913</c:v>
                </c:pt>
                <c:pt idx="253">
                  <c:v>7.2999999999999909</c:v>
                </c:pt>
                <c:pt idx="254">
                  <c:v>7.3999999999999906</c:v>
                </c:pt>
                <c:pt idx="255">
                  <c:v>7.4999999999999902</c:v>
                </c:pt>
                <c:pt idx="256">
                  <c:v>7.5999999999999899</c:v>
                </c:pt>
                <c:pt idx="257">
                  <c:v>7.6999999999999895</c:v>
                </c:pt>
                <c:pt idx="258">
                  <c:v>7.7999999999999892</c:v>
                </c:pt>
                <c:pt idx="259">
                  <c:v>7.8999999999999888</c:v>
                </c:pt>
                <c:pt idx="260">
                  <c:v>7.9999999999999885</c:v>
                </c:pt>
                <c:pt idx="261">
                  <c:v>8.099999999999989</c:v>
                </c:pt>
                <c:pt idx="262">
                  <c:v>8.1999999999999886</c:v>
                </c:pt>
                <c:pt idx="263">
                  <c:v>8.2999999999999883</c:v>
                </c:pt>
                <c:pt idx="264">
                  <c:v>8.3999999999999879</c:v>
                </c:pt>
                <c:pt idx="265">
                  <c:v>8.4999999999999876</c:v>
                </c:pt>
                <c:pt idx="266">
                  <c:v>8.5999999999999872</c:v>
                </c:pt>
                <c:pt idx="267">
                  <c:v>8.6999999999999869</c:v>
                </c:pt>
                <c:pt idx="268">
                  <c:v>8.7999999999999865</c:v>
                </c:pt>
                <c:pt idx="269">
                  <c:v>8.8999999999999861</c:v>
                </c:pt>
                <c:pt idx="270">
                  <c:v>8.9999999999999858</c:v>
                </c:pt>
                <c:pt idx="271">
                  <c:v>9.0999999999999854</c:v>
                </c:pt>
                <c:pt idx="272">
                  <c:v>9.1999999999999851</c:v>
                </c:pt>
                <c:pt idx="273">
                  <c:v>9.2999999999999847</c:v>
                </c:pt>
                <c:pt idx="274">
                  <c:v>9.3999999999999844</c:v>
                </c:pt>
                <c:pt idx="275">
                  <c:v>9.499999999999984</c:v>
                </c:pt>
                <c:pt idx="276">
                  <c:v>9.5999999999999837</c:v>
                </c:pt>
                <c:pt idx="277">
                  <c:v>9.6999999999999833</c:v>
                </c:pt>
                <c:pt idx="278">
                  <c:v>9.7999999999999829</c:v>
                </c:pt>
                <c:pt idx="279">
                  <c:v>9.8999999999999826</c:v>
                </c:pt>
                <c:pt idx="280">
                  <c:v>9.9999999999999822</c:v>
                </c:pt>
                <c:pt idx="281">
                  <c:v>10.099999999999982</c:v>
                </c:pt>
                <c:pt idx="282">
                  <c:v>10.199999999999982</c:v>
                </c:pt>
                <c:pt idx="283">
                  <c:v>10.299999999999981</c:v>
                </c:pt>
                <c:pt idx="284">
                  <c:v>10.399999999999981</c:v>
                </c:pt>
                <c:pt idx="285">
                  <c:v>10.49999999999998</c:v>
                </c:pt>
                <c:pt idx="286">
                  <c:v>10.59999999999998</c:v>
                </c:pt>
                <c:pt idx="287">
                  <c:v>10.69999999999998</c:v>
                </c:pt>
                <c:pt idx="288">
                  <c:v>10.799999999999979</c:v>
                </c:pt>
                <c:pt idx="289">
                  <c:v>10.899999999999979</c:v>
                </c:pt>
                <c:pt idx="290">
                  <c:v>10.999999999999979</c:v>
                </c:pt>
                <c:pt idx="291">
                  <c:v>11.099999999999978</c:v>
                </c:pt>
                <c:pt idx="292">
                  <c:v>11.199999999999978</c:v>
                </c:pt>
                <c:pt idx="293">
                  <c:v>11.299999999999978</c:v>
                </c:pt>
                <c:pt idx="294">
                  <c:v>11.399999999999977</c:v>
                </c:pt>
                <c:pt idx="295">
                  <c:v>11.499999999999977</c:v>
                </c:pt>
                <c:pt idx="296">
                  <c:v>11.599999999999977</c:v>
                </c:pt>
                <c:pt idx="297">
                  <c:v>11.699999999999976</c:v>
                </c:pt>
                <c:pt idx="298">
                  <c:v>11.799999999999976</c:v>
                </c:pt>
                <c:pt idx="299">
                  <c:v>11.899999999999975</c:v>
                </c:pt>
                <c:pt idx="300">
                  <c:v>11.999999999999975</c:v>
                </c:pt>
                <c:pt idx="301">
                  <c:v>12.000099999999975</c:v>
                </c:pt>
                <c:pt idx="302">
                  <c:v>12.000199999999975</c:v>
                </c:pt>
                <c:pt idx="303">
                  <c:v>12.000299999999974</c:v>
                </c:pt>
                <c:pt idx="304">
                  <c:v>12.000399999999974</c:v>
                </c:pt>
                <c:pt idx="305">
                  <c:v>12.000499999999974</c:v>
                </c:pt>
                <c:pt idx="306">
                  <c:v>12.000599999999974</c:v>
                </c:pt>
                <c:pt idx="307">
                  <c:v>12.000699999999973</c:v>
                </c:pt>
                <c:pt idx="308">
                  <c:v>12.000799999999973</c:v>
                </c:pt>
                <c:pt idx="309">
                  <c:v>12.000899999999973</c:v>
                </c:pt>
                <c:pt idx="310">
                  <c:v>12.000999999999973</c:v>
                </c:pt>
                <c:pt idx="311">
                  <c:v>12.001099999999973</c:v>
                </c:pt>
                <c:pt idx="312">
                  <c:v>12.001199999999972</c:v>
                </c:pt>
                <c:pt idx="313">
                  <c:v>12.001299999999972</c:v>
                </c:pt>
                <c:pt idx="314">
                  <c:v>12.001399999999972</c:v>
                </c:pt>
                <c:pt idx="315">
                  <c:v>12.001499999999972</c:v>
                </c:pt>
                <c:pt idx="316">
                  <c:v>12.001599999999971</c:v>
                </c:pt>
                <c:pt idx="317">
                  <c:v>12.001699999999971</c:v>
                </c:pt>
                <c:pt idx="318">
                  <c:v>12.001799999999971</c:v>
                </c:pt>
                <c:pt idx="319">
                  <c:v>12.001899999999971</c:v>
                </c:pt>
                <c:pt idx="320">
                  <c:v>12.00199999999997</c:v>
                </c:pt>
                <c:pt idx="321">
                  <c:v>12.00209999999997</c:v>
                </c:pt>
                <c:pt idx="322">
                  <c:v>12.00219999999997</c:v>
                </c:pt>
                <c:pt idx="323">
                  <c:v>12.00229999999997</c:v>
                </c:pt>
                <c:pt idx="324">
                  <c:v>12.00239999999997</c:v>
                </c:pt>
                <c:pt idx="325">
                  <c:v>12.002499999999969</c:v>
                </c:pt>
                <c:pt idx="326">
                  <c:v>12.002599999999969</c:v>
                </c:pt>
                <c:pt idx="327">
                  <c:v>12.002699999999969</c:v>
                </c:pt>
                <c:pt idx="328">
                  <c:v>12.002799999999969</c:v>
                </c:pt>
                <c:pt idx="329">
                  <c:v>12.002899999999968</c:v>
                </c:pt>
                <c:pt idx="330">
                  <c:v>12.002999999999968</c:v>
                </c:pt>
                <c:pt idx="331">
                  <c:v>12.003099999999968</c:v>
                </c:pt>
                <c:pt idx="332">
                  <c:v>12.003199999999968</c:v>
                </c:pt>
                <c:pt idx="333">
                  <c:v>12.003299999999967</c:v>
                </c:pt>
                <c:pt idx="334">
                  <c:v>12.003399999999967</c:v>
                </c:pt>
                <c:pt idx="335">
                  <c:v>12.003499999999967</c:v>
                </c:pt>
                <c:pt idx="336">
                  <c:v>12.003599999999967</c:v>
                </c:pt>
                <c:pt idx="337">
                  <c:v>12.003699999999967</c:v>
                </c:pt>
                <c:pt idx="338">
                  <c:v>12.003799999999966</c:v>
                </c:pt>
                <c:pt idx="339">
                  <c:v>12.003899999999966</c:v>
                </c:pt>
                <c:pt idx="340">
                  <c:v>12.003999999999966</c:v>
                </c:pt>
                <c:pt idx="341">
                  <c:v>12.004099999999966</c:v>
                </c:pt>
                <c:pt idx="342">
                  <c:v>12.004199999999965</c:v>
                </c:pt>
                <c:pt idx="343">
                  <c:v>12.004299999999965</c:v>
                </c:pt>
                <c:pt idx="344">
                  <c:v>12.004399999999965</c:v>
                </c:pt>
                <c:pt idx="345">
                  <c:v>12.004499999999965</c:v>
                </c:pt>
                <c:pt idx="346">
                  <c:v>12.004599999999964</c:v>
                </c:pt>
                <c:pt idx="347">
                  <c:v>12.004699999999964</c:v>
                </c:pt>
                <c:pt idx="348">
                  <c:v>12.004799999999964</c:v>
                </c:pt>
                <c:pt idx="349">
                  <c:v>12.004899999999964</c:v>
                </c:pt>
                <c:pt idx="350">
                  <c:v>12.004999999999963</c:v>
                </c:pt>
                <c:pt idx="351">
                  <c:v>12.005099999999963</c:v>
                </c:pt>
                <c:pt idx="352">
                  <c:v>12.005199999999963</c:v>
                </c:pt>
                <c:pt idx="353">
                  <c:v>12.005299999999963</c:v>
                </c:pt>
                <c:pt idx="354">
                  <c:v>12.005399999999963</c:v>
                </c:pt>
                <c:pt idx="355">
                  <c:v>12.005499999999962</c:v>
                </c:pt>
                <c:pt idx="356">
                  <c:v>12.005599999999962</c:v>
                </c:pt>
                <c:pt idx="357">
                  <c:v>12.005699999999962</c:v>
                </c:pt>
                <c:pt idx="358">
                  <c:v>12.005799999999962</c:v>
                </c:pt>
                <c:pt idx="359">
                  <c:v>12.005899999999961</c:v>
                </c:pt>
                <c:pt idx="360">
                  <c:v>12.005999999999961</c:v>
                </c:pt>
                <c:pt idx="361">
                  <c:v>12.006099999999961</c:v>
                </c:pt>
                <c:pt idx="362">
                  <c:v>12.006199999999961</c:v>
                </c:pt>
                <c:pt idx="363">
                  <c:v>12.00629999999996</c:v>
                </c:pt>
                <c:pt idx="364">
                  <c:v>12.00639999999996</c:v>
                </c:pt>
                <c:pt idx="365">
                  <c:v>12.00649999999996</c:v>
                </c:pt>
                <c:pt idx="366">
                  <c:v>12.00659999999996</c:v>
                </c:pt>
                <c:pt idx="367">
                  <c:v>12.00669999999996</c:v>
                </c:pt>
                <c:pt idx="368">
                  <c:v>12.006799999999959</c:v>
                </c:pt>
                <c:pt idx="369">
                  <c:v>12.006899999999959</c:v>
                </c:pt>
                <c:pt idx="370">
                  <c:v>12.006999999999959</c:v>
                </c:pt>
                <c:pt idx="371">
                  <c:v>12.007099999999959</c:v>
                </c:pt>
                <c:pt idx="372">
                  <c:v>12.007199999999958</c:v>
                </c:pt>
                <c:pt idx="373">
                  <c:v>12.007299999999958</c:v>
                </c:pt>
                <c:pt idx="374">
                  <c:v>12.007399999999958</c:v>
                </c:pt>
                <c:pt idx="375">
                  <c:v>12.007499999999958</c:v>
                </c:pt>
                <c:pt idx="376">
                  <c:v>12.007599999999957</c:v>
                </c:pt>
                <c:pt idx="377">
                  <c:v>12.007699999999957</c:v>
                </c:pt>
                <c:pt idx="378">
                  <c:v>12.007799999999957</c:v>
                </c:pt>
                <c:pt idx="379">
                  <c:v>12.007899999999957</c:v>
                </c:pt>
                <c:pt idx="380">
                  <c:v>12.007999999999956</c:v>
                </c:pt>
                <c:pt idx="381">
                  <c:v>12.008099999999956</c:v>
                </c:pt>
                <c:pt idx="382">
                  <c:v>12.008199999999956</c:v>
                </c:pt>
                <c:pt idx="383">
                  <c:v>12.008299999999956</c:v>
                </c:pt>
                <c:pt idx="384">
                  <c:v>12.008399999999956</c:v>
                </c:pt>
                <c:pt idx="385">
                  <c:v>12.008499999999955</c:v>
                </c:pt>
                <c:pt idx="386">
                  <c:v>12.008599999999955</c:v>
                </c:pt>
                <c:pt idx="387">
                  <c:v>12.008699999999955</c:v>
                </c:pt>
                <c:pt idx="388">
                  <c:v>12.008799999999955</c:v>
                </c:pt>
                <c:pt idx="389">
                  <c:v>12.008899999999954</c:v>
                </c:pt>
                <c:pt idx="390">
                  <c:v>12.008999999999954</c:v>
                </c:pt>
                <c:pt idx="391">
                  <c:v>12.009099999999954</c:v>
                </c:pt>
                <c:pt idx="392">
                  <c:v>12.009199999999954</c:v>
                </c:pt>
                <c:pt idx="393">
                  <c:v>12.009299999999953</c:v>
                </c:pt>
                <c:pt idx="394">
                  <c:v>12.009399999999953</c:v>
                </c:pt>
                <c:pt idx="395">
                  <c:v>12.009499999999953</c:v>
                </c:pt>
                <c:pt idx="396">
                  <c:v>12.009599999999953</c:v>
                </c:pt>
                <c:pt idx="397">
                  <c:v>12.009699999999953</c:v>
                </c:pt>
                <c:pt idx="398">
                  <c:v>12.009799999999952</c:v>
                </c:pt>
                <c:pt idx="399">
                  <c:v>12.009899999999952</c:v>
                </c:pt>
                <c:pt idx="400">
                  <c:v>12.009999999999952</c:v>
                </c:pt>
                <c:pt idx="401">
                  <c:v>12.010099999999952</c:v>
                </c:pt>
                <c:pt idx="402">
                  <c:v>12.010199999999951</c:v>
                </c:pt>
                <c:pt idx="403">
                  <c:v>12.010299999999951</c:v>
                </c:pt>
                <c:pt idx="404">
                  <c:v>12.010399999999951</c:v>
                </c:pt>
                <c:pt idx="405">
                  <c:v>12.010499999999951</c:v>
                </c:pt>
                <c:pt idx="406">
                  <c:v>12.01059999999995</c:v>
                </c:pt>
                <c:pt idx="407">
                  <c:v>12.01069999999995</c:v>
                </c:pt>
                <c:pt idx="408">
                  <c:v>12.01079999999995</c:v>
                </c:pt>
                <c:pt idx="409">
                  <c:v>12.01089999999995</c:v>
                </c:pt>
                <c:pt idx="410">
                  <c:v>12.010999999999949</c:v>
                </c:pt>
                <c:pt idx="411">
                  <c:v>12.011099999999949</c:v>
                </c:pt>
                <c:pt idx="412">
                  <c:v>12.011199999999949</c:v>
                </c:pt>
                <c:pt idx="413">
                  <c:v>12.011299999999949</c:v>
                </c:pt>
                <c:pt idx="414">
                  <c:v>12.011399999999949</c:v>
                </c:pt>
                <c:pt idx="415">
                  <c:v>12.011499999999948</c:v>
                </c:pt>
                <c:pt idx="416">
                  <c:v>12.011599999999948</c:v>
                </c:pt>
                <c:pt idx="417">
                  <c:v>12.011699999999948</c:v>
                </c:pt>
                <c:pt idx="418">
                  <c:v>12.011799999999948</c:v>
                </c:pt>
                <c:pt idx="419">
                  <c:v>12.011899999999947</c:v>
                </c:pt>
                <c:pt idx="420">
                  <c:v>12.011999999999947</c:v>
                </c:pt>
                <c:pt idx="421">
                  <c:v>12.012099999999947</c:v>
                </c:pt>
                <c:pt idx="422">
                  <c:v>12.012199999999947</c:v>
                </c:pt>
                <c:pt idx="423">
                  <c:v>12.012299999999946</c:v>
                </c:pt>
                <c:pt idx="424">
                  <c:v>12.012399999999946</c:v>
                </c:pt>
                <c:pt idx="425">
                  <c:v>12.012499999999946</c:v>
                </c:pt>
                <c:pt idx="426">
                  <c:v>12.012599999999946</c:v>
                </c:pt>
                <c:pt idx="427">
                  <c:v>12.012699999999946</c:v>
                </c:pt>
                <c:pt idx="428">
                  <c:v>12.012799999999945</c:v>
                </c:pt>
                <c:pt idx="429">
                  <c:v>12.012899999999945</c:v>
                </c:pt>
                <c:pt idx="430">
                  <c:v>12.012999999999945</c:v>
                </c:pt>
                <c:pt idx="431">
                  <c:v>12.013099999999945</c:v>
                </c:pt>
                <c:pt idx="432">
                  <c:v>12.013199999999944</c:v>
                </c:pt>
                <c:pt idx="433">
                  <c:v>12.013299999999944</c:v>
                </c:pt>
                <c:pt idx="434">
                  <c:v>12.013399999999944</c:v>
                </c:pt>
                <c:pt idx="435">
                  <c:v>12.013499999999944</c:v>
                </c:pt>
                <c:pt idx="436">
                  <c:v>12.013599999999943</c:v>
                </c:pt>
                <c:pt idx="437">
                  <c:v>12.013699999999943</c:v>
                </c:pt>
                <c:pt idx="438">
                  <c:v>12.013799999999943</c:v>
                </c:pt>
                <c:pt idx="439">
                  <c:v>12.013899999999943</c:v>
                </c:pt>
                <c:pt idx="440">
                  <c:v>12.013999999999943</c:v>
                </c:pt>
                <c:pt idx="441">
                  <c:v>12.014099999999942</c:v>
                </c:pt>
                <c:pt idx="442">
                  <c:v>12.014199999999942</c:v>
                </c:pt>
                <c:pt idx="443">
                  <c:v>12.014299999999942</c:v>
                </c:pt>
                <c:pt idx="444">
                  <c:v>12.014399999999942</c:v>
                </c:pt>
                <c:pt idx="445">
                  <c:v>12.014499999999941</c:v>
                </c:pt>
                <c:pt idx="446">
                  <c:v>12.014599999999941</c:v>
                </c:pt>
                <c:pt idx="447">
                  <c:v>12.014699999999941</c:v>
                </c:pt>
                <c:pt idx="448">
                  <c:v>12.014799999999941</c:v>
                </c:pt>
                <c:pt idx="449">
                  <c:v>12.01489999999994</c:v>
                </c:pt>
                <c:pt idx="450">
                  <c:v>12.01499999999994</c:v>
                </c:pt>
                <c:pt idx="451">
                  <c:v>12.01509999999994</c:v>
                </c:pt>
                <c:pt idx="452">
                  <c:v>12.01519999999994</c:v>
                </c:pt>
                <c:pt idx="453">
                  <c:v>12.015299999999939</c:v>
                </c:pt>
                <c:pt idx="454">
                  <c:v>12.015399999999939</c:v>
                </c:pt>
                <c:pt idx="455">
                  <c:v>12.015499999999939</c:v>
                </c:pt>
                <c:pt idx="456">
                  <c:v>12.015599999999939</c:v>
                </c:pt>
                <c:pt idx="457">
                  <c:v>12.015699999999939</c:v>
                </c:pt>
                <c:pt idx="458">
                  <c:v>12.015799999999938</c:v>
                </c:pt>
                <c:pt idx="459">
                  <c:v>12.015899999999938</c:v>
                </c:pt>
                <c:pt idx="460">
                  <c:v>12.015999999999938</c:v>
                </c:pt>
                <c:pt idx="461">
                  <c:v>12.016099999999938</c:v>
                </c:pt>
                <c:pt idx="462">
                  <c:v>12.016199999999937</c:v>
                </c:pt>
                <c:pt idx="463">
                  <c:v>12.016299999999937</c:v>
                </c:pt>
                <c:pt idx="464">
                  <c:v>12.016399999999937</c:v>
                </c:pt>
                <c:pt idx="465">
                  <c:v>12.016499999999937</c:v>
                </c:pt>
                <c:pt idx="466">
                  <c:v>12.016599999999936</c:v>
                </c:pt>
                <c:pt idx="467">
                  <c:v>12.016699999999936</c:v>
                </c:pt>
                <c:pt idx="468">
                  <c:v>12.016799999999936</c:v>
                </c:pt>
                <c:pt idx="469">
                  <c:v>12.016899999999936</c:v>
                </c:pt>
                <c:pt idx="470">
                  <c:v>12.016999999999936</c:v>
                </c:pt>
                <c:pt idx="471">
                  <c:v>12.017099999999935</c:v>
                </c:pt>
                <c:pt idx="472">
                  <c:v>12.017199999999935</c:v>
                </c:pt>
                <c:pt idx="473">
                  <c:v>12.017299999999935</c:v>
                </c:pt>
                <c:pt idx="474">
                  <c:v>12.017399999999935</c:v>
                </c:pt>
                <c:pt idx="475">
                  <c:v>12.017499999999934</c:v>
                </c:pt>
                <c:pt idx="476">
                  <c:v>12.017599999999934</c:v>
                </c:pt>
                <c:pt idx="477">
                  <c:v>12.017699999999934</c:v>
                </c:pt>
                <c:pt idx="478">
                  <c:v>12.017799999999934</c:v>
                </c:pt>
                <c:pt idx="479">
                  <c:v>12.017899999999933</c:v>
                </c:pt>
                <c:pt idx="480">
                  <c:v>12.017999999999933</c:v>
                </c:pt>
                <c:pt idx="481">
                  <c:v>12.018099999999933</c:v>
                </c:pt>
                <c:pt idx="482">
                  <c:v>12.018199999999933</c:v>
                </c:pt>
                <c:pt idx="483">
                  <c:v>12.018299999999932</c:v>
                </c:pt>
                <c:pt idx="484">
                  <c:v>12.018399999999932</c:v>
                </c:pt>
                <c:pt idx="485">
                  <c:v>12.018499999999932</c:v>
                </c:pt>
                <c:pt idx="486">
                  <c:v>12.018599999999932</c:v>
                </c:pt>
                <c:pt idx="487">
                  <c:v>12.018699999999932</c:v>
                </c:pt>
                <c:pt idx="488">
                  <c:v>12.018799999999931</c:v>
                </c:pt>
                <c:pt idx="489">
                  <c:v>12.018899999999931</c:v>
                </c:pt>
                <c:pt idx="490">
                  <c:v>12.018999999999931</c:v>
                </c:pt>
                <c:pt idx="491">
                  <c:v>12.019099999999931</c:v>
                </c:pt>
                <c:pt idx="492">
                  <c:v>12.01919999999993</c:v>
                </c:pt>
                <c:pt idx="493">
                  <c:v>12.01929999999993</c:v>
                </c:pt>
                <c:pt idx="494">
                  <c:v>12.01939999999993</c:v>
                </c:pt>
                <c:pt idx="495">
                  <c:v>12.01949999999993</c:v>
                </c:pt>
                <c:pt idx="496">
                  <c:v>12.019599999999929</c:v>
                </c:pt>
                <c:pt idx="497">
                  <c:v>12.019699999999929</c:v>
                </c:pt>
                <c:pt idx="498">
                  <c:v>12.019799999999929</c:v>
                </c:pt>
                <c:pt idx="499">
                  <c:v>12.019899999999929</c:v>
                </c:pt>
                <c:pt idx="500">
                  <c:v>12.019999999999929</c:v>
                </c:pt>
                <c:pt idx="501">
                  <c:v>12.020099999999928</c:v>
                </c:pt>
                <c:pt idx="502">
                  <c:v>12.020199999999928</c:v>
                </c:pt>
                <c:pt idx="503">
                  <c:v>12.020299999999928</c:v>
                </c:pt>
                <c:pt idx="504">
                  <c:v>12.020399999999928</c:v>
                </c:pt>
                <c:pt idx="505">
                  <c:v>12.020499999999927</c:v>
                </c:pt>
                <c:pt idx="506">
                  <c:v>12.020599999999927</c:v>
                </c:pt>
                <c:pt idx="507">
                  <c:v>12.020699999999927</c:v>
                </c:pt>
                <c:pt idx="508">
                  <c:v>12.020799999999927</c:v>
                </c:pt>
                <c:pt idx="509">
                  <c:v>12.020899999999926</c:v>
                </c:pt>
                <c:pt idx="510">
                  <c:v>12.020999999999926</c:v>
                </c:pt>
                <c:pt idx="511">
                  <c:v>12.021099999999926</c:v>
                </c:pt>
                <c:pt idx="512">
                  <c:v>12.021199999999926</c:v>
                </c:pt>
                <c:pt idx="513">
                  <c:v>12.021299999999925</c:v>
                </c:pt>
                <c:pt idx="514">
                  <c:v>12.021399999999925</c:v>
                </c:pt>
                <c:pt idx="515">
                  <c:v>12.021499999999925</c:v>
                </c:pt>
                <c:pt idx="516">
                  <c:v>12.021599999999925</c:v>
                </c:pt>
                <c:pt idx="517">
                  <c:v>12.021699999999925</c:v>
                </c:pt>
                <c:pt idx="518">
                  <c:v>12.021799999999924</c:v>
                </c:pt>
                <c:pt idx="519">
                  <c:v>12.021899999999924</c:v>
                </c:pt>
                <c:pt idx="520">
                  <c:v>12.021999999999924</c:v>
                </c:pt>
                <c:pt idx="521">
                  <c:v>12.022099999999924</c:v>
                </c:pt>
                <c:pt idx="522">
                  <c:v>12.022199999999923</c:v>
                </c:pt>
                <c:pt idx="523">
                  <c:v>12.022299999999923</c:v>
                </c:pt>
                <c:pt idx="524">
                  <c:v>12.022399999999923</c:v>
                </c:pt>
                <c:pt idx="525">
                  <c:v>12.022499999999923</c:v>
                </c:pt>
                <c:pt idx="526">
                  <c:v>12.022599999999922</c:v>
                </c:pt>
                <c:pt idx="527">
                  <c:v>12.022699999999922</c:v>
                </c:pt>
                <c:pt idx="528">
                  <c:v>12.022799999999922</c:v>
                </c:pt>
                <c:pt idx="529">
                  <c:v>12.022899999999922</c:v>
                </c:pt>
                <c:pt idx="530">
                  <c:v>12.022999999999922</c:v>
                </c:pt>
                <c:pt idx="531">
                  <c:v>12.023099999999921</c:v>
                </c:pt>
                <c:pt idx="532">
                  <c:v>12.023199999999921</c:v>
                </c:pt>
                <c:pt idx="533">
                  <c:v>12.023299999999921</c:v>
                </c:pt>
                <c:pt idx="534">
                  <c:v>12.023399999999921</c:v>
                </c:pt>
                <c:pt idx="535">
                  <c:v>12.02349999999992</c:v>
                </c:pt>
                <c:pt idx="536">
                  <c:v>12.02359999999992</c:v>
                </c:pt>
                <c:pt idx="537">
                  <c:v>12.02369999999992</c:v>
                </c:pt>
                <c:pt idx="538">
                  <c:v>12.02379999999992</c:v>
                </c:pt>
                <c:pt idx="539">
                  <c:v>12.023899999999919</c:v>
                </c:pt>
                <c:pt idx="540">
                  <c:v>12.023999999999919</c:v>
                </c:pt>
                <c:pt idx="541">
                  <c:v>12.024099999999919</c:v>
                </c:pt>
                <c:pt idx="542">
                  <c:v>12.024199999999919</c:v>
                </c:pt>
                <c:pt idx="543">
                  <c:v>12.024299999999918</c:v>
                </c:pt>
                <c:pt idx="544">
                  <c:v>12.024399999999918</c:v>
                </c:pt>
                <c:pt idx="545">
                  <c:v>12.024499999999918</c:v>
                </c:pt>
                <c:pt idx="546">
                  <c:v>12.024599999999918</c:v>
                </c:pt>
                <c:pt idx="547">
                  <c:v>12.024699999999918</c:v>
                </c:pt>
                <c:pt idx="548">
                  <c:v>12.024799999999917</c:v>
                </c:pt>
                <c:pt idx="549">
                  <c:v>12.024899999999917</c:v>
                </c:pt>
                <c:pt idx="550">
                  <c:v>12.024999999999917</c:v>
                </c:pt>
                <c:pt idx="551">
                  <c:v>12.025099999999917</c:v>
                </c:pt>
                <c:pt idx="552">
                  <c:v>12.025199999999916</c:v>
                </c:pt>
                <c:pt idx="553">
                  <c:v>12.025299999999916</c:v>
                </c:pt>
                <c:pt idx="554">
                  <c:v>12.025399999999916</c:v>
                </c:pt>
                <c:pt idx="555">
                  <c:v>12.025499999999916</c:v>
                </c:pt>
                <c:pt idx="556">
                  <c:v>12.025599999999915</c:v>
                </c:pt>
                <c:pt idx="557">
                  <c:v>12.025699999999915</c:v>
                </c:pt>
                <c:pt idx="558">
                  <c:v>12.025799999999915</c:v>
                </c:pt>
                <c:pt idx="559">
                  <c:v>12.025899999999915</c:v>
                </c:pt>
                <c:pt idx="560">
                  <c:v>12.025999999999915</c:v>
                </c:pt>
                <c:pt idx="561">
                  <c:v>12.026099999999914</c:v>
                </c:pt>
                <c:pt idx="562">
                  <c:v>12.026199999999914</c:v>
                </c:pt>
                <c:pt idx="563">
                  <c:v>12.026299999999914</c:v>
                </c:pt>
                <c:pt idx="564">
                  <c:v>12.026399999999914</c:v>
                </c:pt>
                <c:pt idx="565">
                  <c:v>12.026499999999913</c:v>
                </c:pt>
                <c:pt idx="566">
                  <c:v>12.026599999999913</c:v>
                </c:pt>
                <c:pt idx="567">
                  <c:v>12.026699999999913</c:v>
                </c:pt>
                <c:pt idx="568">
                  <c:v>12.026799999999913</c:v>
                </c:pt>
                <c:pt idx="569">
                  <c:v>12.026899999999912</c:v>
                </c:pt>
                <c:pt idx="570">
                  <c:v>12.026999999999912</c:v>
                </c:pt>
                <c:pt idx="571">
                  <c:v>12.027099999999912</c:v>
                </c:pt>
                <c:pt idx="572">
                  <c:v>12.027199999999912</c:v>
                </c:pt>
                <c:pt idx="573">
                  <c:v>12.027299999999912</c:v>
                </c:pt>
                <c:pt idx="574">
                  <c:v>12.027399999999911</c:v>
                </c:pt>
                <c:pt idx="575">
                  <c:v>12.027499999999911</c:v>
                </c:pt>
                <c:pt idx="576">
                  <c:v>12.027599999999911</c:v>
                </c:pt>
                <c:pt idx="577">
                  <c:v>12.027699999999911</c:v>
                </c:pt>
                <c:pt idx="578">
                  <c:v>12.02779999999991</c:v>
                </c:pt>
                <c:pt idx="579">
                  <c:v>12.02789999999991</c:v>
                </c:pt>
                <c:pt idx="580">
                  <c:v>12.02799999999991</c:v>
                </c:pt>
                <c:pt idx="581">
                  <c:v>12.02809999999991</c:v>
                </c:pt>
                <c:pt idx="582">
                  <c:v>12.028199999999909</c:v>
                </c:pt>
                <c:pt idx="583">
                  <c:v>12.028299999999909</c:v>
                </c:pt>
                <c:pt idx="584">
                  <c:v>12.028399999999909</c:v>
                </c:pt>
                <c:pt idx="585">
                  <c:v>12.028499999999909</c:v>
                </c:pt>
                <c:pt idx="586">
                  <c:v>12.028599999999908</c:v>
                </c:pt>
                <c:pt idx="587">
                  <c:v>12.028699999999908</c:v>
                </c:pt>
                <c:pt idx="588">
                  <c:v>12.028799999999908</c:v>
                </c:pt>
                <c:pt idx="589">
                  <c:v>12.028899999999908</c:v>
                </c:pt>
                <c:pt idx="590">
                  <c:v>12.028999999999908</c:v>
                </c:pt>
                <c:pt idx="591">
                  <c:v>12.029099999999907</c:v>
                </c:pt>
                <c:pt idx="592">
                  <c:v>12.029199999999907</c:v>
                </c:pt>
                <c:pt idx="593">
                  <c:v>12.029299999999907</c:v>
                </c:pt>
                <c:pt idx="594">
                  <c:v>12.029399999999907</c:v>
                </c:pt>
                <c:pt idx="595">
                  <c:v>12.029499999999906</c:v>
                </c:pt>
                <c:pt idx="596">
                  <c:v>12.029599999999906</c:v>
                </c:pt>
                <c:pt idx="597">
                  <c:v>12.029699999999906</c:v>
                </c:pt>
                <c:pt idx="598">
                  <c:v>12.029799999999906</c:v>
                </c:pt>
                <c:pt idx="599">
                  <c:v>12.029899999999905</c:v>
                </c:pt>
                <c:pt idx="600">
                  <c:v>12.029999999999905</c:v>
                </c:pt>
                <c:pt idx="601">
                  <c:v>12.030099999999905</c:v>
                </c:pt>
                <c:pt idx="602">
                  <c:v>12.030199999999905</c:v>
                </c:pt>
                <c:pt idx="603">
                  <c:v>12.030299999999905</c:v>
                </c:pt>
                <c:pt idx="604">
                  <c:v>12.030399999999904</c:v>
                </c:pt>
                <c:pt idx="605">
                  <c:v>12.030499999999904</c:v>
                </c:pt>
                <c:pt idx="606">
                  <c:v>12.030599999999904</c:v>
                </c:pt>
                <c:pt idx="607">
                  <c:v>12.030699999999904</c:v>
                </c:pt>
                <c:pt idx="608">
                  <c:v>12.030799999999903</c:v>
                </c:pt>
                <c:pt idx="609">
                  <c:v>12.030899999999903</c:v>
                </c:pt>
                <c:pt idx="610">
                  <c:v>12.030999999999903</c:v>
                </c:pt>
                <c:pt idx="611">
                  <c:v>12.031099999999903</c:v>
                </c:pt>
                <c:pt idx="612">
                  <c:v>12.031199999999902</c:v>
                </c:pt>
                <c:pt idx="613">
                  <c:v>12.031299999999902</c:v>
                </c:pt>
                <c:pt idx="614">
                  <c:v>12.031399999999902</c:v>
                </c:pt>
                <c:pt idx="615">
                  <c:v>12.031499999999902</c:v>
                </c:pt>
                <c:pt idx="616">
                  <c:v>12.031599999999901</c:v>
                </c:pt>
                <c:pt idx="617">
                  <c:v>12.031699999999901</c:v>
                </c:pt>
                <c:pt idx="618">
                  <c:v>12.031799999999901</c:v>
                </c:pt>
                <c:pt idx="619">
                  <c:v>12.031899999999901</c:v>
                </c:pt>
                <c:pt idx="620">
                  <c:v>12.031999999999901</c:v>
                </c:pt>
                <c:pt idx="621">
                  <c:v>12.0320999999999</c:v>
                </c:pt>
                <c:pt idx="622">
                  <c:v>12.0321999999999</c:v>
                </c:pt>
                <c:pt idx="623">
                  <c:v>12.0322999999999</c:v>
                </c:pt>
                <c:pt idx="624">
                  <c:v>12.0323999999999</c:v>
                </c:pt>
                <c:pt idx="625">
                  <c:v>12.032499999999899</c:v>
                </c:pt>
                <c:pt idx="626">
                  <c:v>12.032599999999899</c:v>
                </c:pt>
                <c:pt idx="627">
                  <c:v>12.032699999999899</c:v>
                </c:pt>
                <c:pt idx="628">
                  <c:v>12.032799999999899</c:v>
                </c:pt>
                <c:pt idx="629">
                  <c:v>12.032899999999898</c:v>
                </c:pt>
                <c:pt idx="630">
                  <c:v>12.032999999999898</c:v>
                </c:pt>
                <c:pt idx="631">
                  <c:v>12.033099999999898</c:v>
                </c:pt>
                <c:pt idx="632">
                  <c:v>12.033199999999898</c:v>
                </c:pt>
                <c:pt idx="633">
                  <c:v>12.033299999999898</c:v>
                </c:pt>
                <c:pt idx="634">
                  <c:v>12.033399999999897</c:v>
                </c:pt>
                <c:pt idx="635">
                  <c:v>12.033499999999897</c:v>
                </c:pt>
                <c:pt idx="636">
                  <c:v>12.033599999999897</c:v>
                </c:pt>
                <c:pt idx="637">
                  <c:v>12.033699999999897</c:v>
                </c:pt>
                <c:pt idx="638">
                  <c:v>12.033799999999896</c:v>
                </c:pt>
                <c:pt idx="639">
                  <c:v>12.033899999999896</c:v>
                </c:pt>
                <c:pt idx="640">
                  <c:v>12.033999999999896</c:v>
                </c:pt>
                <c:pt idx="641">
                  <c:v>12.034099999999896</c:v>
                </c:pt>
                <c:pt idx="642">
                  <c:v>12.034199999999895</c:v>
                </c:pt>
                <c:pt idx="643">
                  <c:v>12.034299999999895</c:v>
                </c:pt>
                <c:pt idx="644">
                  <c:v>12.034399999999895</c:v>
                </c:pt>
                <c:pt idx="645">
                  <c:v>12.034499999999895</c:v>
                </c:pt>
                <c:pt idx="646">
                  <c:v>12.034599999999894</c:v>
                </c:pt>
                <c:pt idx="647">
                  <c:v>12.034699999999894</c:v>
                </c:pt>
                <c:pt idx="648">
                  <c:v>12.034799999999894</c:v>
                </c:pt>
                <c:pt idx="649">
                  <c:v>12.034899999999894</c:v>
                </c:pt>
                <c:pt idx="650">
                  <c:v>12.034999999999894</c:v>
                </c:pt>
                <c:pt idx="651">
                  <c:v>12.035099999999893</c:v>
                </c:pt>
                <c:pt idx="652">
                  <c:v>12.035199999999893</c:v>
                </c:pt>
                <c:pt idx="653">
                  <c:v>12.035299999999893</c:v>
                </c:pt>
                <c:pt idx="654">
                  <c:v>12.035399999999893</c:v>
                </c:pt>
                <c:pt idx="655">
                  <c:v>12.035499999999892</c:v>
                </c:pt>
                <c:pt idx="656">
                  <c:v>12.035599999999892</c:v>
                </c:pt>
                <c:pt idx="657">
                  <c:v>12.035699999999892</c:v>
                </c:pt>
                <c:pt idx="658">
                  <c:v>12.035799999999892</c:v>
                </c:pt>
                <c:pt idx="659">
                  <c:v>12.035899999999891</c:v>
                </c:pt>
                <c:pt idx="660">
                  <c:v>12.035999999999891</c:v>
                </c:pt>
                <c:pt idx="661">
                  <c:v>12.036099999999891</c:v>
                </c:pt>
                <c:pt idx="662">
                  <c:v>12.036199999999891</c:v>
                </c:pt>
                <c:pt idx="663">
                  <c:v>12.036299999999891</c:v>
                </c:pt>
                <c:pt idx="664">
                  <c:v>12.03639999999989</c:v>
                </c:pt>
                <c:pt idx="665">
                  <c:v>12.03649999999989</c:v>
                </c:pt>
                <c:pt idx="666">
                  <c:v>12.03659999999989</c:v>
                </c:pt>
                <c:pt idx="667">
                  <c:v>12.03669999999989</c:v>
                </c:pt>
                <c:pt idx="668">
                  <c:v>12.036799999999889</c:v>
                </c:pt>
                <c:pt idx="669">
                  <c:v>12.036899999999889</c:v>
                </c:pt>
                <c:pt idx="670">
                  <c:v>12.036999999999889</c:v>
                </c:pt>
                <c:pt idx="671">
                  <c:v>12.037099999999889</c:v>
                </c:pt>
                <c:pt idx="672">
                  <c:v>12.037199999999888</c:v>
                </c:pt>
                <c:pt idx="673">
                  <c:v>12.037299999999888</c:v>
                </c:pt>
                <c:pt idx="674">
                  <c:v>12.037399999999888</c:v>
                </c:pt>
                <c:pt idx="675">
                  <c:v>12.037499999999888</c:v>
                </c:pt>
                <c:pt idx="676">
                  <c:v>12.037599999999888</c:v>
                </c:pt>
                <c:pt idx="677">
                  <c:v>12.037699999999887</c:v>
                </c:pt>
                <c:pt idx="678">
                  <c:v>12.037799999999887</c:v>
                </c:pt>
                <c:pt idx="679">
                  <c:v>12.037899999999887</c:v>
                </c:pt>
                <c:pt idx="680">
                  <c:v>12.037999999999887</c:v>
                </c:pt>
                <c:pt idx="681">
                  <c:v>12.038099999999886</c:v>
                </c:pt>
                <c:pt idx="682">
                  <c:v>12.038199999999886</c:v>
                </c:pt>
                <c:pt idx="683">
                  <c:v>12.038299999999886</c:v>
                </c:pt>
                <c:pt idx="684">
                  <c:v>12.038399999999886</c:v>
                </c:pt>
                <c:pt idx="685">
                  <c:v>12.038499999999885</c:v>
                </c:pt>
                <c:pt idx="686">
                  <c:v>12.038599999999885</c:v>
                </c:pt>
                <c:pt idx="687">
                  <c:v>12.038699999999885</c:v>
                </c:pt>
                <c:pt idx="688">
                  <c:v>12.038799999999885</c:v>
                </c:pt>
                <c:pt idx="689">
                  <c:v>12.038899999999884</c:v>
                </c:pt>
                <c:pt idx="690">
                  <c:v>12.038999999999884</c:v>
                </c:pt>
                <c:pt idx="691">
                  <c:v>12.039099999999884</c:v>
                </c:pt>
                <c:pt idx="692">
                  <c:v>12.039199999999884</c:v>
                </c:pt>
                <c:pt idx="693">
                  <c:v>12.039299999999884</c:v>
                </c:pt>
                <c:pt idx="694">
                  <c:v>12.039399999999883</c:v>
                </c:pt>
                <c:pt idx="695">
                  <c:v>12.039499999999883</c:v>
                </c:pt>
                <c:pt idx="696">
                  <c:v>12.039599999999883</c:v>
                </c:pt>
                <c:pt idx="697">
                  <c:v>12.039699999999883</c:v>
                </c:pt>
                <c:pt idx="698">
                  <c:v>12.039799999999882</c:v>
                </c:pt>
                <c:pt idx="699">
                  <c:v>12.039899999999882</c:v>
                </c:pt>
                <c:pt idx="700">
                  <c:v>12.039999999999882</c:v>
                </c:pt>
                <c:pt idx="701">
                  <c:v>12.040099999999882</c:v>
                </c:pt>
                <c:pt idx="702">
                  <c:v>12.040199999999881</c:v>
                </c:pt>
                <c:pt idx="703">
                  <c:v>12.040299999999881</c:v>
                </c:pt>
                <c:pt idx="704">
                  <c:v>12.040399999999881</c:v>
                </c:pt>
                <c:pt idx="705">
                  <c:v>12.040499999999881</c:v>
                </c:pt>
                <c:pt idx="706">
                  <c:v>12.040599999999881</c:v>
                </c:pt>
                <c:pt idx="707">
                  <c:v>12.04069999999988</c:v>
                </c:pt>
                <c:pt idx="708">
                  <c:v>12.04079999999988</c:v>
                </c:pt>
                <c:pt idx="709">
                  <c:v>12.04089999999988</c:v>
                </c:pt>
                <c:pt idx="710">
                  <c:v>12.04099999999988</c:v>
                </c:pt>
                <c:pt idx="711">
                  <c:v>12.041099999999879</c:v>
                </c:pt>
                <c:pt idx="712">
                  <c:v>12.041199999999879</c:v>
                </c:pt>
                <c:pt idx="713">
                  <c:v>12.041299999999879</c:v>
                </c:pt>
                <c:pt idx="714">
                  <c:v>12.041399999999879</c:v>
                </c:pt>
                <c:pt idx="715">
                  <c:v>12.041499999999878</c:v>
                </c:pt>
                <c:pt idx="716">
                  <c:v>12.041599999999878</c:v>
                </c:pt>
                <c:pt idx="717">
                  <c:v>12.041699999999878</c:v>
                </c:pt>
                <c:pt idx="718">
                  <c:v>12.041799999999878</c:v>
                </c:pt>
                <c:pt idx="719">
                  <c:v>12.041899999999877</c:v>
                </c:pt>
                <c:pt idx="720">
                  <c:v>12.041999999999877</c:v>
                </c:pt>
                <c:pt idx="721">
                  <c:v>12.042099999999877</c:v>
                </c:pt>
                <c:pt idx="722">
                  <c:v>12.042199999999877</c:v>
                </c:pt>
                <c:pt idx="723">
                  <c:v>12.042299999999877</c:v>
                </c:pt>
                <c:pt idx="724">
                  <c:v>12.042399999999876</c:v>
                </c:pt>
                <c:pt idx="725">
                  <c:v>12.042499999999876</c:v>
                </c:pt>
                <c:pt idx="726">
                  <c:v>12.042599999999876</c:v>
                </c:pt>
                <c:pt idx="727">
                  <c:v>12.042699999999876</c:v>
                </c:pt>
                <c:pt idx="728">
                  <c:v>12.042799999999875</c:v>
                </c:pt>
                <c:pt idx="729">
                  <c:v>12.042899999999875</c:v>
                </c:pt>
                <c:pt idx="730">
                  <c:v>12.042999999999875</c:v>
                </c:pt>
                <c:pt idx="731">
                  <c:v>12.043099999999875</c:v>
                </c:pt>
                <c:pt idx="732">
                  <c:v>12.043199999999874</c:v>
                </c:pt>
                <c:pt idx="733">
                  <c:v>12.043299999999874</c:v>
                </c:pt>
                <c:pt idx="734">
                  <c:v>12.043399999999874</c:v>
                </c:pt>
                <c:pt idx="735">
                  <c:v>12.043499999999874</c:v>
                </c:pt>
                <c:pt idx="736">
                  <c:v>12.043599999999874</c:v>
                </c:pt>
                <c:pt idx="737">
                  <c:v>12.043699999999873</c:v>
                </c:pt>
                <c:pt idx="738">
                  <c:v>12.043799999999873</c:v>
                </c:pt>
                <c:pt idx="739">
                  <c:v>12.043899999999873</c:v>
                </c:pt>
                <c:pt idx="740">
                  <c:v>12.043999999999873</c:v>
                </c:pt>
                <c:pt idx="741">
                  <c:v>12.044099999999872</c:v>
                </c:pt>
                <c:pt idx="742">
                  <c:v>12.044199999999872</c:v>
                </c:pt>
                <c:pt idx="743">
                  <c:v>12.044299999999872</c:v>
                </c:pt>
                <c:pt idx="744">
                  <c:v>12.044399999999872</c:v>
                </c:pt>
                <c:pt idx="745">
                  <c:v>12.044499999999871</c:v>
                </c:pt>
                <c:pt idx="746">
                  <c:v>12.044599999999871</c:v>
                </c:pt>
                <c:pt idx="747">
                  <c:v>12.044699999999871</c:v>
                </c:pt>
                <c:pt idx="748">
                  <c:v>12.044799999999871</c:v>
                </c:pt>
                <c:pt idx="749">
                  <c:v>12.04489999999987</c:v>
                </c:pt>
                <c:pt idx="750">
                  <c:v>12.04499999999987</c:v>
                </c:pt>
                <c:pt idx="751">
                  <c:v>12.04509999999987</c:v>
                </c:pt>
                <c:pt idx="752">
                  <c:v>12.04519999999987</c:v>
                </c:pt>
                <c:pt idx="753">
                  <c:v>12.04529999999987</c:v>
                </c:pt>
                <c:pt idx="754">
                  <c:v>12.045399999999869</c:v>
                </c:pt>
                <c:pt idx="755">
                  <c:v>12.045499999999869</c:v>
                </c:pt>
                <c:pt idx="756">
                  <c:v>12.045599999999869</c:v>
                </c:pt>
                <c:pt idx="757">
                  <c:v>12.045699999999869</c:v>
                </c:pt>
                <c:pt idx="758">
                  <c:v>12.045799999999868</c:v>
                </c:pt>
                <c:pt idx="759">
                  <c:v>12.045899999999868</c:v>
                </c:pt>
                <c:pt idx="760">
                  <c:v>12.045999999999868</c:v>
                </c:pt>
                <c:pt idx="761">
                  <c:v>12.046099999999868</c:v>
                </c:pt>
                <c:pt idx="762">
                  <c:v>12.046199999999867</c:v>
                </c:pt>
                <c:pt idx="763">
                  <c:v>12.046299999999867</c:v>
                </c:pt>
                <c:pt idx="764">
                  <c:v>12.046399999999867</c:v>
                </c:pt>
                <c:pt idx="765">
                  <c:v>12.046499999999867</c:v>
                </c:pt>
                <c:pt idx="766">
                  <c:v>12.046599999999867</c:v>
                </c:pt>
                <c:pt idx="767">
                  <c:v>12.046699999999866</c:v>
                </c:pt>
                <c:pt idx="768">
                  <c:v>12.046799999999866</c:v>
                </c:pt>
                <c:pt idx="769">
                  <c:v>12.046899999999866</c:v>
                </c:pt>
                <c:pt idx="770">
                  <c:v>12.046999999999866</c:v>
                </c:pt>
                <c:pt idx="771">
                  <c:v>12.047099999999865</c:v>
                </c:pt>
                <c:pt idx="772">
                  <c:v>12.047199999999865</c:v>
                </c:pt>
                <c:pt idx="773">
                  <c:v>12.047299999999865</c:v>
                </c:pt>
                <c:pt idx="774">
                  <c:v>12.047399999999865</c:v>
                </c:pt>
                <c:pt idx="775">
                  <c:v>12.047499999999864</c:v>
                </c:pt>
                <c:pt idx="776">
                  <c:v>12.047599999999864</c:v>
                </c:pt>
                <c:pt idx="777">
                  <c:v>12.047699999999864</c:v>
                </c:pt>
                <c:pt idx="778">
                  <c:v>12.047799999999864</c:v>
                </c:pt>
                <c:pt idx="779">
                  <c:v>12.047899999999863</c:v>
                </c:pt>
                <c:pt idx="780">
                  <c:v>12.047999999999863</c:v>
                </c:pt>
                <c:pt idx="781">
                  <c:v>12.048099999999863</c:v>
                </c:pt>
                <c:pt idx="782">
                  <c:v>12.048199999999863</c:v>
                </c:pt>
                <c:pt idx="783">
                  <c:v>12.048299999999863</c:v>
                </c:pt>
                <c:pt idx="784">
                  <c:v>12.048399999999862</c:v>
                </c:pt>
                <c:pt idx="785">
                  <c:v>12.048499999999862</c:v>
                </c:pt>
                <c:pt idx="786">
                  <c:v>12.048599999999862</c:v>
                </c:pt>
                <c:pt idx="787">
                  <c:v>12.048699999999862</c:v>
                </c:pt>
                <c:pt idx="788">
                  <c:v>12.048799999999861</c:v>
                </c:pt>
                <c:pt idx="789">
                  <c:v>12.048899999999861</c:v>
                </c:pt>
                <c:pt idx="790">
                  <c:v>12.048999999999861</c:v>
                </c:pt>
                <c:pt idx="791">
                  <c:v>12.049099999999861</c:v>
                </c:pt>
                <c:pt idx="792">
                  <c:v>12.04919999999986</c:v>
                </c:pt>
                <c:pt idx="793">
                  <c:v>12.04929999999986</c:v>
                </c:pt>
                <c:pt idx="794">
                  <c:v>12.04939999999986</c:v>
                </c:pt>
                <c:pt idx="795">
                  <c:v>12.04949999999986</c:v>
                </c:pt>
                <c:pt idx="796">
                  <c:v>12.04959999999986</c:v>
                </c:pt>
                <c:pt idx="797">
                  <c:v>12.049699999999859</c:v>
                </c:pt>
                <c:pt idx="798">
                  <c:v>12.049799999999859</c:v>
                </c:pt>
                <c:pt idx="799">
                  <c:v>12.049899999999859</c:v>
                </c:pt>
                <c:pt idx="800">
                  <c:v>12.049999999999859</c:v>
                </c:pt>
                <c:pt idx="801">
                  <c:v>12.050099999999858</c:v>
                </c:pt>
                <c:pt idx="802">
                  <c:v>12.050199999999858</c:v>
                </c:pt>
                <c:pt idx="803">
                  <c:v>12.050299999999858</c:v>
                </c:pt>
                <c:pt idx="804">
                  <c:v>12.050399999999858</c:v>
                </c:pt>
                <c:pt idx="805">
                  <c:v>12.050499999999857</c:v>
                </c:pt>
                <c:pt idx="806">
                  <c:v>12.050599999999857</c:v>
                </c:pt>
                <c:pt idx="807">
                  <c:v>12.050699999999857</c:v>
                </c:pt>
                <c:pt idx="808">
                  <c:v>12.050799999999857</c:v>
                </c:pt>
                <c:pt idx="809">
                  <c:v>12.050899999999857</c:v>
                </c:pt>
                <c:pt idx="810">
                  <c:v>12.050999999999856</c:v>
                </c:pt>
                <c:pt idx="811">
                  <c:v>12.051099999999856</c:v>
                </c:pt>
                <c:pt idx="812">
                  <c:v>12.051199999999856</c:v>
                </c:pt>
                <c:pt idx="813">
                  <c:v>12.051299999999856</c:v>
                </c:pt>
                <c:pt idx="814">
                  <c:v>12.051399999999855</c:v>
                </c:pt>
                <c:pt idx="815">
                  <c:v>12.051499999999855</c:v>
                </c:pt>
                <c:pt idx="816">
                  <c:v>12.051599999999855</c:v>
                </c:pt>
                <c:pt idx="817">
                  <c:v>12.051699999999855</c:v>
                </c:pt>
                <c:pt idx="818">
                  <c:v>12.051799999999854</c:v>
                </c:pt>
                <c:pt idx="819">
                  <c:v>12.051899999999854</c:v>
                </c:pt>
                <c:pt idx="820">
                  <c:v>12.051999999999854</c:v>
                </c:pt>
                <c:pt idx="821">
                  <c:v>12.052099999999854</c:v>
                </c:pt>
                <c:pt idx="822">
                  <c:v>12.052199999999853</c:v>
                </c:pt>
                <c:pt idx="823">
                  <c:v>12.052299999999853</c:v>
                </c:pt>
                <c:pt idx="824">
                  <c:v>12.052399999999853</c:v>
                </c:pt>
                <c:pt idx="825">
                  <c:v>12.052499999999853</c:v>
                </c:pt>
                <c:pt idx="826">
                  <c:v>12.052599999999853</c:v>
                </c:pt>
                <c:pt idx="827">
                  <c:v>12.052699999999852</c:v>
                </c:pt>
                <c:pt idx="828">
                  <c:v>12.052799999999852</c:v>
                </c:pt>
                <c:pt idx="829">
                  <c:v>12.052899999999852</c:v>
                </c:pt>
                <c:pt idx="830">
                  <c:v>12.052999999999852</c:v>
                </c:pt>
                <c:pt idx="831">
                  <c:v>12.053099999999851</c:v>
                </c:pt>
                <c:pt idx="832">
                  <c:v>12.053199999999851</c:v>
                </c:pt>
                <c:pt idx="833">
                  <c:v>12.053299999999851</c:v>
                </c:pt>
                <c:pt idx="834">
                  <c:v>12.053399999999851</c:v>
                </c:pt>
                <c:pt idx="835">
                  <c:v>12.05349999999985</c:v>
                </c:pt>
                <c:pt idx="836">
                  <c:v>12.05359999999985</c:v>
                </c:pt>
                <c:pt idx="837">
                  <c:v>12.05369999999985</c:v>
                </c:pt>
                <c:pt idx="838">
                  <c:v>12.05379999999985</c:v>
                </c:pt>
                <c:pt idx="839">
                  <c:v>12.05389999999985</c:v>
                </c:pt>
                <c:pt idx="840">
                  <c:v>12.053999999999849</c:v>
                </c:pt>
                <c:pt idx="841">
                  <c:v>12.054099999999849</c:v>
                </c:pt>
                <c:pt idx="842">
                  <c:v>12.054199999999849</c:v>
                </c:pt>
                <c:pt idx="843">
                  <c:v>12.054299999999849</c:v>
                </c:pt>
                <c:pt idx="844">
                  <c:v>12.054399999999848</c:v>
                </c:pt>
                <c:pt idx="845">
                  <c:v>12.054499999999848</c:v>
                </c:pt>
                <c:pt idx="846">
                  <c:v>12.054599999999848</c:v>
                </c:pt>
                <c:pt idx="847">
                  <c:v>12.054699999999848</c:v>
                </c:pt>
                <c:pt idx="848">
                  <c:v>12.054799999999847</c:v>
                </c:pt>
                <c:pt idx="849">
                  <c:v>12.054899999999847</c:v>
                </c:pt>
                <c:pt idx="850">
                  <c:v>12.054999999999847</c:v>
                </c:pt>
                <c:pt idx="851">
                  <c:v>12.055099999999847</c:v>
                </c:pt>
                <c:pt idx="852">
                  <c:v>12.055199999999846</c:v>
                </c:pt>
                <c:pt idx="853">
                  <c:v>12.055299999999846</c:v>
                </c:pt>
                <c:pt idx="854">
                  <c:v>12.055399999999846</c:v>
                </c:pt>
                <c:pt idx="855">
                  <c:v>12.055499999999846</c:v>
                </c:pt>
                <c:pt idx="856">
                  <c:v>12.055599999999846</c:v>
                </c:pt>
                <c:pt idx="857">
                  <c:v>12.055699999999845</c:v>
                </c:pt>
                <c:pt idx="858">
                  <c:v>12.055799999999845</c:v>
                </c:pt>
                <c:pt idx="859">
                  <c:v>12.055899999999845</c:v>
                </c:pt>
                <c:pt idx="860">
                  <c:v>12.055999999999845</c:v>
                </c:pt>
                <c:pt idx="861">
                  <c:v>12.056099999999844</c:v>
                </c:pt>
                <c:pt idx="862">
                  <c:v>12.056199999999844</c:v>
                </c:pt>
                <c:pt idx="863">
                  <c:v>12.056299999999844</c:v>
                </c:pt>
                <c:pt idx="864">
                  <c:v>12.056399999999844</c:v>
                </c:pt>
                <c:pt idx="865">
                  <c:v>12.056499999999843</c:v>
                </c:pt>
                <c:pt idx="866">
                  <c:v>12.056599999999843</c:v>
                </c:pt>
                <c:pt idx="867">
                  <c:v>12.056699999999843</c:v>
                </c:pt>
                <c:pt idx="868">
                  <c:v>12.056799999999843</c:v>
                </c:pt>
                <c:pt idx="869">
                  <c:v>12.056899999999843</c:v>
                </c:pt>
                <c:pt idx="870">
                  <c:v>12.056999999999842</c:v>
                </c:pt>
                <c:pt idx="871">
                  <c:v>12.057099999999842</c:v>
                </c:pt>
                <c:pt idx="872">
                  <c:v>12.057199999999842</c:v>
                </c:pt>
                <c:pt idx="873">
                  <c:v>12.057299999999842</c:v>
                </c:pt>
                <c:pt idx="874">
                  <c:v>12.057399999999841</c:v>
                </c:pt>
                <c:pt idx="875">
                  <c:v>12.057499999999841</c:v>
                </c:pt>
                <c:pt idx="876">
                  <c:v>12.057599999999841</c:v>
                </c:pt>
                <c:pt idx="877">
                  <c:v>12.057699999999841</c:v>
                </c:pt>
                <c:pt idx="878">
                  <c:v>12.05779999999984</c:v>
                </c:pt>
                <c:pt idx="879">
                  <c:v>12.05789999999984</c:v>
                </c:pt>
                <c:pt idx="880">
                  <c:v>12.05799999999984</c:v>
                </c:pt>
                <c:pt idx="881">
                  <c:v>12.05809999999984</c:v>
                </c:pt>
                <c:pt idx="882">
                  <c:v>12.058199999999839</c:v>
                </c:pt>
                <c:pt idx="883">
                  <c:v>12.058299999999839</c:v>
                </c:pt>
                <c:pt idx="884">
                  <c:v>12.058399999999839</c:v>
                </c:pt>
                <c:pt idx="885">
                  <c:v>12.058499999999839</c:v>
                </c:pt>
                <c:pt idx="886">
                  <c:v>12.058599999999839</c:v>
                </c:pt>
                <c:pt idx="887">
                  <c:v>12.058699999999838</c:v>
                </c:pt>
                <c:pt idx="888">
                  <c:v>12.058799999999838</c:v>
                </c:pt>
                <c:pt idx="889">
                  <c:v>12.058899999999838</c:v>
                </c:pt>
                <c:pt idx="890">
                  <c:v>12.058999999999838</c:v>
                </c:pt>
                <c:pt idx="891">
                  <c:v>12.059099999999837</c:v>
                </c:pt>
                <c:pt idx="892">
                  <c:v>12.059199999999837</c:v>
                </c:pt>
                <c:pt idx="893">
                  <c:v>12.059299999999837</c:v>
                </c:pt>
                <c:pt idx="894">
                  <c:v>12.059399999999837</c:v>
                </c:pt>
                <c:pt idx="895">
                  <c:v>12.059499999999836</c:v>
                </c:pt>
                <c:pt idx="896">
                  <c:v>12.059599999999836</c:v>
                </c:pt>
                <c:pt idx="897">
                  <c:v>12.059699999999836</c:v>
                </c:pt>
                <c:pt idx="898">
                  <c:v>12.059799999999836</c:v>
                </c:pt>
                <c:pt idx="899">
                  <c:v>12.059899999999836</c:v>
                </c:pt>
                <c:pt idx="900">
                  <c:v>12.059999999999835</c:v>
                </c:pt>
                <c:pt idx="901">
                  <c:v>12.060099999999835</c:v>
                </c:pt>
                <c:pt idx="902">
                  <c:v>12.060199999999835</c:v>
                </c:pt>
                <c:pt idx="903">
                  <c:v>12.060299999999835</c:v>
                </c:pt>
                <c:pt idx="904">
                  <c:v>12.060399999999834</c:v>
                </c:pt>
                <c:pt idx="905">
                  <c:v>12.060499999999834</c:v>
                </c:pt>
                <c:pt idx="906">
                  <c:v>12.060599999999834</c:v>
                </c:pt>
                <c:pt idx="907">
                  <c:v>12.060699999999834</c:v>
                </c:pt>
                <c:pt idx="908">
                  <c:v>12.060799999999833</c:v>
                </c:pt>
                <c:pt idx="909">
                  <c:v>12.060899999999833</c:v>
                </c:pt>
                <c:pt idx="910">
                  <c:v>12.060999999999833</c:v>
                </c:pt>
                <c:pt idx="911">
                  <c:v>12.061099999999833</c:v>
                </c:pt>
                <c:pt idx="912">
                  <c:v>12.061199999999832</c:v>
                </c:pt>
                <c:pt idx="913">
                  <c:v>12.061299999999832</c:v>
                </c:pt>
                <c:pt idx="914">
                  <c:v>12.061399999999832</c:v>
                </c:pt>
                <c:pt idx="915">
                  <c:v>12.061499999999832</c:v>
                </c:pt>
                <c:pt idx="916">
                  <c:v>12.061599999999832</c:v>
                </c:pt>
                <c:pt idx="917">
                  <c:v>12.061699999999831</c:v>
                </c:pt>
                <c:pt idx="918">
                  <c:v>12.061799999999831</c:v>
                </c:pt>
                <c:pt idx="919">
                  <c:v>12.061899999999831</c:v>
                </c:pt>
                <c:pt idx="920">
                  <c:v>12.061999999999831</c:v>
                </c:pt>
                <c:pt idx="921">
                  <c:v>12.06209999999983</c:v>
                </c:pt>
                <c:pt idx="922">
                  <c:v>12.06219999999983</c:v>
                </c:pt>
                <c:pt idx="923">
                  <c:v>12.06229999999983</c:v>
                </c:pt>
                <c:pt idx="924">
                  <c:v>12.06239999999983</c:v>
                </c:pt>
                <c:pt idx="925">
                  <c:v>12.062499999999829</c:v>
                </c:pt>
                <c:pt idx="926">
                  <c:v>12.062599999999829</c:v>
                </c:pt>
                <c:pt idx="927">
                  <c:v>12.062699999999829</c:v>
                </c:pt>
                <c:pt idx="928">
                  <c:v>12.062799999999829</c:v>
                </c:pt>
                <c:pt idx="929">
                  <c:v>12.062899999999829</c:v>
                </c:pt>
                <c:pt idx="930">
                  <c:v>12.062999999999828</c:v>
                </c:pt>
                <c:pt idx="931">
                  <c:v>12.063099999999828</c:v>
                </c:pt>
                <c:pt idx="932">
                  <c:v>12.063199999999828</c:v>
                </c:pt>
                <c:pt idx="933">
                  <c:v>12.063299999999828</c:v>
                </c:pt>
                <c:pt idx="934">
                  <c:v>12.063399999999827</c:v>
                </c:pt>
                <c:pt idx="935">
                  <c:v>12.063499999999827</c:v>
                </c:pt>
                <c:pt idx="936">
                  <c:v>12.063599999999827</c:v>
                </c:pt>
                <c:pt idx="937">
                  <c:v>12.063699999999827</c:v>
                </c:pt>
                <c:pt idx="938">
                  <c:v>12.063799999999826</c:v>
                </c:pt>
                <c:pt idx="939">
                  <c:v>12.063899999999826</c:v>
                </c:pt>
                <c:pt idx="940">
                  <c:v>12.063999999999826</c:v>
                </c:pt>
                <c:pt idx="941">
                  <c:v>12.064099999999826</c:v>
                </c:pt>
                <c:pt idx="942">
                  <c:v>12.064199999999826</c:v>
                </c:pt>
                <c:pt idx="943">
                  <c:v>12.064299999999825</c:v>
                </c:pt>
                <c:pt idx="944">
                  <c:v>12.064399999999825</c:v>
                </c:pt>
                <c:pt idx="945">
                  <c:v>12.064499999999825</c:v>
                </c:pt>
                <c:pt idx="946">
                  <c:v>12.064599999999825</c:v>
                </c:pt>
                <c:pt idx="947">
                  <c:v>12.064699999999824</c:v>
                </c:pt>
                <c:pt idx="948">
                  <c:v>12.064799999999824</c:v>
                </c:pt>
                <c:pt idx="949">
                  <c:v>12.064899999999824</c:v>
                </c:pt>
                <c:pt idx="950">
                  <c:v>12.064999999999824</c:v>
                </c:pt>
                <c:pt idx="951">
                  <c:v>12.065099999999823</c:v>
                </c:pt>
                <c:pt idx="952">
                  <c:v>12.065199999999823</c:v>
                </c:pt>
                <c:pt idx="953">
                  <c:v>12.065299999999823</c:v>
                </c:pt>
                <c:pt idx="954">
                  <c:v>12.065399999999823</c:v>
                </c:pt>
                <c:pt idx="955">
                  <c:v>12.065499999999822</c:v>
                </c:pt>
                <c:pt idx="956">
                  <c:v>12.065599999999822</c:v>
                </c:pt>
                <c:pt idx="957">
                  <c:v>12.065699999999822</c:v>
                </c:pt>
                <c:pt idx="958">
                  <c:v>12.065799999999822</c:v>
                </c:pt>
                <c:pt idx="959">
                  <c:v>12.065899999999822</c:v>
                </c:pt>
                <c:pt idx="960">
                  <c:v>12.065999999999821</c:v>
                </c:pt>
                <c:pt idx="961">
                  <c:v>12.066099999999821</c:v>
                </c:pt>
                <c:pt idx="962">
                  <c:v>12.066199999999821</c:v>
                </c:pt>
                <c:pt idx="963">
                  <c:v>12.066299999999821</c:v>
                </c:pt>
                <c:pt idx="964">
                  <c:v>12.06639999999982</c:v>
                </c:pt>
                <c:pt idx="965">
                  <c:v>12.06649999999982</c:v>
                </c:pt>
                <c:pt idx="966">
                  <c:v>12.06659999999982</c:v>
                </c:pt>
                <c:pt idx="967">
                  <c:v>12.06669999999982</c:v>
                </c:pt>
                <c:pt idx="968">
                  <c:v>12.066799999999819</c:v>
                </c:pt>
                <c:pt idx="969">
                  <c:v>12.066899999999819</c:v>
                </c:pt>
                <c:pt idx="970">
                  <c:v>12.066999999999819</c:v>
                </c:pt>
                <c:pt idx="971">
                  <c:v>12.067099999999819</c:v>
                </c:pt>
                <c:pt idx="972">
                  <c:v>12.067199999999819</c:v>
                </c:pt>
                <c:pt idx="973">
                  <c:v>12.067299999999818</c:v>
                </c:pt>
                <c:pt idx="974">
                  <c:v>12.067399999999818</c:v>
                </c:pt>
                <c:pt idx="975">
                  <c:v>12.067499999999818</c:v>
                </c:pt>
                <c:pt idx="976">
                  <c:v>12.067599999999818</c:v>
                </c:pt>
                <c:pt idx="977">
                  <c:v>12.067699999999817</c:v>
                </c:pt>
                <c:pt idx="978">
                  <c:v>12.067799999999817</c:v>
                </c:pt>
                <c:pt idx="979">
                  <c:v>12.067899999999817</c:v>
                </c:pt>
                <c:pt idx="980">
                  <c:v>12.067999999999817</c:v>
                </c:pt>
                <c:pt idx="981">
                  <c:v>12.068099999999816</c:v>
                </c:pt>
                <c:pt idx="982">
                  <c:v>12.068199999999816</c:v>
                </c:pt>
                <c:pt idx="983">
                  <c:v>12.068299999999816</c:v>
                </c:pt>
                <c:pt idx="984">
                  <c:v>12.068399999999816</c:v>
                </c:pt>
                <c:pt idx="985">
                  <c:v>12.068499999999815</c:v>
                </c:pt>
                <c:pt idx="986">
                  <c:v>12.068599999999815</c:v>
                </c:pt>
                <c:pt idx="987">
                  <c:v>12.068699999999815</c:v>
                </c:pt>
                <c:pt idx="988">
                  <c:v>12.068799999999815</c:v>
                </c:pt>
                <c:pt idx="989">
                  <c:v>12.068899999999815</c:v>
                </c:pt>
                <c:pt idx="990">
                  <c:v>12.068999999999814</c:v>
                </c:pt>
                <c:pt idx="991">
                  <c:v>12.069099999999814</c:v>
                </c:pt>
                <c:pt idx="992">
                  <c:v>12.069199999999814</c:v>
                </c:pt>
                <c:pt idx="993">
                  <c:v>12.069299999999814</c:v>
                </c:pt>
                <c:pt idx="994">
                  <c:v>12.069399999999813</c:v>
                </c:pt>
                <c:pt idx="995">
                  <c:v>12.069499999999813</c:v>
                </c:pt>
                <c:pt idx="996">
                  <c:v>12.069599999999813</c:v>
                </c:pt>
                <c:pt idx="997">
                  <c:v>12.069699999999813</c:v>
                </c:pt>
                <c:pt idx="998">
                  <c:v>12.069799999999812</c:v>
                </c:pt>
                <c:pt idx="999">
                  <c:v>12.069899999999812</c:v>
                </c:pt>
                <c:pt idx="1000">
                  <c:v>12.069999999999812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9.5476849499258624E-4</c:v>
                </c:pt>
                <c:pt idx="2">
                  <c:v>6.7041506585954914E-3</c:v>
                </c:pt>
                <c:pt idx="3">
                  <c:v>2.1347892084722167E-2</c:v>
                </c:pt>
                <c:pt idx="4">
                  <c:v>4.5641448750859806E-2</c:v>
                </c:pt>
                <c:pt idx="5">
                  <c:v>7.8886855363211827E-2</c:v>
                </c:pt>
                <c:pt idx="6">
                  <c:v>0.12082755256820427</c:v>
                </c:pt>
                <c:pt idx="7">
                  <c:v>0.17142780490487936</c:v>
                </c:pt>
                <c:pt idx="8">
                  <c:v>0.23065163508789061</c:v>
                </c:pt>
                <c:pt idx="9">
                  <c:v>0.29846282623171161</c:v>
                </c:pt>
                <c:pt idx="10">
                  <c:v>0.37482492409416895</c:v>
                </c:pt>
                <c:pt idx="11">
                  <c:v>0.45970123933881296</c:v>
                </c:pt>
                <c:pt idx="12">
                  <c:v>0.55305484981563557</c:v>
                </c:pt>
                <c:pt idx="13">
                  <c:v>0.65484860285964364</c:v>
                </c:pt>
                <c:pt idx="14">
                  <c:v>0.76504511760679228</c:v>
                </c:pt>
                <c:pt idx="15">
                  <c:v>0.88360678732678144</c:v>
                </c:pt>
                <c:pt idx="16">
                  <c:v>1.010495781772216</c:v>
                </c:pt>
                <c:pt idx="17">
                  <c:v>1.1456740495436277</c:v>
                </c:pt>
                <c:pt idx="18">
                  <c:v>1.2891033204698563</c:v>
                </c:pt>
                <c:pt idx="19">
                  <c:v>1.4407451080032851</c:v>
                </c:pt>
                <c:pt idx="20">
                  <c:v>1.6005607116294238</c:v>
                </c:pt>
                <c:pt idx="21">
                  <c:v>1.7685112192903334</c:v>
                </c:pt>
                <c:pt idx="22">
                  <c:v>1.9445575098213814</c:v>
                </c:pt>
                <c:pt idx="23">
                  <c:v>2.1286602554008214</c:v>
                </c:pt>
                <c:pt idx="24">
                  <c:v>2.3207799240116849</c:v>
                </c:pt>
                <c:pt idx="25">
                  <c:v>2.5208767819154749</c:v>
                </c:pt>
                <c:pt idx="26">
                  <c:v>2.7289071684632513</c:v>
                </c:pt>
                <c:pt idx="27">
                  <c:v>2.9448270722619618</c:v>
                </c:pt>
                <c:pt idx="28">
                  <c:v>3.1685958650668411</c:v>
                </c:pt>
                <c:pt idx="29">
                  <c:v>3.4001727359070255</c:v>
                </c:pt>
                <c:pt idx="30">
                  <c:v>3.6395166948821154</c:v>
                </c:pt>
                <c:pt idx="31">
                  <c:v>3.8865865751309832</c:v>
                </c:pt>
                <c:pt idx="32">
                  <c:v>4.1413410348610018</c:v>
                </c:pt>
                <c:pt idx="33">
                  <c:v>4.4037385594307912</c:v>
                </c:pt>
                <c:pt idx="34">
                  <c:v>4.6737374634805438</c:v>
                </c:pt>
                <c:pt idx="35">
                  <c:v>4.9512958931047795</c:v>
                </c:pt>
                <c:pt idx="36">
                  <c:v>5.2363718280630369</c:v>
                </c:pt>
                <c:pt idx="37">
                  <c:v>5.5289230840245649</c:v>
                </c:pt>
                <c:pt idx="38">
                  <c:v>5.8289073148435193</c:v>
                </c:pt>
                <c:pt idx="39">
                  <c:v>6.1362820148615835</c:v>
                </c:pt>
                <c:pt idx="40">
                  <c:v>6.4510045212352356</c:v>
                </c:pt>
                <c:pt idx="41">
                  <c:v>6.773032016285188</c:v>
                </c:pt>
                <c:pt idx="42">
                  <c:v>7.1023215298657449</c:v>
                </c:pt>
                <c:pt idx="43">
                  <c:v>7.4388299417520543</c:v>
                </c:pt>
                <c:pt idx="44">
                  <c:v>7.7825139840433817</c:v>
                </c:pt>
                <c:pt idx="45">
                  <c:v>8.133330243580712</c:v>
                </c:pt>
                <c:pt idx="46">
                  <c:v>8.4912351643771107</c:v>
                </c:pt>
                <c:pt idx="47">
                  <c:v>8.856185050059393</c:v>
                </c:pt>
                <c:pt idx="48">
                  <c:v>9.2281360663197596</c:v>
                </c:pt>
                <c:pt idx="49">
                  <c:v>9.6070442433761354</c:v>
                </c:pt>
                <c:pt idx="50">
                  <c:v>9.9928654784400557</c:v>
                </c:pt>
                <c:pt idx="51">
                  <c:v>10.385555538190985</c:v>
                </c:pt>
                <c:pt idx="52">
                  <c:v>10.785070061256034</c:v>
                </c:pt>
                <c:pt idx="53">
                  <c:v>11.191364560694105</c:v>
                </c:pt>
                <c:pt idx="54">
                  <c:v>11.604394426483534</c:v>
                </c:pt>
                <c:pt idx="55">
                  <c:v>12.024114928012343</c:v>
                </c:pt>
                <c:pt idx="56">
                  <c:v>12.450481216570271</c:v>
                </c:pt>
                <c:pt idx="57">
                  <c:v>12.883448327841787</c:v>
                </c:pt>
                <c:pt idx="58">
                  <c:v>13.322971184399307</c:v>
                </c:pt>
                <c:pt idx="59">
                  <c:v>13.769004598195895</c:v>
                </c:pt>
                <c:pt idx="60">
                  <c:v>14.221503273056737</c:v>
                </c:pt>
                <c:pt idx="61">
                  <c:v>14.680421807168704</c:v>
                </c:pt>
                <c:pt idx="62">
                  <c:v>15.145714695567374</c:v>
                </c:pt>
                <c:pt idx="63">
                  <c:v>15.617316903013398</c:v>
                </c:pt>
                <c:pt idx="64">
                  <c:v>16.095124431270687</c:v>
                </c:pt>
                <c:pt idx="65">
                  <c:v>16.579013756530479</c:v>
                </c:pt>
                <c:pt idx="66">
                  <c:v>17.068861275233086</c:v>
                </c:pt>
                <c:pt idx="67">
                  <c:v>17.564525493092628</c:v>
                </c:pt>
                <c:pt idx="68">
                  <c:v>18.065829212405738</c:v>
                </c:pt>
                <c:pt idx="69">
                  <c:v>18.572545671116956</c:v>
                </c:pt>
                <c:pt idx="70">
                  <c:v>19.084384688712674</c:v>
                </c:pt>
                <c:pt idx="71">
                  <c:v>19.601024408415785</c:v>
                </c:pt>
                <c:pt idx="72">
                  <c:v>20.122143044437539</c:v>
                </c:pt>
                <c:pt idx="73">
                  <c:v>20.647418910002198</c:v>
                </c:pt>
                <c:pt idx="74">
                  <c:v>21.17653044456943</c:v>
                </c:pt>
                <c:pt idx="75">
                  <c:v>21.709156240248184</c:v>
                </c:pt>
                <c:pt idx="76">
                  <c:v>22.244975067396553</c:v>
                </c:pt>
                <c:pt idx="77">
                  <c:v>22.783665899402816</c:v>
                </c:pt>
                <c:pt idx="78">
                  <c:v>23.324907936643587</c:v>
                </c:pt>
                <c:pt idx="79">
                  <c:v>23.868380629615611</c:v>
                </c:pt>
                <c:pt idx="80">
                  <c:v>24.413763701238416</c:v>
                </c:pt>
                <c:pt idx="81">
                  <c:v>24.960774904383236</c:v>
                </c:pt>
                <c:pt idx="82">
                  <c:v>25.509207741852734</c:v>
                </c:pt>
                <c:pt idx="83">
                  <c:v>26.058893663775766</c:v>
                </c:pt>
                <c:pt idx="84">
                  <c:v>26.609664294624221</c:v>
                </c:pt>
                <c:pt idx="85">
                  <c:v>27.161351439129472</c:v>
                </c:pt>
                <c:pt idx="86">
                  <c:v>27.713787087965549</c:v>
                </c:pt>
                <c:pt idx="87">
                  <c:v>28.266803423199537</c:v>
                </c:pt>
                <c:pt idx="88">
                  <c:v>28.820232823509691</c:v>
                </c:pt>
                <c:pt idx="89">
                  <c:v>29.373919794083825</c:v>
                </c:pt>
                <c:pt idx="90">
                  <c:v>29.927732881649849</c:v>
                </c:pt>
                <c:pt idx="91">
                  <c:v>30.481552722841503</c:v>
                </c:pt>
                <c:pt idx="92">
                  <c:v>31.035260105954482</c:v>
                </c:pt>
                <c:pt idx="93">
                  <c:v>31.588738954775391</c:v>
                </c:pt>
                <c:pt idx="94">
                  <c:v>32.141879308374747</c:v>
                </c:pt>
                <c:pt idx="95">
                  <c:v>32.694574333077455</c:v>
                </c:pt>
                <c:pt idx="96">
                  <c:v>33.246717338059348</c:v>
                </c:pt>
                <c:pt idx="97">
                  <c:v>33.79821370453071</c:v>
                </c:pt>
                <c:pt idx="98">
                  <c:v>34.348992798283383</c:v>
                </c:pt>
                <c:pt idx="99">
                  <c:v>34.898996009247092</c:v>
                </c:pt>
                <c:pt idx="100">
                  <c:v>35.448164807077475</c:v>
                </c:pt>
                <c:pt idx="101">
                  <c:v>35.996440741261011</c:v>
                </c:pt>
                <c:pt idx="102">
                  <c:v>36.543765441193187</c:v>
                </c:pt>
                <c:pt idx="103">
                  <c:v>37.090080616230161</c:v>
                </c:pt>
                <c:pt idx="104">
                  <c:v>37.63532805571402</c:v>
                </c:pt>
                <c:pt idx="105">
                  <c:v>38.179449628971888</c:v>
                </c:pt>
                <c:pt idx="106">
                  <c:v>38.72238728528901</c:v>
                </c:pt>
                <c:pt idx="107">
                  <c:v>39.264083053856019</c:v>
                </c:pt>
                <c:pt idx="108">
                  <c:v>39.804479043690584</c:v>
                </c:pt>
                <c:pt idx="109">
                  <c:v>40.343532352230483</c:v>
                </c:pt>
                <c:pt idx="110">
                  <c:v>40.881229951784142</c:v>
                </c:pt>
                <c:pt idx="111">
                  <c:v>41.41757373720128</c:v>
                </c:pt>
                <c:pt idx="112">
                  <c:v>41.952565595747878</c:v>
                </c:pt>
                <c:pt idx="113">
                  <c:v>42.486207407138416</c:v>
                </c:pt>
                <c:pt idx="114">
                  <c:v>43.018501043567888</c:v>
                </c:pt>
                <c:pt idx="115">
                  <c:v>43.549448369743658</c:v>
                </c:pt>
                <c:pt idx="116">
                  <c:v>44.079051242917082</c:v>
                </c:pt>
                <c:pt idx="117">
                  <c:v>44.607311512914997</c:v>
                </c:pt>
                <c:pt idx="118">
                  <c:v>45.134231022170979</c:v>
                </c:pt>
                <c:pt idx="119">
                  <c:v>45.659811605756445</c:v>
                </c:pt>
                <c:pt idx="120">
                  <c:v>46.184055091411544</c:v>
                </c:pt>
                <c:pt idx="121">
                  <c:v>46.706963299575904</c:v>
                </c:pt>
                <c:pt idx="122">
                  <c:v>47.228538043419157</c:v>
                </c:pt>
                <c:pt idx="123">
                  <c:v>47.748781128871315</c:v>
                </c:pt>
                <c:pt idx="124">
                  <c:v>48.267694354652932</c:v>
                </c:pt>
                <c:pt idx="125">
                  <c:v>48.785279512305145</c:v>
                </c:pt>
                <c:pt idx="126">
                  <c:v>49.30153838621947</c:v>
                </c:pt>
                <c:pt idx="127">
                  <c:v>49.816472753667476</c:v>
                </c:pt>
                <c:pt idx="128">
                  <c:v>50.330084384830265</c:v>
                </c:pt>
                <c:pt idx="129">
                  <c:v>50.842375042827769</c:v>
                </c:pt>
                <c:pt idx="130">
                  <c:v>51.353346483747899</c:v>
                </c:pt>
                <c:pt idx="131">
                  <c:v>51.863000456675501</c:v>
                </c:pt>
                <c:pt idx="132">
                  <c:v>52.371338703721158</c:v>
                </c:pt>
                <c:pt idx="133">
                  <c:v>52.878362960049799</c:v>
                </c:pt>
                <c:pt idx="134">
                  <c:v>53.384074953909192</c:v>
                </c:pt>
                <c:pt idx="135">
                  <c:v>53.888476406658214</c:v>
                </c:pt>
                <c:pt idx="136">
                  <c:v>54.391569032794976</c:v>
                </c:pt>
                <c:pt idx="137">
                  <c:v>54.893354539984799</c:v>
                </c:pt>
                <c:pt idx="138">
                  <c:v>55.393834629088019</c:v>
                </c:pt>
                <c:pt idx="139">
                  <c:v>55.893010994187613</c:v>
                </c:pt>
                <c:pt idx="140">
                  <c:v>56.390885322616697</c:v>
                </c:pt>
                <c:pt idx="141">
                  <c:v>56.887459294985817</c:v>
                </c:pt>
                <c:pt idx="142">
                  <c:v>57.382734585210144</c:v>
                </c:pt>
                <c:pt idx="143">
                  <c:v>57.876712860536443</c:v>
                </c:pt>
                <c:pt idx="144">
                  <c:v>58.369395781569949</c:v>
                </c:pt>
                <c:pt idx="145">
                  <c:v>58.860785002301036</c:v>
                </c:pt>
                <c:pt idx="146">
                  <c:v>59.350882170131769</c:v>
                </c:pt>
                <c:pt idx="147">
                  <c:v>59.839688925902266</c:v>
                </c:pt>
                <c:pt idx="148">
                  <c:v>60.327206903916952</c:v>
                </c:pt>
                <c:pt idx="149">
                  <c:v>60.813437731970623</c:v>
                </c:pt>
                <c:pt idx="150">
                  <c:v>61.298383031374371</c:v>
                </c:pt>
                <c:pt idx="151">
                  <c:v>61.782044416981378</c:v>
                </c:pt>
                <c:pt idx="152">
                  <c:v>62.264423497212526</c:v>
                </c:pt>
                <c:pt idx="153">
                  <c:v>62.745521874081895</c:v>
                </c:pt>
                <c:pt idx="154">
                  <c:v>63.225341143222082</c:v>
                </c:pt>
                <c:pt idx="155">
                  <c:v>63.703882893909409</c:v>
                </c:pt>
                <c:pt idx="156">
                  <c:v>64.181148709088944</c:v>
                </c:pt>
                <c:pt idx="157">
                  <c:v>64.657140165399426</c:v>
                </c:pt>
                <c:pt idx="158">
                  <c:v>65.13185883319801</c:v>
                </c:pt>
                <c:pt idx="159">
                  <c:v>65.605306276584869</c:v>
                </c:pt>
                <c:pt idx="160">
                  <c:v>66.07748405342771</c:v>
                </c:pt>
                <c:pt idx="161">
                  <c:v>66.548393715386041</c:v>
                </c:pt>
                <c:pt idx="162">
                  <c:v>67.018036807935431</c:v>
                </c:pt>
                <c:pt idx="163">
                  <c:v>67.486414870391528</c:v>
                </c:pt>
                <c:pt idx="164">
                  <c:v>67.953529435933987</c:v>
                </c:pt>
                <c:pt idx="165">
                  <c:v>68.419382031630249</c:v>
                </c:pt>
                <c:pt idx="166">
                  <c:v>68.883974178459198</c:v>
                </c:pt>
                <c:pt idx="167">
                  <c:v>69.347307391334652</c:v>
                </c:pt>
                <c:pt idx="168">
                  <c:v>69.809383179128758</c:v>
                </c:pt>
                <c:pt idx="169">
                  <c:v>70.270203044695222</c:v>
                </c:pt>
                <c:pt idx="170">
                  <c:v>70.729768484892418</c:v>
                </c:pt>
                <c:pt idx="171">
                  <c:v>71.188080990606366</c:v>
                </c:pt>
                <c:pt idx="172">
                  <c:v>71.6451420467736</c:v>
                </c:pt>
                <c:pt idx="173">
                  <c:v>72.100953132403873</c:v>
                </c:pt>
                <c:pt idx="174">
                  <c:v>72.555515720602742</c:v>
                </c:pt>
                <c:pt idx="175">
                  <c:v>73.008831278594016</c:v>
                </c:pt>
                <c:pt idx="176">
                  <c:v>73.460901267742116</c:v>
                </c:pt>
                <c:pt idx="177">
                  <c:v>73.911727143574268</c:v>
                </c:pt>
                <c:pt idx="178">
                  <c:v>74.361310355802573</c:v>
                </c:pt>
                <c:pt idx="179">
                  <c:v>74.809652348345992</c:v>
                </c:pt>
                <c:pt idx="180">
                  <c:v>75.256754559352117</c:v>
                </c:pt>
                <c:pt idx="181">
                  <c:v>75.702618421218958</c:v>
                </c:pt>
                <c:pt idx="182">
                  <c:v>76.147245360616452</c:v>
                </c:pt>
                <c:pt idx="183">
                  <c:v>76.590636798507987</c:v>
                </c:pt>
                <c:pt idx="184">
                  <c:v>77.032794150171682</c:v>
                </c:pt>
                <c:pt idx="185">
                  <c:v>77.473718825221653</c:v>
                </c:pt>
                <c:pt idx="186">
                  <c:v>77.913412227629081</c:v>
                </c:pt>
                <c:pt idx="187">
                  <c:v>78.351875755743237</c:v>
                </c:pt>
                <c:pt idx="188">
                  <c:v>78.789110802312294</c:v>
                </c:pt>
                <c:pt idx="189">
                  <c:v>79.225118754504081</c:v>
                </c:pt>
                <c:pt idx="190">
                  <c:v>79.659900993926755</c:v>
                </c:pt>
                <c:pt idx="191">
                  <c:v>80.093458896649238</c:v>
                </c:pt>
                <c:pt idx="192">
                  <c:v>80.525793833221684</c:v>
                </c:pt>
                <c:pt idx="193">
                  <c:v>80.956907168695707</c:v>
                </c:pt>
                <c:pt idx="194">
                  <c:v>81.386800262644599</c:v>
                </c:pt>
                <c:pt idx="195">
                  <c:v>81.815474469183314</c:v>
                </c:pt>
                <c:pt idx="196">
                  <c:v>82.242931136988474</c:v>
                </c:pt>
                <c:pt idx="197">
                  <c:v>82.66917160931817</c:v>
                </c:pt>
                <c:pt idx="198">
                  <c:v>83.09419722403166</c:v>
                </c:pt>
                <c:pt idx="199">
                  <c:v>83.518009313609014</c:v>
                </c:pt>
                <c:pt idx="200">
                  <c:v>83.940609205170588</c:v>
                </c:pt>
                <c:pt idx="201">
                  <c:v>88.10003960790084</c:v>
                </c:pt>
                <c:pt idx="202">
                  <c:v>92.13909652460832</c:v>
                </c:pt>
                <c:pt idx="203">
                  <c:v>96.059050358541484</c:v>
                </c:pt>
                <c:pt idx="204">
                  <c:v>99.861120497665453</c:v>
                </c:pt>
                <c:pt idx="205">
                  <c:v>103.5464770759672</c:v>
                </c:pt>
                <c:pt idx="206">
                  <c:v>107.11624263826782</c:v>
                </c:pt>
                <c:pt idx="207">
                  <c:v>110.5714937140406</c:v>
                </c:pt>
                <c:pt idx="208">
                  <c:v>113.91326230534288</c:v>
                </c:pt>
                <c:pt idx="209">
                  <c:v>117.14253729360945</c:v>
                </c:pt>
                <c:pt idx="210">
                  <c:v>120.26026576972284</c:v>
                </c:pt>
                <c:pt idx="211">
                  <c:v>123.26735429146969</c:v>
                </c:pt>
                <c:pt idx="212">
                  <c:v>126.16467007220953</c:v>
                </c:pt>
                <c:pt idx="213">
                  <c:v>128.95304210432133</c:v>
                </c:pt>
                <c:pt idx="214">
                  <c:v>131.6332622207529</c:v>
                </c:pt>
                <c:pt idx="215">
                  <c:v>134.20608609777705</c:v>
                </c:pt>
                <c:pt idx="216">
                  <c:v>136.67223420185522</c:v>
                </c:pt>
                <c:pt idx="217">
                  <c:v>139.03239268332396</c:v>
                </c:pt>
                <c:pt idx="218">
                  <c:v>141.28721421945218</c:v>
                </c:pt>
                <c:pt idx="219">
                  <c:v>143.43731880926651</c:v>
                </c:pt>
                <c:pt idx="220">
                  <c:v>145.48329452241197</c:v>
                </c:pt>
                <c:pt idx="221">
                  <c:v>147.4256982042053</c:v>
                </c:pt>
                <c:pt idx="222">
                  <c:v>149.26505613895472</c:v>
                </c:pt>
                <c:pt idx="223">
                  <c:v>151.00186467356687</c:v>
                </c:pt>
                <c:pt idx="224">
                  <c:v>152.63659080345235</c:v>
                </c:pt>
                <c:pt idx="225">
                  <c:v>154.16967272278825</c:v>
                </c:pt>
                <c:pt idx="226">
                  <c:v>155.60152034132884</c:v>
                </c:pt>
                <c:pt idx="227">
                  <c:v>156.9325157702136</c:v>
                </c:pt>
                <c:pt idx="228">
                  <c:v>158.16301377967667</c:v>
                </c:pt>
                <c:pt idx="229">
                  <c:v>159.29334223232712</c:v>
                </c:pt>
                <c:pt idx="230">
                  <c:v>160.32380249694458</c:v>
                </c:pt>
                <c:pt idx="231">
                  <c:v>161.25466984986136</c:v>
                </c:pt>
                <c:pt idx="232">
                  <c:v>162.08619387458521</c:v>
                </c:pt>
                <c:pt idx="233">
                  <c:v>162.8185988764416</c:v>
                </c:pt>
                <c:pt idx="234">
                  <c:v>163.45208433963256</c:v>
                </c:pt>
                <c:pt idx="235">
                  <c:v>163.986825472704</c:v>
                </c:pt>
                <c:pt idx="236">
                  <c:v>164.42297392092351</c:v>
                </c:pt>
                <c:pt idx="237">
                  <c:v>164.76065877942563</c:v>
                </c:pt>
                <c:pt idx="238">
                  <c:v>164.99998812813877</c:v>
                </c:pt>
                <c:pt idx="239">
                  <c:v>165.14105142193264</c:v>
                </c:pt>
                <c:pt idx="240">
                  <c:v>165.18392314444216</c:v>
                </c:pt>
                <c:pt idx="241">
                  <c:v>165.12866801184336</c:v>
                </c:pt>
                <c:pt idx="242">
                  <c:v>164.9753475341864</c:v>
                </c:pt>
                <c:pt idx="243">
                  <c:v>164.72402706995669</c:v>
                </c:pt>
                <c:pt idx="244">
                  <c:v>164.37478220468753</c:v>
                </c:pt>
                <c:pt idx="245">
                  <c:v>163.92770366236198</c:v>
                </c:pt>
                <c:pt idx="246">
                  <c:v>163.38290063297231</c:v>
                </c:pt>
                <c:pt idx="247">
                  <c:v>162.74050283522681</c:v>
                </c:pt>
                <c:pt idx="248">
                  <c:v>162.00066172111823</c:v>
                </c:pt>
                <c:pt idx="249">
                  <c:v>161.16355114260585</c:v>
                </c:pt>
                <c:pt idx="250">
                  <c:v>160.22936768916352</c:v>
                </c:pt>
                <c:pt idx="251">
                  <c:v>159.19833082159258</c:v>
                </c:pt>
                <c:pt idx="252">
                  <c:v>158.07068287533076</c:v>
                </c:pt>
                <c:pt idx="253">
                  <c:v>156.84668897603291</c:v>
                </c:pt>
                <c:pt idx="254">
                  <c:v>155.52663689280709</c:v>
                </c:pt>
                <c:pt idx="255">
                  <c:v>154.1108368445465</c:v>
                </c:pt>
                <c:pt idx="256">
                  <c:v>152.59962126904048</c:v>
                </c:pt>
                <c:pt idx="257">
                  <c:v>150.9933445611577</c:v>
                </c:pt>
                <c:pt idx="258">
                  <c:v>149.29238278435668</c:v>
                </c:pt>
                <c:pt idx="259">
                  <c:v>147.49713335853306</c:v>
                </c:pt>
                <c:pt idx="260">
                  <c:v>145.60801472643632</c:v>
                </c:pt>
                <c:pt idx="261">
                  <c:v>143.62546600039684</c:v>
                </c:pt>
                <c:pt idx="262">
                  <c:v>141.54994659079031</c:v>
                </c:pt>
                <c:pt idx="263">
                  <c:v>139.38193581746179</c:v>
                </c:pt>
                <c:pt idx="264">
                  <c:v>137.12193250519931</c:v>
                </c:pt>
                <c:pt idx="265">
                  <c:v>134.77045456425907</c:v>
                </c:pt>
                <c:pt idx="266">
                  <c:v>132.32803855688812</c:v>
                </c:pt>
                <c:pt idx="267">
                  <c:v>129.79523925075134</c:v>
                </c:pt>
                <c:pt idx="268">
                  <c:v>127.17262916014595</c:v>
                </c:pt>
                <c:pt idx="269">
                  <c:v>124.46079807586914</c:v>
                </c:pt>
                <c:pt idx="270">
                  <c:v>121.66035258459372</c:v>
                </c:pt>
                <c:pt idx="271">
                  <c:v>118.77191557859807</c:v>
                </c:pt>
                <c:pt idx="272">
                  <c:v>115.7961257566901</c:v>
                </c:pt>
                <c:pt idx="273">
                  <c:v>112.73363711715946</c:v>
                </c:pt>
                <c:pt idx="274">
                  <c:v>109.58511844358586</c:v>
                </c:pt>
                <c:pt idx="275">
                  <c:v>106.35125278432541</c:v>
                </c:pt>
                <c:pt idx="276">
                  <c:v>103.03273692648965</c:v>
                </c:pt>
                <c:pt idx="277">
                  <c:v>99.630280865223597</c:v>
                </c:pt>
                <c:pt idx="278">
                  <c:v>96.144607269080225</c:v>
                </c:pt>
                <c:pt idx="279">
                  <c:v>92.57645094227756</c:v>
                </c:pt>
                <c:pt idx="280">
                  <c:v>88.92655828461325</c:v>
                </c:pt>
                <c:pt idx="281">
                  <c:v>85.195686749797787</c:v>
                </c:pt>
                <c:pt idx="282">
                  <c:v>81.384604302953321</c:v>
                </c:pt>
                <c:pt idx="283">
                  <c:v>77.494088878008881</c:v>
                </c:pt>
                <c:pt idx="284">
                  <c:v>73.524927835706109</c:v>
                </c:pt>
                <c:pt idx="285">
                  <c:v>69.477917422911105</c:v>
                </c:pt>
                <c:pt idx="286">
                  <c:v>65.353862233908828</c:v>
                </c:pt>
                <c:pt idx="287">
                  <c:v>61.153574674336156</c:v>
                </c:pt>
                <c:pt idx="288">
                  <c:v>56.877874428388367</c:v>
                </c:pt>
                <c:pt idx="289">
                  <c:v>52.527587929911768</c:v>
                </c:pt>
                <c:pt idx="290">
                  <c:v>48.103547837972172</c:v>
                </c:pt>
                <c:pt idx="291">
                  <c:v>43.606592517465444</c:v>
                </c:pt>
                <c:pt idx="292">
                  <c:v>39.037565525312054</c:v>
                </c:pt>
                <c:pt idx="293">
                  <c:v>34.397315102752962</c:v>
                </c:pt>
                <c:pt idx="294">
                  <c:v>29.686693674238942</c:v>
                </c:pt>
                <c:pt idx="295">
                  <c:v>24.906557353380094</c:v>
                </c:pt>
                <c:pt idx="296">
                  <c:v>20.057765456396496</c:v>
                </c:pt>
                <c:pt idx="297">
                  <c:v>15.141180023485148</c:v>
                </c:pt>
                <c:pt idx="298">
                  <c:v>10.157665348492372</c:v>
                </c:pt>
                <c:pt idx="299">
                  <c:v>5.1080875172548428</c:v>
                </c:pt>
                <c:pt idx="300">
                  <c:v>-6.6860450534402815E-3</c:v>
                </c:pt>
                <c:pt idx="301">
                  <c:v>-1.183323143211765E-2</c:v>
                </c:pt>
                <c:pt idx="302">
                  <c:v>-1.6980481703443604E-2</c:v>
                </c:pt>
                <c:pt idx="303">
                  <c:v>-2.2127795866555042E-2</c:v>
                </c:pt>
                <c:pt idx="304">
                  <c:v>-2.7275173920588862E-2</c:v>
                </c:pt>
                <c:pt idx="305">
                  <c:v>-3.2422615864681967E-2</c:v>
                </c:pt>
                <c:pt idx="306">
                  <c:v>-3.7570121697971262E-2</c:v>
                </c:pt>
                <c:pt idx="307">
                  <c:v>-4.271769141959364E-2</c:v>
                </c:pt>
                <c:pt idx="308">
                  <c:v>-4.7865325028686005E-2</c:v>
                </c:pt>
                <c:pt idx="309">
                  <c:v>-5.3013022524385264E-2</c:v>
                </c:pt>
                <c:pt idx="310">
                  <c:v>-5.8160783905828309E-2</c:v>
                </c:pt>
                <c:pt idx="311">
                  <c:v>-6.3308609172152044E-2</c:v>
                </c:pt>
                <c:pt idx="312">
                  <c:v>-6.845649832249337E-2</c:v>
                </c:pt>
                <c:pt idx="313">
                  <c:v>-7.360445135598917E-2</c:v>
                </c:pt>
                <c:pt idx="314">
                  <c:v>-7.8752468271776357E-2</c:v>
                </c:pt>
                <c:pt idx="315">
                  <c:v>-8.3900549068991831E-2</c:v>
                </c:pt>
                <c:pt idx="316">
                  <c:v>-8.9048693746772489E-2</c:v>
                </c:pt>
                <c:pt idx="317">
                  <c:v>-9.4196902304255231E-2</c:v>
                </c:pt>
                <c:pt idx="318">
                  <c:v>-9.9345174740576955E-2</c:v>
                </c:pt>
                <c:pt idx="319">
                  <c:v>-0.10449351105487456</c:v>
                </c:pt>
                <c:pt idx="320">
                  <c:v>-0.10964191124628495</c:v>
                </c:pt>
                <c:pt idx="321">
                  <c:v>-0.11479037531394501</c:v>
                </c:pt>
                <c:pt idx="322">
                  <c:v>-0.11993890325699165</c:v>
                </c:pt>
                <c:pt idx="323">
                  <c:v>-0.12508749507456177</c:v>
                </c:pt>
                <c:pt idx="324">
                  <c:v>-0.13023615076579226</c:v>
                </c:pt>
                <c:pt idx="325">
                  <c:v>-0.13538487032982002</c:v>
                </c:pt>
                <c:pt idx="326">
                  <c:v>-0.14053365376578195</c:v>
                </c:pt>
                <c:pt idx="327">
                  <c:v>-0.14568250107281494</c:v>
                </c:pt>
                <c:pt idx="328">
                  <c:v>-0.15083141225005589</c:v>
                </c:pt>
                <c:pt idx="329">
                  <c:v>-0.15598038729664168</c:v>
                </c:pt>
                <c:pt idx="330">
                  <c:v>-0.16112942621170923</c:v>
                </c:pt>
                <c:pt idx="331">
                  <c:v>-0.16627852899439544</c:v>
                </c:pt>
                <c:pt idx="332">
                  <c:v>-0.1714276956438372</c:v>
                </c:pt>
                <c:pt idx="333">
                  <c:v>-0.17657692615917139</c:v>
                </c:pt>
                <c:pt idx="334">
                  <c:v>-0.18172622053953494</c:v>
                </c:pt>
                <c:pt idx="335">
                  <c:v>-0.18687557878406472</c:v>
                </c:pt>
                <c:pt idx="336">
                  <c:v>-0.19202500089189761</c:v>
                </c:pt>
                <c:pt idx="337">
                  <c:v>-0.19717448686217054</c:v>
                </c:pt>
                <c:pt idx="338">
                  <c:v>-0.20232403669402038</c:v>
                </c:pt>
                <c:pt idx="339">
                  <c:v>-0.20747365038658405</c:v>
                </c:pt>
                <c:pt idx="340">
                  <c:v>-0.21262332793899844</c:v>
                </c:pt>
                <c:pt idx="341">
                  <c:v>-0.21777306935040042</c:v>
                </c:pt>
                <c:pt idx="342">
                  <c:v>-0.22292287461992691</c:v>
                </c:pt>
                <c:pt idx="343">
                  <c:v>-0.2280727437467148</c:v>
                </c:pt>
                <c:pt idx="344">
                  <c:v>-0.23322267672990099</c:v>
                </c:pt>
                <c:pt idx="345">
                  <c:v>-0.23837267356862235</c:v>
                </c:pt>
                <c:pt idx="346">
                  <c:v>-0.24352273426201582</c:v>
                </c:pt>
                <c:pt idx="347">
                  <c:v>-0.24867285880921824</c:v>
                </c:pt>
                <c:pt idx="348">
                  <c:v>-0.25382304720936655</c:v>
                </c:pt>
                <c:pt idx="349">
                  <c:v>-0.25897329946159758</c:v>
                </c:pt>
                <c:pt idx="350">
                  <c:v>-0.26412361556504832</c:v>
                </c:pt>
                <c:pt idx="351">
                  <c:v>-0.26927399551885561</c:v>
                </c:pt>
                <c:pt idx="352">
                  <c:v>-0.27442443932215632</c:v>
                </c:pt>
                <c:pt idx="353">
                  <c:v>-0.27957494697408736</c:v>
                </c:pt>
                <c:pt idx="354">
                  <c:v>-0.28472551847378563</c:v>
                </c:pt>
                <c:pt idx="355">
                  <c:v>-0.28987615382038806</c:v>
                </c:pt>
                <c:pt idx="356">
                  <c:v>-0.2950268530130315</c:v>
                </c:pt>
                <c:pt idx="357">
                  <c:v>-0.3001776160508528</c:v>
                </c:pt>
                <c:pt idx="358">
                  <c:v>-0.30532844293298894</c:v>
                </c:pt>
                <c:pt idx="359">
                  <c:v>-0.31047933365857677</c:v>
                </c:pt>
                <c:pt idx="360">
                  <c:v>-0.31563028822675315</c:v>
                </c:pt>
                <c:pt idx="361">
                  <c:v>-0.32078130663665505</c:v>
                </c:pt>
                <c:pt idx="362">
                  <c:v>-0.32593238888741932</c:v>
                </c:pt>
                <c:pt idx="363">
                  <c:v>-0.33108353497818283</c:v>
                </c:pt>
                <c:pt idx="364">
                  <c:v>-0.33623474490808247</c:v>
                </c:pt>
                <c:pt idx="365">
                  <c:v>-0.34138601867625518</c:v>
                </c:pt>
                <c:pt idx="366">
                  <c:v>-0.34653735628183785</c:v>
                </c:pt>
                <c:pt idx="367">
                  <c:v>-0.35168875772396735</c:v>
                </c:pt>
                <c:pt idx="368">
                  <c:v>-0.35684022300178053</c:v>
                </c:pt>
                <c:pt idx="369">
                  <c:v>-0.36199175211441431</c:v>
                </c:pt>
                <c:pt idx="370">
                  <c:v>-0.3671433450610056</c:v>
                </c:pt>
                <c:pt idx="371">
                  <c:v>-0.37229500184069131</c:v>
                </c:pt>
                <c:pt idx="372">
                  <c:v>-0.3774467224526083</c:v>
                </c:pt>
                <c:pt idx="373">
                  <c:v>-0.38259850689589342</c:v>
                </c:pt>
                <c:pt idx="374">
                  <c:v>-0.38775035516968365</c:v>
                </c:pt>
                <c:pt idx="375">
                  <c:v>-0.39290226727311578</c:v>
                </c:pt>
                <c:pt idx="376">
                  <c:v>-0.39805424320532679</c:v>
                </c:pt>
                <c:pt idx="377">
                  <c:v>-0.40320628296545352</c:v>
                </c:pt>
                <c:pt idx="378">
                  <c:v>-0.40835838655263285</c:v>
                </c:pt>
                <c:pt idx="379">
                  <c:v>-0.41351055396600173</c:v>
                </c:pt>
                <c:pt idx="380">
                  <c:v>-0.41866278520469696</c:v>
                </c:pt>
                <c:pt idx="381">
                  <c:v>-0.42381508026785553</c:v>
                </c:pt>
                <c:pt idx="382">
                  <c:v>-0.42896743915461427</c:v>
                </c:pt>
                <c:pt idx="383">
                  <c:v>-0.43411986186411006</c:v>
                </c:pt>
                <c:pt idx="384">
                  <c:v>-0.43927234839547979</c:v>
                </c:pt>
                <c:pt idx="385">
                  <c:v>-0.4444248987478604</c:v>
                </c:pt>
                <c:pt idx="386">
                  <c:v>-0.44957751292038872</c:v>
                </c:pt>
                <c:pt idx="387">
                  <c:v>-0.45473019091220168</c:v>
                </c:pt>
                <c:pt idx="388">
                  <c:v>-0.45988293272243613</c:v>
                </c:pt>
                <c:pt idx="389">
                  <c:v>-0.46503573835022899</c:v>
                </c:pt>
                <c:pt idx="390">
                  <c:v>-0.47018860779471711</c:v>
                </c:pt>
                <c:pt idx="391">
                  <c:v>-0.4753415410550374</c:v>
                </c:pt>
                <c:pt idx="392">
                  <c:v>-0.48049453813032678</c:v>
                </c:pt>
                <c:pt idx="393">
                  <c:v>-0.4856475990197221</c:v>
                </c:pt>
                <c:pt idx="394">
                  <c:v>-0.49080072372236022</c:v>
                </c:pt>
                <c:pt idx="395">
                  <c:v>-0.49595391223737811</c:v>
                </c:pt>
                <c:pt idx="396">
                  <c:v>-0.50110716456391258</c:v>
                </c:pt>
                <c:pt idx="397">
                  <c:v>-0.50626048070110052</c:v>
                </c:pt>
                <c:pt idx="398">
                  <c:v>-0.51141386064807892</c:v>
                </c:pt>
                <c:pt idx="399">
                  <c:v>-0.51656730440398457</c:v>
                </c:pt>
                <c:pt idx="400">
                  <c:v>-0.52172081196795439</c:v>
                </c:pt>
                <c:pt idx="401">
                  <c:v>-0.52687438333912517</c:v>
                </c:pt>
                <c:pt idx="402">
                  <c:v>-0.53202801851663395</c:v>
                </c:pt>
                <c:pt idx="403">
                  <c:v>-0.53718171749961752</c:v>
                </c:pt>
                <c:pt idx="404">
                  <c:v>-0.54233548028721279</c:v>
                </c:pt>
                <c:pt idx="405">
                  <c:v>-0.54748930687855668</c:v>
                </c:pt>
                <c:pt idx="406">
                  <c:v>-0.55264319727278599</c:v>
                </c:pt>
                <c:pt idx="407">
                  <c:v>-0.55779715146903763</c:v>
                </c:pt>
                <c:pt idx="408">
                  <c:v>-0.56295116946644863</c:v>
                </c:pt>
                <c:pt idx="409">
                  <c:v>-0.56810525126415568</c:v>
                </c:pt>
                <c:pt idx="410">
                  <c:v>-0.57325939686129579</c:v>
                </c:pt>
                <c:pt idx="411">
                  <c:v>-0.57841360625700577</c:v>
                </c:pt>
                <c:pt idx="412">
                  <c:v>-0.58356787945042254</c:v>
                </c:pt>
                <c:pt idx="413">
                  <c:v>-0.58872221644068301</c:v>
                </c:pt>
                <c:pt idx="414">
                  <c:v>-0.59387661722692398</c:v>
                </c:pt>
                <c:pt idx="415">
                  <c:v>-0.59903108180828246</c:v>
                </c:pt>
                <c:pt idx="416">
                  <c:v>-0.60418561018389527</c:v>
                </c:pt>
                <c:pt idx="417">
                  <c:v>-0.60934020235289921</c:v>
                </c:pt>
                <c:pt idx="418">
                  <c:v>-0.61449485831443129</c:v>
                </c:pt>
                <c:pt idx="419">
                  <c:v>-0.61964957806762833</c:v>
                </c:pt>
                <c:pt idx="420">
                  <c:v>-0.62480436161162722</c:v>
                </c:pt>
                <c:pt idx="421">
                  <c:v>-0.6299592089455649</c:v>
                </c:pt>
                <c:pt idx="422">
                  <c:v>-0.63511412006857815</c:v>
                </c:pt>
                <c:pt idx="423">
                  <c:v>-0.640269094979804</c:v>
                </c:pt>
                <c:pt idx="424">
                  <c:v>-0.64542413367837925</c:v>
                </c:pt>
                <c:pt idx="425">
                  <c:v>-0.65057923616344071</c:v>
                </c:pt>
                <c:pt idx="426">
                  <c:v>-0.6557344024341254</c:v>
                </c:pt>
                <c:pt idx="427">
                  <c:v>-0.66088963248957011</c:v>
                </c:pt>
                <c:pt idx="428">
                  <c:v>-0.66604492632891177</c:v>
                </c:pt>
                <c:pt idx="429">
                  <c:v>-0.67120028395128717</c:v>
                </c:pt>
                <c:pt idx="430">
                  <c:v>-0.67635570535583334</c:v>
                </c:pt>
                <c:pt idx="431">
                  <c:v>-0.68151119054168707</c:v>
                </c:pt>
                <c:pt idx="432">
                  <c:v>-0.68666673950798529</c:v>
                </c:pt>
                <c:pt idx="433">
                  <c:v>-0.69182235225386479</c:v>
                </c:pt>
                <c:pt idx="434">
                  <c:v>-0.6969780287784626</c:v>
                </c:pt>
                <c:pt idx="435">
                  <c:v>-0.70213376908091552</c:v>
                </c:pt>
                <c:pt idx="436">
                  <c:v>-0.70728957316036034</c:v>
                </c:pt>
                <c:pt idx="437">
                  <c:v>-0.7124454410159341</c:v>
                </c:pt>
                <c:pt idx="438">
                  <c:v>-0.71760137264677359</c:v>
                </c:pt>
                <c:pt idx="439">
                  <c:v>-0.72275736805201574</c:v>
                </c:pt>
                <c:pt idx="440">
                  <c:v>-0.72791342723079744</c:v>
                </c:pt>
                <c:pt idx="441">
                  <c:v>-0.7330695501822555</c:v>
                </c:pt>
                <c:pt idx="442">
                  <c:v>-0.73822573690552684</c:v>
                </c:pt>
                <c:pt idx="443">
                  <c:v>-0.74338198739974837</c:v>
                </c:pt>
                <c:pt idx="444">
                  <c:v>-0.74853830166405688</c:v>
                </c:pt>
                <c:pt idx="445">
                  <c:v>-0.75369467969758941</c:v>
                </c:pt>
                <c:pt idx="446">
                  <c:v>-0.75885112149948275</c:v>
                </c:pt>
                <c:pt idx="447">
                  <c:v>-0.76400762706887371</c:v>
                </c:pt>
                <c:pt idx="448">
                  <c:v>-0.7691641964048993</c:v>
                </c:pt>
                <c:pt idx="449">
                  <c:v>-0.77432082950669634</c:v>
                </c:pt>
                <c:pt idx="450">
                  <c:v>-0.77947752637340173</c:v>
                </c:pt>
                <c:pt idx="451">
                  <c:v>-0.78463428700415228</c:v>
                </c:pt>
                <c:pt idx="452">
                  <c:v>-0.78979111139808489</c:v>
                </c:pt>
                <c:pt idx="453">
                  <c:v>-0.79494799955433648</c:v>
                </c:pt>
                <c:pt idx="454">
                  <c:v>-0.80010495147204397</c:v>
                </c:pt>
                <c:pt idx="455">
                  <c:v>-0.80526196715034415</c:v>
                </c:pt>
                <c:pt idx="456">
                  <c:v>-0.81041904658837394</c:v>
                </c:pt>
                <c:pt idx="457">
                  <c:v>-0.81557618978527024</c:v>
                </c:pt>
                <c:pt idx="458">
                  <c:v>-0.82073339674016998</c:v>
                </c:pt>
                <c:pt idx="459">
                  <c:v>-0.82589066745220996</c:v>
                </c:pt>
                <c:pt idx="460">
                  <c:v>-0.83104800192052708</c:v>
                </c:pt>
                <c:pt idx="461">
                  <c:v>-0.83620540014425815</c:v>
                </c:pt>
                <c:pt idx="462">
                  <c:v>-0.84136286212254008</c:v>
                </c:pt>
                <c:pt idx="463">
                  <c:v>-0.84652038785450978</c:v>
                </c:pt>
                <c:pt idx="464">
                  <c:v>-0.85167797733930417</c:v>
                </c:pt>
                <c:pt idx="465">
                  <c:v>-0.85683563057606005</c:v>
                </c:pt>
                <c:pt idx="466">
                  <c:v>-0.86199334756391444</c:v>
                </c:pt>
                <c:pt idx="467">
                  <c:v>-0.86715112830200403</c:v>
                </c:pt>
                <c:pt idx="468">
                  <c:v>-0.87230897278946584</c:v>
                </c:pt>
                <c:pt idx="469">
                  <c:v>-0.87746688102543668</c:v>
                </c:pt>
                <c:pt idx="470">
                  <c:v>-0.88262485300905347</c:v>
                </c:pt>
                <c:pt idx="471">
                  <c:v>-0.88778288873945299</c:v>
                </c:pt>
                <c:pt idx="472">
                  <c:v>-0.89294098821577217</c:v>
                </c:pt>
                <c:pt idx="473">
                  <c:v>-0.89809915143714791</c:v>
                </c:pt>
                <c:pt idx="474">
                  <c:v>-0.90325737840271714</c:v>
                </c:pt>
                <c:pt idx="475">
                  <c:v>-0.90841566911161664</c:v>
                </c:pt>
                <c:pt idx="476">
                  <c:v>-0.91357402356298334</c:v>
                </c:pt>
                <c:pt idx="477">
                  <c:v>-0.91873244175595414</c:v>
                </c:pt>
                <c:pt idx="478">
                  <c:v>-0.92389092368966586</c:v>
                </c:pt>
                <c:pt idx="479">
                  <c:v>-0.92904946936325539</c:v>
                </c:pt>
                <c:pt idx="480">
                  <c:v>-0.93420807877585965</c:v>
                </c:pt>
                <c:pt idx="481">
                  <c:v>-0.93936675192661545</c:v>
                </c:pt>
                <c:pt idx="482">
                  <c:v>-0.94452548881465981</c:v>
                </c:pt>
                <c:pt idx="483">
                  <c:v>-0.94968428943912941</c:v>
                </c:pt>
                <c:pt idx="484">
                  <c:v>-0.95484315379916129</c:v>
                </c:pt>
                <c:pt idx="485">
                  <c:v>-0.96000208189389225</c:v>
                </c:pt>
                <c:pt idx="486">
                  <c:v>-0.96516107372245918</c:v>
                </c:pt>
                <c:pt idx="487">
                  <c:v>-0.97032012928399891</c:v>
                </c:pt>
                <c:pt idx="488">
                  <c:v>-0.97547924857764834</c:v>
                </c:pt>
                <c:pt idx="489">
                  <c:v>-0.98063843160254438</c:v>
                </c:pt>
                <c:pt idx="490">
                  <c:v>-0.98579767835782395</c:v>
                </c:pt>
                <c:pt idx="491">
                  <c:v>-0.99095698884262384</c:v>
                </c:pt>
                <c:pt idx="492">
                  <c:v>-0.99611636305608098</c:v>
                </c:pt>
                <c:pt idx="493">
                  <c:v>-1.0012758009973322</c:v>
                </c:pt>
                <c:pt idx="494">
                  <c:v>-1.0064353026655144</c:v>
                </c:pt>
                <c:pt idx="495">
                  <c:v>-1.0115948680597644</c:v>
                </c:pt>
                <c:pt idx="496">
                  <c:v>-1.0167544971792191</c:v>
                </c:pt>
                <c:pt idx="497">
                  <c:v>-1.0219141900230155</c:v>
                </c:pt>
                <c:pt idx="498">
                  <c:v>-1.0270739465902905</c:v>
                </c:pt>
                <c:pt idx="499">
                  <c:v>-1.0322337668801806</c:v>
                </c:pt>
                <c:pt idx="500">
                  <c:v>-1.0373936508918231</c:v>
                </c:pt>
                <c:pt idx="501">
                  <c:v>-1.0425535986243546</c:v>
                </c:pt>
                <c:pt idx="502">
                  <c:v>-1.0477136100769122</c:v>
                </c:pt>
                <c:pt idx="503">
                  <c:v>-1.0528736852486327</c:v>
                </c:pt>
                <c:pt idx="504">
                  <c:v>-1.0580338241386529</c:v>
                </c:pt>
                <c:pt idx="505">
                  <c:v>-1.0631940267461097</c:v>
                </c:pt>
                <c:pt idx="506">
                  <c:v>-1.06835429307014</c:v>
                </c:pt>
                <c:pt idx="507">
                  <c:v>-1.0735146231098807</c:v>
                </c:pt>
                <c:pt idx="508">
                  <c:v>-1.0786750168644685</c:v>
                </c:pt>
                <c:pt idx="509">
                  <c:v>-1.0838354743330405</c:v>
                </c:pt>
                <c:pt idx="510">
                  <c:v>-1.0889959955147335</c:v>
                </c:pt>
                <c:pt idx="511">
                  <c:v>-1.0941565804086844</c:v>
                </c:pt>
                <c:pt idx="512">
                  <c:v>-1.0993172290140298</c:v>
                </c:pt>
                <c:pt idx="513">
                  <c:v>-1.1044779413299071</c:v>
                </c:pt>
                <c:pt idx="514">
                  <c:v>-1.1096387173554527</c:v>
                </c:pt>
                <c:pt idx="515">
                  <c:v>-1.1147995570898037</c:v>
                </c:pt>
                <c:pt idx="516">
                  <c:v>-1.119960460532097</c:v>
                </c:pt>
                <c:pt idx="517">
                  <c:v>-1.1251214276814694</c:v>
                </c:pt>
                <c:pt idx="518">
                  <c:v>-1.1302824585370577</c:v>
                </c:pt>
                <c:pt idx="519">
                  <c:v>-1.1354435530979987</c:v>
                </c:pt>
                <c:pt idx="520">
                  <c:v>-1.1406047113634297</c:v>
                </c:pt>
                <c:pt idx="521">
                  <c:v>-1.1457659333324872</c:v>
                </c:pt>
                <c:pt idx="522">
                  <c:v>-1.1509272190043083</c:v>
                </c:pt>
                <c:pt idx="523">
                  <c:v>-1.1560885683780295</c:v>
                </c:pt>
                <c:pt idx="524">
                  <c:v>-1.1612499814527881</c:v>
                </c:pt>
                <c:pt idx="525">
                  <c:v>-1.1664114582277207</c:v>
                </c:pt>
                <c:pt idx="526">
                  <c:v>-1.1715729987019643</c:v>
                </c:pt>
                <c:pt idx="527">
                  <c:v>-1.1767346028746557</c:v>
                </c:pt>
                <c:pt idx="528">
                  <c:v>-1.1818962707449319</c:v>
                </c:pt>
                <c:pt idx="529">
                  <c:v>-1.1870580023119297</c:v>
                </c:pt>
                <c:pt idx="530">
                  <c:v>-1.1922197975747859</c:v>
                </c:pt>
                <c:pt idx="531">
                  <c:v>-1.1973816565326374</c:v>
                </c:pt>
                <c:pt idx="532">
                  <c:v>-1.2025435791846211</c:v>
                </c:pt>
                <c:pt idx="533">
                  <c:v>-1.2077055655298738</c:v>
                </c:pt>
                <c:pt idx="534">
                  <c:v>-1.2128676155675326</c:v>
                </c:pt>
                <c:pt idx="535">
                  <c:v>-1.2180297292967344</c:v>
                </c:pt>
                <c:pt idx="536">
                  <c:v>-1.2231919067166157</c:v>
                </c:pt>
                <c:pt idx="537">
                  <c:v>-1.2283541478263136</c:v>
                </c:pt>
                <c:pt idx="538">
                  <c:v>-1.2335164526249649</c:v>
                </c:pt>
                <c:pt idx="539">
                  <c:v>-1.2386788211117066</c:v>
                </c:pt>
                <c:pt idx="540">
                  <c:v>-1.2438412532856755</c:v>
                </c:pt>
                <c:pt idx="541">
                  <c:v>-1.2490037491460084</c:v>
                </c:pt>
                <c:pt idx="542">
                  <c:v>-1.2541663086918422</c:v>
                </c:pt>
                <c:pt idx="543">
                  <c:v>-1.259328931922314</c:v>
                </c:pt>
                <c:pt idx="544">
                  <c:v>-1.2644916188365602</c:v>
                </c:pt>
                <c:pt idx="545">
                  <c:v>-1.2696543694337181</c:v>
                </c:pt>
                <c:pt idx="546">
                  <c:v>-1.2748171837129245</c:v>
                </c:pt>
                <c:pt idx="547">
                  <c:v>-1.2799800616733161</c:v>
                </c:pt>
                <c:pt idx="548">
                  <c:v>-1.2851430033140299</c:v>
                </c:pt>
                <c:pt idx="549">
                  <c:v>-1.2903060086342026</c:v>
                </c:pt>
                <c:pt idx="550">
                  <c:v>-1.2954690776329714</c:v>
                </c:pt>
                <c:pt idx="551">
                  <c:v>-1.300632210309473</c:v>
                </c:pt>
                <c:pt idx="552">
                  <c:v>-1.3057954066628441</c:v>
                </c:pt>
                <c:pt idx="553">
                  <c:v>-1.3109586666922217</c:v>
                </c:pt>
                <c:pt idx="554">
                  <c:v>-1.3161219903967429</c:v>
                </c:pt>
                <c:pt idx="555">
                  <c:v>-1.3212853777755442</c:v>
                </c:pt>
                <c:pt idx="556">
                  <c:v>-1.3264488288277627</c:v>
                </c:pt>
                <c:pt idx="557">
                  <c:v>-1.3316123435525353</c:v>
                </c:pt>
                <c:pt idx="558">
                  <c:v>-1.3367759219489987</c:v>
                </c:pt>
                <c:pt idx="559">
                  <c:v>-1.3419395640162899</c:v>
                </c:pt>
                <c:pt idx="560">
                  <c:v>-1.3471032697535457</c:v>
                </c:pt>
                <c:pt idx="561">
                  <c:v>-1.352267039159903</c:v>
                </c:pt>
                <c:pt idx="562">
                  <c:v>-1.3574308722344988</c:v>
                </c:pt>
                <c:pt idx="563">
                  <c:v>-1.3625947689764697</c:v>
                </c:pt>
                <c:pt idx="564">
                  <c:v>-1.3677587293849527</c:v>
                </c:pt>
                <c:pt idx="565">
                  <c:v>-1.3729227534590847</c:v>
                </c:pt>
                <c:pt idx="566">
                  <c:v>-1.3780868411980025</c:v>
                </c:pt>
                <c:pt idx="567">
                  <c:v>-1.3832509926008432</c:v>
                </c:pt>
                <c:pt idx="568">
                  <c:v>-1.3884152076667433</c:v>
                </c:pt>
                <c:pt idx="569">
                  <c:v>-1.3935794863948399</c:v>
                </c:pt>
                <c:pt idx="570">
                  <c:v>-1.3987438287842697</c:v>
                </c:pt>
                <c:pt idx="571">
                  <c:v>-1.4039082348341698</c:v>
                </c:pt>
                <c:pt idx="572">
                  <c:v>-1.4090727045436771</c:v>
                </c:pt>
                <c:pt idx="573">
                  <c:v>-1.4142372379119283</c:v>
                </c:pt>
                <c:pt idx="574">
                  <c:v>-1.4194018349380604</c:v>
                </c:pt>
                <c:pt idx="575">
                  <c:v>-1.4245664956212101</c:v>
                </c:pt>
                <c:pt idx="576">
                  <c:v>-1.4297312199605143</c:v>
                </c:pt>
                <c:pt idx="577">
                  <c:v>-1.4348960079551101</c:v>
                </c:pt>
                <c:pt idx="578">
                  <c:v>-1.440060859604134</c:v>
                </c:pt>
                <c:pt idx="579">
                  <c:v>-1.4452257749067232</c:v>
                </c:pt>
                <c:pt idx="580">
                  <c:v>-1.4503907538620144</c:v>
                </c:pt>
                <c:pt idx="581">
                  <c:v>-1.4555557964691446</c:v>
                </c:pt>
                <c:pt idx="582">
                  <c:v>-1.4607209027272503</c:v>
                </c:pt>
                <c:pt idx="583">
                  <c:v>-1.4658860726354688</c:v>
                </c:pt>
                <c:pt idx="584">
                  <c:v>-1.4710513061929367</c:v>
                </c:pt>
                <c:pt idx="585">
                  <c:v>-1.4762166033987911</c:v>
                </c:pt>
                <c:pt idx="586">
                  <c:v>-1.4813819642521688</c:v>
                </c:pt>
                <c:pt idx="587">
                  <c:v>-1.4865473887522065</c:v>
                </c:pt>
                <c:pt idx="588">
                  <c:v>-1.4917128768980412</c:v>
                </c:pt>
                <c:pt idx="589">
                  <c:v>-1.4968784286888099</c:v>
                </c:pt>
                <c:pt idx="590">
                  <c:v>-1.5020440441236493</c:v>
                </c:pt>
                <c:pt idx="591">
                  <c:v>-1.5072097232016963</c:v>
                </c:pt>
                <c:pt idx="592">
                  <c:v>-1.5123754659220878</c:v>
                </c:pt>
                <c:pt idx="593">
                  <c:v>-1.5175412722839605</c:v>
                </c:pt>
                <c:pt idx="594">
                  <c:v>-1.5227071422864515</c:v>
                </c:pt>
                <c:pt idx="595">
                  <c:v>-1.5278730759286976</c:v>
                </c:pt>
                <c:pt idx="596">
                  <c:v>-1.5330390732098356</c:v>
                </c:pt>
                <c:pt idx="597">
                  <c:v>-1.5382051341290024</c:v>
                </c:pt>
                <c:pt idx="598">
                  <c:v>-1.543371258685335</c:v>
                </c:pt>
                <c:pt idx="599">
                  <c:v>-1.54853744687797</c:v>
                </c:pt>
                <c:pt idx="600">
                  <c:v>-1.5537036987060444</c:v>
                </c:pt>
                <c:pt idx="601">
                  <c:v>-1.5588700141686951</c:v>
                </c:pt>
                <c:pt idx="602">
                  <c:v>-1.5640363932650589</c:v>
                </c:pt>
                <c:pt idx="603">
                  <c:v>-1.5692028359942729</c:v>
                </c:pt>
                <c:pt idx="604">
                  <c:v>-1.5743693423554737</c:v>
                </c:pt>
                <c:pt idx="605">
                  <c:v>-1.5795359123477983</c:v>
                </c:pt>
                <c:pt idx="606">
                  <c:v>-1.5847025459703836</c:v>
                </c:pt>
                <c:pt idx="607">
                  <c:v>-1.5898692432223664</c:v>
                </c:pt>
                <c:pt idx="608">
                  <c:v>-1.5950360041028835</c:v>
                </c:pt>
                <c:pt idx="609">
                  <c:v>-1.6002028286110719</c:v>
                </c:pt>
                <c:pt idx="610">
                  <c:v>-1.6053697167460683</c:v>
                </c:pt>
                <c:pt idx="611">
                  <c:v>-1.6105366685070097</c:v>
                </c:pt>
                <c:pt idx="612">
                  <c:v>-1.615703683893033</c:v>
                </c:pt>
                <c:pt idx="613">
                  <c:v>-1.620870762903275</c:v>
                </c:pt>
                <c:pt idx="614">
                  <c:v>-1.6260379055368726</c:v>
                </c:pt>
                <c:pt idx="615">
                  <c:v>-1.6312051117929625</c:v>
                </c:pt>
                <c:pt idx="616">
                  <c:v>-1.6363723816706819</c:v>
                </c:pt>
                <c:pt idx="617">
                  <c:v>-1.6415397151691673</c:v>
                </c:pt>
                <c:pt idx="618">
                  <c:v>-1.6467071122875558</c:v>
                </c:pt>
                <c:pt idx="619">
                  <c:v>-1.6518745730249844</c:v>
                </c:pt>
                <c:pt idx="620">
                  <c:v>-1.6570420973805897</c:v>
                </c:pt>
                <c:pt idx="621">
                  <c:v>-1.6622096853535087</c:v>
                </c:pt>
                <c:pt idx="622">
                  <c:v>-1.6673773369428782</c:v>
                </c:pt>
                <c:pt idx="623">
                  <c:v>-1.6725450521478349</c:v>
                </c:pt>
                <c:pt idx="624">
                  <c:v>-1.677712830967516</c:v>
                </c:pt>
                <c:pt idx="625">
                  <c:v>-1.6828806734010582</c:v>
                </c:pt>
                <c:pt idx="626">
                  <c:v>-1.6880485794475983</c:v>
                </c:pt>
                <c:pt idx="627">
                  <c:v>-1.6932165491062734</c:v>
                </c:pt>
                <c:pt idx="628">
                  <c:v>-1.6983845823762203</c:v>
                </c:pt>
                <c:pt idx="629">
                  <c:v>-1.7035526792565756</c:v>
                </c:pt>
                <c:pt idx="630">
                  <c:v>-1.7087208397464766</c:v>
                </c:pt>
                <c:pt idx="631">
                  <c:v>-1.7138890638450599</c:v>
                </c:pt>
                <c:pt idx="632">
                  <c:v>-1.7190573515514622</c:v>
                </c:pt>
                <c:pt idx="633">
                  <c:v>-1.7242257028648207</c:v>
                </c:pt>
                <c:pt idx="634">
                  <c:v>-1.7293941177842722</c:v>
                </c:pt>
                <c:pt idx="635">
                  <c:v>-1.7345625963089535</c:v>
                </c:pt>
                <c:pt idx="636">
                  <c:v>-1.7397311384380014</c:v>
                </c:pt>
                <c:pt idx="637">
                  <c:v>-1.7448997441705529</c:v>
                </c:pt>
                <c:pt idx="638">
                  <c:v>-1.7500684135057447</c:v>
                </c:pt>
                <c:pt idx="639">
                  <c:v>-1.7552371464427139</c:v>
                </c:pt>
                <c:pt idx="640">
                  <c:v>-1.7604059429805972</c:v>
                </c:pt>
                <c:pt idx="641">
                  <c:v>-1.7655748031185314</c:v>
                </c:pt>
                <c:pt idx="642">
                  <c:v>-1.7707437268556536</c:v>
                </c:pt>
                <c:pt idx="643">
                  <c:v>-1.7759127141911004</c:v>
                </c:pt>
                <c:pt idx="644">
                  <c:v>-1.781081765124009</c:v>
                </c:pt>
                <c:pt idx="645">
                  <c:v>-1.7862508796535159</c:v>
                </c:pt>
                <c:pt idx="646">
                  <c:v>-1.7914200577787582</c:v>
                </c:pt>
                <c:pt idx="647">
                  <c:v>-1.7965892994988728</c:v>
                </c:pt>
                <c:pt idx="648">
                  <c:v>-1.8017586048129963</c:v>
                </c:pt>
                <c:pt idx="649">
                  <c:v>-1.8069279737202659</c:v>
                </c:pt>
                <c:pt idx="650">
                  <c:v>-1.8120974062198183</c:v>
                </c:pt>
                <c:pt idx="651">
                  <c:v>-1.8172669023107904</c:v>
                </c:pt>
                <c:pt idx="652">
                  <c:v>-1.822436461992319</c:v>
                </c:pt>
                <c:pt idx="653">
                  <c:v>-1.827606085263541</c:v>
                </c:pt>
                <c:pt idx="654">
                  <c:v>-1.8327757721235931</c:v>
                </c:pt>
                <c:pt idx="655">
                  <c:v>-1.8379455225716126</c:v>
                </c:pt>
                <c:pt idx="656">
                  <c:v>-1.8431153366067361</c:v>
                </c:pt>
                <c:pt idx="657">
                  <c:v>-1.8482852142281003</c:v>
                </c:pt>
                <c:pt idx="658">
                  <c:v>-1.8534551554348424</c:v>
                </c:pt>
                <c:pt idx="659">
                  <c:v>-1.858625160226099</c:v>
                </c:pt>
                <c:pt idx="660">
                  <c:v>-1.8637952286010071</c:v>
                </c:pt>
                <c:pt idx="661">
                  <c:v>-1.8689653605587035</c:v>
                </c:pt>
                <c:pt idx="662">
                  <c:v>-1.8741355560983253</c:v>
                </c:pt>
                <c:pt idx="663">
                  <c:v>-1.879305815219009</c:v>
                </c:pt>
                <c:pt idx="664">
                  <c:v>-1.8844761379198918</c:v>
                </c:pt>
                <c:pt idx="665">
                  <c:v>-1.8896465242001104</c:v>
                </c:pt>
                <c:pt idx="666">
                  <c:v>-1.8948169740588017</c:v>
                </c:pt>
                <c:pt idx="667">
                  <c:v>-1.8999874874951024</c:v>
                </c:pt>
                <c:pt idx="668">
                  <c:v>-1.9051580645081496</c:v>
                </c:pt>
                <c:pt idx="669">
                  <c:v>-1.9103287050970801</c:v>
                </c:pt>
                <c:pt idx="670">
                  <c:v>-1.9154994092610307</c:v>
                </c:pt>
                <c:pt idx="671">
                  <c:v>-1.9206701769991383</c:v>
                </c:pt>
                <c:pt idx="672">
                  <c:v>-1.9258410083105397</c:v>
                </c:pt>
                <c:pt idx="673">
                  <c:v>-1.931011903194372</c:v>
                </c:pt>
                <c:pt idx="674">
                  <c:v>-1.9361828616497718</c:v>
                </c:pt>
                <c:pt idx="675">
                  <c:v>-1.9413538836758761</c:v>
                </c:pt>
                <c:pt idx="676">
                  <c:v>-1.9465249692718218</c:v>
                </c:pt>
                <c:pt idx="677">
                  <c:v>-1.9516961184367456</c:v>
                </c:pt>
                <c:pt idx="678">
                  <c:v>-1.9568673311697846</c:v>
                </c:pt>
                <c:pt idx="679">
                  <c:v>-1.9620386074700755</c:v>
                </c:pt>
                <c:pt idx="680">
                  <c:v>-1.9672099473367552</c:v>
                </c:pt>
                <c:pt idx="681">
                  <c:v>-1.9723813507689607</c:v>
                </c:pt>
                <c:pt idx="682">
                  <c:v>-1.9775528177658286</c:v>
                </c:pt>
                <c:pt idx="683">
                  <c:v>-1.9827243483264958</c:v>
                </c:pt>
                <c:pt idx="684">
                  <c:v>-1.9878959424500995</c:v>
                </c:pt>
                <c:pt idx="685">
                  <c:v>-1.9930676001357761</c:v>
                </c:pt>
                <c:pt idx="686">
                  <c:v>-1.9982393213826628</c:v>
                </c:pt>
                <c:pt idx="687">
                  <c:v>-2.0034111061898963</c:v>
                </c:pt>
                <c:pt idx="688">
                  <c:v>-2.0085829545566134</c:v>
                </c:pt>
                <c:pt idx="689">
                  <c:v>-2.0137548664819516</c:v>
                </c:pt>
                <c:pt idx="690">
                  <c:v>-2.018926841965047</c:v>
                </c:pt>
                <c:pt idx="691">
                  <c:v>-2.0240988810050369</c:v>
                </c:pt>
                <c:pt idx="692">
                  <c:v>-2.0292709836010578</c:v>
                </c:pt>
                <c:pt idx="693">
                  <c:v>-2.034443149752247</c:v>
                </c:pt>
                <c:pt idx="694">
                  <c:v>-2.0396153794577412</c:v>
                </c:pt>
                <c:pt idx="695">
                  <c:v>-2.0447876727166769</c:v>
                </c:pt>
                <c:pt idx="696">
                  <c:v>-2.0499600295281915</c:v>
                </c:pt>
                <c:pt idx="697">
                  <c:v>-2.0551324498914214</c:v>
                </c:pt>
                <c:pt idx="698">
                  <c:v>-2.0603049338055039</c:v>
                </c:pt>
                <c:pt idx="699">
                  <c:v>-2.0654774812695758</c:v>
                </c:pt>
                <c:pt idx="700">
                  <c:v>-2.0706500922827735</c:v>
                </c:pt>
                <c:pt idx="701">
                  <c:v>-2.0758227668442344</c:v>
                </c:pt>
                <c:pt idx="702">
                  <c:v>-2.080995504953095</c:v>
                </c:pt>
                <c:pt idx="703">
                  <c:v>-2.0861683066084926</c:v>
                </c:pt>
                <c:pt idx="704">
                  <c:v>-2.0913411718095638</c:v>
                </c:pt>
                <c:pt idx="705">
                  <c:v>-2.0965141005554453</c:v>
                </c:pt>
                <c:pt idx="706">
                  <c:v>-2.1016870928452742</c:v>
                </c:pt>
                <c:pt idx="707">
                  <c:v>-2.1068601486781873</c:v>
                </c:pt>
                <c:pt idx="708">
                  <c:v>-2.1120332680533211</c:v>
                </c:pt>
                <c:pt idx="709">
                  <c:v>-2.117206450969813</c:v>
                </c:pt>
                <c:pt idx="710">
                  <c:v>-2.1223796974267999</c:v>
                </c:pt>
                <c:pt idx="711">
                  <c:v>-2.1275530074234181</c:v>
                </c:pt>
                <c:pt idx="712">
                  <c:v>-2.1327263809588048</c:v>
                </c:pt>
                <c:pt idx="713">
                  <c:v>-2.1378998180320972</c:v>
                </c:pt>
                <c:pt idx="714">
                  <c:v>-2.1430733186424318</c:v>
                </c:pt>
                <c:pt idx="715">
                  <c:v>-2.1482468827889454</c:v>
                </c:pt>
                <c:pt idx="716">
                  <c:v>-2.1534205104707751</c:v>
                </c:pt>
                <c:pt idx="717">
                  <c:v>-2.1585942016870576</c:v>
                </c:pt>
                <c:pt idx="718">
                  <c:v>-2.1637679564369301</c:v>
                </c:pt>
                <c:pt idx="719">
                  <c:v>-2.1689417747195288</c:v>
                </c:pt>
                <c:pt idx="720">
                  <c:v>-2.1741156565339912</c:v>
                </c:pt>
                <c:pt idx="721">
                  <c:v>-2.1792896018794536</c:v>
                </c:pt>
                <c:pt idx="722">
                  <c:v>-2.1844636107550537</c:v>
                </c:pt>
                <c:pt idx="723">
                  <c:v>-2.1896376831599276</c:v>
                </c:pt>
                <c:pt idx="724">
                  <c:v>-2.1948118190932124</c:v>
                </c:pt>
                <c:pt idx="725">
                  <c:v>-2.199986018554045</c:v>
                </c:pt>
                <c:pt idx="726">
                  <c:v>-2.2051602815415623</c:v>
                </c:pt>
                <c:pt idx="727">
                  <c:v>-2.2103346080549011</c:v>
                </c:pt>
                <c:pt idx="728">
                  <c:v>-2.2155089980931981</c:v>
                </c:pt>
                <c:pt idx="729">
                  <c:v>-2.2206834516555904</c:v>
                </c:pt>
                <c:pt idx="730">
                  <c:v>-2.2258579687412148</c:v>
                </c:pt>
                <c:pt idx="731">
                  <c:v>-2.2310325493492082</c:v>
                </c:pt>
                <c:pt idx="732">
                  <c:v>-2.2362071934787076</c:v>
                </c:pt>
                <c:pt idx="733">
                  <c:v>-2.2413819011288494</c:v>
                </c:pt>
                <c:pt idx="734">
                  <c:v>-2.2465566722987709</c:v>
                </c:pt>
                <c:pt idx="735">
                  <c:v>-2.2517315069876092</c:v>
                </c:pt>
                <c:pt idx="736">
                  <c:v>-2.2569064051945005</c:v>
                </c:pt>
                <c:pt idx="737">
                  <c:v>-2.262081366918582</c:v>
                </c:pt>
                <c:pt idx="738">
                  <c:v>-2.2672563921589908</c:v>
                </c:pt>
                <c:pt idx="739">
                  <c:v>-2.2724314809148631</c:v>
                </c:pt>
                <c:pt idx="740">
                  <c:v>-2.2776066331853366</c:v>
                </c:pt>
                <c:pt idx="741">
                  <c:v>-2.2827818489695475</c:v>
                </c:pt>
                <c:pt idx="742">
                  <c:v>-2.2879571282666329</c:v>
                </c:pt>
                <c:pt idx="743">
                  <c:v>-2.2931324710757299</c:v>
                </c:pt>
                <c:pt idx="744">
                  <c:v>-2.2983078773959749</c:v>
                </c:pt>
                <c:pt idx="745">
                  <c:v>-2.3034833472265048</c:v>
                </c:pt>
                <c:pt idx="746">
                  <c:v>-2.308658880566457</c:v>
                </c:pt>
                <c:pt idx="747">
                  <c:v>-2.3138344774149679</c:v>
                </c:pt>
                <c:pt idx="748">
                  <c:v>-2.3190101377711745</c:v>
                </c:pt>
                <c:pt idx="749">
                  <c:v>-2.3241858616342137</c:v>
                </c:pt>
                <c:pt idx="750">
                  <c:v>-2.3293616490032223</c:v>
                </c:pt>
                <c:pt idx="751">
                  <c:v>-2.3345374998773374</c:v>
                </c:pt>
                <c:pt idx="752">
                  <c:v>-2.3397134142556957</c:v>
                </c:pt>
                <c:pt idx="753">
                  <c:v>-2.3448893921374339</c:v>
                </c:pt>
                <c:pt idx="754">
                  <c:v>-2.3500654335216891</c:v>
                </c:pt>
                <c:pt idx="755">
                  <c:v>-2.355241538407598</c:v>
                </c:pt>
                <c:pt idx="756">
                  <c:v>-2.3604177067942973</c:v>
                </c:pt>
                <c:pt idx="757">
                  <c:v>-2.3655939386809242</c:v>
                </c:pt>
                <c:pt idx="758">
                  <c:v>-2.3707702340666157</c:v>
                </c:pt>
                <c:pt idx="759">
                  <c:v>-2.3759465929505081</c:v>
                </c:pt>
                <c:pt idx="760">
                  <c:v>-2.3811230153317391</c:v>
                </c:pt>
                <c:pt idx="761">
                  <c:v>-2.3862995012094448</c:v>
                </c:pt>
                <c:pt idx="762">
                  <c:v>-2.3914760505827624</c:v>
                </c:pt>
                <c:pt idx="763">
                  <c:v>-2.3966526634508285</c:v>
                </c:pt>
                <c:pt idx="764">
                  <c:v>-2.4018293398127804</c:v>
                </c:pt>
                <c:pt idx="765">
                  <c:v>-2.4070060796677546</c:v>
                </c:pt>
                <c:pt idx="766">
                  <c:v>-2.4121828830148884</c:v>
                </c:pt>
                <c:pt idx="767">
                  <c:v>-2.4173597498533179</c:v>
                </c:pt>
                <c:pt idx="768">
                  <c:v>-2.4225366801821808</c:v>
                </c:pt>
                <c:pt idx="769">
                  <c:v>-2.4277136740006133</c:v>
                </c:pt>
                <c:pt idx="770">
                  <c:v>-2.4328907313077526</c:v>
                </c:pt>
                <c:pt idx="771">
                  <c:v>-2.4380678521027357</c:v>
                </c:pt>
                <c:pt idx="772">
                  <c:v>-2.4432450363846994</c:v>
                </c:pt>
                <c:pt idx="773">
                  <c:v>-2.4484222841527803</c:v>
                </c:pt>
                <c:pt idx="774">
                  <c:v>-2.4535995954061156</c:v>
                </c:pt>
                <c:pt idx="775">
                  <c:v>-2.458776970143842</c:v>
                </c:pt>
                <c:pt idx="776">
                  <c:v>-2.4639544083650962</c:v>
                </c:pt>
                <c:pt idx="777">
                  <c:v>-2.4691319100690152</c:v>
                </c:pt>
                <c:pt idx="778">
                  <c:v>-2.4743094752547359</c:v>
                </c:pt>
                <c:pt idx="779">
                  <c:v>-2.4794871039213953</c:v>
                </c:pt>
                <c:pt idx="780">
                  <c:v>-2.4846647960681301</c:v>
                </c:pt>
                <c:pt idx="781">
                  <c:v>-2.489842551694077</c:v>
                </c:pt>
                <c:pt idx="782">
                  <c:v>-2.4950203707983731</c:v>
                </c:pt>
                <c:pt idx="783">
                  <c:v>-2.5001982533801557</c:v>
                </c:pt>
                <c:pt idx="784">
                  <c:v>-2.5053761994385608</c:v>
                </c:pt>
                <c:pt idx="785">
                  <c:v>-2.5105542089727257</c:v>
                </c:pt>
                <c:pt idx="786">
                  <c:v>-2.5157322819817876</c:v>
                </c:pt>
                <c:pt idx="787">
                  <c:v>-2.5209104184648825</c:v>
                </c:pt>
                <c:pt idx="788">
                  <c:v>-2.5260886184211482</c:v>
                </c:pt>
                <c:pt idx="789">
                  <c:v>-2.5312668818497208</c:v>
                </c:pt>
                <c:pt idx="790">
                  <c:v>-2.5364452087497376</c:v>
                </c:pt>
                <c:pt idx="791">
                  <c:v>-2.5416235991203355</c:v>
                </c:pt>
                <c:pt idx="792">
                  <c:v>-2.546802052960651</c:v>
                </c:pt>
                <c:pt idx="793">
                  <c:v>-2.5519805702698215</c:v>
                </c:pt>
                <c:pt idx="794">
                  <c:v>-2.5571591510469833</c:v>
                </c:pt>
                <c:pt idx="795">
                  <c:v>-2.5623377952912736</c:v>
                </c:pt>
                <c:pt idx="796">
                  <c:v>-2.5675165030018294</c:v>
                </c:pt>
                <c:pt idx="797">
                  <c:v>-2.5726952741777875</c:v>
                </c:pt>
                <c:pt idx="798">
                  <c:v>-2.5778741088182846</c:v>
                </c:pt>
                <c:pt idx="799">
                  <c:v>-2.5830530069224573</c:v>
                </c:pt>
                <c:pt idx="800">
                  <c:v>-2.5882319684894428</c:v>
                </c:pt>
                <c:pt idx="801">
                  <c:v>-2.5934109935183782</c:v>
                </c:pt>
                <c:pt idx="802">
                  <c:v>-2.5985900820083998</c:v>
                </c:pt>
                <c:pt idx="803">
                  <c:v>-2.6037692339586451</c:v>
                </c:pt>
                <c:pt idx="804">
                  <c:v>-2.6089484493682504</c:v>
                </c:pt>
                <c:pt idx="805">
                  <c:v>-2.6141277282363529</c:v>
                </c:pt>
                <c:pt idx="806">
                  <c:v>-2.6193070705620896</c:v>
                </c:pt>
                <c:pt idx="807">
                  <c:v>-2.6244864763445968</c:v>
                </c:pt>
                <c:pt idx="808">
                  <c:v>-2.629665945583012</c:v>
                </c:pt>
                <c:pt idx="809">
                  <c:v>-2.6348454782764716</c:v>
                </c:pt>
                <c:pt idx="810">
                  <c:v>-2.6400250744241127</c:v>
                </c:pt>
                <c:pt idx="811">
                  <c:v>-2.6452047340250724</c:v>
                </c:pt>
                <c:pt idx="812">
                  <c:v>-2.6503844570784869</c:v>
                </c:pt>
                <c:pt idx="813">
                  <c:v>-2.6555642435834939</c:v>
                </c:pt>
                <c:pt idx="814">
                  <c:v>-2.6607440935392295</c:v>
                </c:pt>
                <c:pt idx="815">
                  <c:v>-2.6659240069448309</c:v>
                </c:pt>
                <c:pt idx="816">
                  <c:v>-2.6711039837994348</c:v>
                </c:pt>
                <c:pt idx="817">
                  <c:v>-2.6762840241021784</c:v>
                </c:pt>
                <c:pt idx="818">
                  <c:v>-2.6814641278521982</c:v>
                </c:pt>
                <c:pt idx="819">
                  <c:v>-2.6866442950486316</c:v>
                </c:pt>
                <c:pt idx="820">
                  <c:v>-2.691824525690615</c:v>
                </c:pt>
                <c:pt idx="821">
                  <c:v>-2.6970048197772853</c:v>
                </c:pt>
                <c:pt idx="822">
                  <c:v>-2.7021851773077796</c:v>
                </c:pt>
                <c:pt idx="823">
                  <c:v>-2.7073655982812346</c:v>
                </c:pt>
                <c:pt idx="824">
                  <c:v>-2.7125460826967873</c:v>
                </c:pt>
                <c:pt idx="825">
                  <c:v>-2.7177266305535746</c:v>
                </c:pt>
                <c:pt idx="826">
                  <c:v>-2.722907241850733</c:v>
                </c:pt>
                <c:pt idx="827">
                  <c:v>-2.7280879165873997</c:v>
                </c:pt>
                <c:pt idx="828">
                  <c:v>-2.7332686547627114</c:v>
                </c:pt>
                <c:pt idx="829">
                  <c:v>-2.7384494563758053</c:v>
                </c:pt>
                <c:pt idx="830">
                  <c:v>-2.743630321425818</c:v>
                </c:pt>
                <c:pt idx="831">
                  <c:v>-2.7488112499118862</c:v>
                </c:pt>
                <c:pt idx="832">
                  <c:v>-2.7539922418331471</c:v>
                </c:pt>
                <c:pt idx="833">
                  <c:v>-2.7591732971887373</c:v>
                </c:pt>
                <c:pt idx="834">
                  <c:v>-2.764354415977794</c:v>
                </c:pt>
                <c:pt idx="835">
                  <c:v>-2.7695355981994538</c:v>
                </c:pt>
                <c:pt idx="836">
                  <c:v>-2.7747168438528536</c:v>
                </c:pt>
                <c:pt idx="837">
                  <c:v>-2.7798981529371303</c:v>
                </c:pt>
                <c:pt idx="838">
                  <c:v>-2.7850795254514207</c:v>
                </c:pt>
                <c:pt idx="839">
                  <c:v>-2.7902609613948619</c:v>
                </c:pt>
                <c:pt idx="840">
                  <c:v>-2.7954424607665906</c:v>
                </c:pt>
                <c:pt idx="841">
                  <c:v>-2.8006240235657436</c:v>
                </c:pt>
                <c:pt idx="842">
                  <c:v>-2.8058056497914579</c:v>
                </c:pt>
                <c:pt idx="843">
                  <c:v>-2.8109873394428702</c:v>
                </c:pt>
                <c:pt idx="844">
                  <c:v>-2.8161690925191176</c:v>
                </c:pt>
                <c:pt idx="845">
                  <c:v>-2.8213509090193369</c:v>
                </c:pt>
                <c:pt idx="846">
                  <c:v>-2.8265327889426648</c:v>
                </c:pt>
                <c:pt idx="847">
                  <c:v>-2.8317147322882383</c:v>
                </c:pt>
                <c:pt idx="848">
                  <c:v>-2.8368967390551942</c:v>
                </c:pt>
                <c:pt idx="849">
                  <c:v>-2.8420788092426696</c:v>
                </c:pt>
                <c:pt idx="850">
                  <c:v>-2.8472609428498012</c:v>
                </c:pt>
                <c:pt idx="851">
                  <c:v>-2.8524431398757257</c:v>
                </c:pt>
                <c:pt idx="852">
                  <c:v>-2.8576254003195802</c:v>
                </c:pt>
                <c:pt idx="853">
                  <c:v>-2.8628077241805019</c:v>
                </c:pt>
                <c:pt idx="854">
                  <c:v>-2.8679901114576269</c:v>
                </c:pt>
                <c:pt idx="855">
                  <c:v>-2.8731725621500925</c:v>
                </c:pt>
                <c:pt idx="856">
                  <c:v>-2.8783550762570358</c:v>
                </c:pt>
                <c:pt idx="857">
                  <c:v>-2.8835376537775934</c:v>
                </c:pt>
                <c:pt idx="858">
                  <c:v>-2.8887202947109021</c:v>
                </c:pt>
                <c:pt idx="859">
                  <c:v>-2.8939029990560989</c:v>
                </c:pt>
                <c:pt idx="860">
                  <c:v>-2.8990857668123207</c:v>
                </c:pt>
                <c:pt idx="861">
                  <c:v>-2.904268597978704</c:v>
                </c:pt>
                <c:pt idx="862">
                  <c:v>-2.909451492554386</c:v>
                </c:pt>
                <c:pt idx="863">
                  <c:v>-2.9146344505385033</c:v>
                </c:pt>
                <c:pt idx="864">
                  <c:v>-2.9198174719301933</c:v>
                </c:pt>
                <c:pt idx="865">
                  <c:v>-2.9250005567285924</c:v>
                </c:pt>
                <c:pt idx="866">
                  <c:v>-2.9301837049328379</c:v>
                </c:pt>
                <c:pt idx="867">
                  <c:v>-2.9353669165420659</c:v>
                </c:pt>
                <c:pt idx="868">
                  <c:v>-2.9405501915554142</c:v>
                </c:pt>
                <c:pt idx="869">
                  <c:v>-2.9457335299720193</c:v>
                </c:pt>
                <c:pt idx="870">
                  <c:v>-2.950916931791018</c:v>
                </c:pt>
                <c:pt idx="871">
                  <c:v>-2.9561003970115469</c:v>
                </c:pt>
                <c:pt idx="872">
                  <c:v>-2.9612839256327432</c:v>
                </c:pt>
                <c:pt idx="873">
                  <c:v>-2.9664675176537436</c:v>
                </c:pt>
                <c:pt idx="874">
                  <c:v>-2.9716511730736852</c:v>
                </c:pt>
                <c:pt idx="875">
                  <c:v>-2.9768348918917047</c:v>
                </c:pt>
                <c:pt idx="876">
                  <c:v>-2.9820186741069392</c:v>
                </c:pt>
                <c:pt idx="877">
                  <c:v>-2.9872025197185255</c:v>
                </c:pt>
                <c:pt idx="878">
                  <c:v>-2.9923864287256001</c:v>
                </c:pt>
                <c:pt idx="879">
                  <c:v>-2.9975704011273003</c:v>
                </c:pt>
                <c:pt idx="880">
                  <c:v>-3.0027544369227628</c:v>
                </c:pt>
                <c:pt idx="881">
                  <c:v>-3.0079385361111246</c:v>
                </c:pt>
                <c:pt idx="882">
                  <c:v>-3.0131226986915225</c:v>
                </c:pt>
                <c:pt idx="883">
                  <c:v>-3.0183069246630931</c:v>
                </c:pt>
                <c:pt idx="884">
                  <c:v>-3.0234912140249737</c:v>
                </c:pt>
                <c:pt idx="885">
                  <c:v>-3.0286755667763008</c:v>
                </c:pt>
                <c:pt idx="886">
                  <c:v>-3.0338599829162116</c:v>
                </c:pt>
                <c:pt idx="887">
                  <c:v>-3.0390444624438429</c:v>
                </c:pt>
                <c:pt idx="888">
                  <c:v>-3.0442290053583316</c:v>
                </c:pt>
                <c:pt idx="889">
                  <c:v>-3.0494136116588142</c:v>
                </c:pt>
                <c:pt idx="890">
                  <c:v>-3.0545982813444281</c:v>
                </c:pt>
                <c:pt idx="891">
                  <c:v>-3.0597830144143097</c:v>
                </c:pt>
                <c:pt idx="892">
                  <c:v>-3.0649678108675964</c:v>
                </c:pt>
                <c:pt idx="893">
                  <c:v>-3.0701526707034246</c:v>
                </c:pt>
                <c:pt idx="894">
                  <c:v>-3.0753375939209313</c:v>
                </c:pt>
                <c:pt idx="895">
                  <c:v>-3.0805225805192533</c:v>
                </c:pt>
                <c:pt idx="896">
                  <c:v>-3.0857076304975277</c:v>
                </c:pt>
                <c:pt idx="897">
                  <c:v>-3.0908927438548912</c:v>
                </c:pt>
                <c:pt idx="898">
                  <c:v>-3.0960779205904809</c:v>
                </c:pt>
                <c:pt idx="899">
                  <c:v>-3.1012631607034336</c:v>
                </c:pt>
                <c:pt idx="900">
                  <c:v>-3.1064484641928858</c:v>
                </c:pt>
                <c:pt idx="901">
                  <c:v>-3.1116338310579748</c:v>
                </c:pt>
                <c:pt idx="902">
                  <c:v>-3.1168192612978372</c:v>
                </c:pt>
                <c:pt idx="903">
                  <c:v>-3.1220047549116101</c:v>
                </c:pt>
                <c:pt idx="904">
                  <c:v>-3.1271903118984303</c:v>
                </c:pt>
                <c:pt idx="905">
                  <c:v>-3.1323759322574345</c:v>
                </c:pt>
                <c:pt idx="906">
                  <c:v>-3.1375616159877597</c:v>
                </c:pt>
                <c:pt idx="907">
                  <c:v>-3.1427473630885427</c:v>
                </c:pt>
                <c:pt idx="908">
                  <c:v>-3.1479331735589207</c:v>
                </c:pt>
                <c:pt idx="909">
                  <c:v>-3.1531190473980302</c:v>
                </c:pt>
                <c:pt idx="910">
                  <c:v>-3.1583049846050084</c:v>
                </c:pt>
                <c:pt idx="911">
                  <c:v>-3.1634909851789916</c:v>
                </c:pt>
                <c:pt idx="912">
                  <c:v>-3.1686770491191174</c:v>
                </c:pt>
                <c:pt idx="913">
                  <c:v>-3.1738631764245224</c:v>
                </c:pt>
                <c:pt idx="914">
                  <c:v>-3.1790493670943434</c:v>
                </c:pt>
                <c:pt idx="915">
                  <c:v>-3.184235621127717</c:v>
                </c:pt>
                <c:pt idx="916">
                  <c:v>-3.1894219385237803</c:v>
                </c:pt>
                <c:pt idx="917">
                  <c:v>-3.1946083192816705</c:v>
                </c:pt>
                <c:pt idx="918">
                  <c:v>-3.1997947634005239</c:v>
                </c:pt>
                <c:pt idx="919">
                  <c:v>-3.204981270879478</c:v>
                </c:pt>
                <c:pt idx="920">
                  <c:v>-3.2101678417176691</c:v>
                </c:pt>
                <c:pt idx="921">
                  <c:v>-3.2153544759142343</c:v>
                </c:pt>
                <c:pt idx="922">
                  <c:v>-3.2205411734683107</c:v>
                </c:pt>
                <c:pt idx="923">
                  <c:v>-3.225727934379035</c:v>
                </c:pt>
                <c:pt idx="924">
                  <c:v>-3.230914758645544</c:v>
                </c:pt>
                <c:pt idx="925">
                  <c:v>-3.2361016462669747</c:v>
                </c:pt>
                <c:pt idx="926">
                  <c:v>-3.2412885972424639</c:v>
                </c:pt>
                <c:pt idx="927">
                  <c:v>-3.2464756115711482</c:v>
                </c:pt>
                <c:pt idx="928">
                  <c:v>-3.2516626892521647</c:v>
                </c:pt>
                <c:pt idx="929">
                  <c:v>-3.2568498302846507</c:v>
                </c:pt>
                <c:pt idx="930">
                  <c:v>-3.2620370346677423</c:v>
                </c:pt>
                <c:pt idx="931">
                  <c:v>-3.2672243024005772</c:v>
                </c:pt>
                <c:pt idx="932">
                  <c:v>-3.2724116334822915</c:v>
                </c:pt>
                <c:pt idx="933">
                  <c:v>-3.2775990279120224</c:v>
                </c:pt>
                <c:pt idx="934">
                  <c:v>-3.2827864856889071</c:v>
                </c:pt>
                <c:pt idx="935">
                  <c:v>-3.2879740068120822</c:v>
                </c:pt>
                <c:pt idx="936">
                  <c:v>-3.2931615912806844</c:v>
                </c:pt>
                <c:pt idx="937">
                  <c:v>-3.2983492390938509</c:v>
                </c:pt>
                <c:pt idx="938">
                  <c:v>-3.3035369502507184</c:v>
                </c:pt>
                <c:pt idx="939">
                  <c:v>-3.3087247247504235</c:v>
                </c:pt>
                <c:pt idx="940">
                  <c:v>-3.3139125625921033</c:v>
                </c:pt>
                <c:pt idx="941">
                  <c:v>-3.3191004637748951</c:v>
                </c:pt>
                <c:pt idx="942">
                  <c:v>-3.324288428297935</c:v>
                </c:pt>
                <c:pt idx="943">
                  <c:v>-3.3294764561603607</c:v>
                </c:pt>
                <c:pt idx="944">
                  <c:v>-3.3346645473613084</c:v>
                </c:pt>
                <c:pt idx="945">
                  <c:v>-3.3398527018999151</c:v>
                </c:pt>
                <c:pt idx="946">
                  <c:v>-3.3450409197753181</c:v>
                </c:pt>
                <c:pt idx="947">
                  <c:v>-3.3502292009866541</c:v>
                </c:pt>
                <c:pt idx="948">
                  <c:v>-3.3554175455330597</c:v>
                </c:pt>
                <c:pt idx="949">
                  <c:v>-3.3606059534136721</c:v>
                </c:pt>
                <c:pt idx="950">
                  <c:v>-3.3657944246276279</c:v>
                </c:pt>
                <c:pt idx="951">
                  <c:v>-3.3709829591740643</c:v>
                </c:pt>
                <c:pt idx="952">
                  <c:v>-3.376171557052118</c:v>
                </c:pt>
                <c:pt idx="953">
                  <c:v>-3.3813602182609257</c:v>
                </c:pt>
                <c:pt idx="954">
                  <c:v>-3.3865489427996245</c:v>
                </c:pt>
                <c:pt idx="955">
                  <c:v>-3.3917377306673511</c:v>
                </c:pt>
                <c:pt idx="956">
                  <c:v>-3.3969265818632426</c:v>
                </c:pt>
                <c:pt idx="957">
                  <c:v>-3.4021154963864357</c:v>
                </c:pt>
                <c:pt idx="958">
                  <c:v>-3.4073044742360672</c:v>
                </c:pt>
                <c:pt idx="959">
                  <c:v>-3.4124935154112741</c:v>
                </c:pt>
                <c:pt idx="960">
                  <c:v>-3.4176826199111936</c:v>
                </c:pt>
                <c:pt idx="961">
                  <c:v>-3.4228717877349624</c:v>
                </c:pt>
                <c:pt idx="962">
                  <c:v>-3.4280610188817171</c:v>
                </c:pt>
                <c:pt idx="963">
                  <c:v>-3.4332503133505945</c:v>
                </c:pt>
                <c:pt idx="964">
                  <c:v>-3.4384396711407317</c:v>
                </c:pt>
                <c:pt idx="965">
                  <c:v>-3.4436290922512658</c:v>
                </c:pt>
                <c:pt idx="966">
                  <c:v>-3.4488185766813335</c:v>
                </c:pt>
                <c:pt idx="967">
                  <c:v>-3.4540081244300715</c:v>
                </c:pt>
                <c:pt idx="968">
                  <c:v>-3.459197735496617</c:v>
                </c:pt>
                <c:pt idx="969">
                  <c:v>-3.4643874098801066</c:v>
                </c:pt>
                <c:pt idx="970">
                  <c:v>-3.4695771475796775</c:v>
                </c:pt>
                <c:pt idx="971">
                  <c:v>-3.4747669485944663</c:v>
                </c:pt>
                <c:pt idx="972">
                  <c:v>-3.4799568129236098</c:v>
                </c:pt>
                <c:pt idx="973">
                  <c:v>-3.4851467405662451</c:v>
                </c:pt>
                <c:pt idx="974">
                  <c:v>-3.4903367315215088</c:v>
                </c:pt>
                <c:pt idx="975">
                  <c:v>-3.4955267857885381</c:v>
                </c:pt>
                <c:pt idx="976">
                  <c:v>-3.5007169033664698</c:v>
                </c:pt>
                <c:pt idx="977">
                  <c:v>-3.5059070842544409</c:v>
                </c:pt>
                <c:pt idx="978">
                  <c:v>-3.5110973284515881</c:v>
                </c:pt>
                <c:pt idx="979">
                  <c:v>-3.5162876359570481</c:v>
                </c:pt>
                <c:pt idx="980">
                  <c:v>-3.521478006769958</c:v>
                </c:pt>
                <c:pt idx="981">
                  <c:v>-3.5266684408894551</c:v>
                </c:pt>
                <c:pt idx="982">
                  <c:v>-3.5318589383146755</c:v>
                </c:pt>
                <c:pt idx="983">
                  <c:v>-3.5370494990447563</c:v>
                </c:pt>
                <c:pt idx="984">
                  <c:v>-3.5422401230788347</c:v>
                </c:pt>
                <c:pt idx="985">
                  <c:v>-3.5474308104160475</c:v>
                </c:pt>
                <c:pt idx="986">
                  <c:v>-3.5526215610555316</c:v>
                </c:pt>
                <c:pt idx="987">
                  <c:v>-3.5578123749964234</c:v>
                </c:pt>
                <c:pt idx="988">
                  <c:v>-3.5630032522378605</c:v>
                </c:pt>
                <c:pt idx="989">
                  <c:v>-3.5681941927789791</c:v>
                </c:pt>
                <c:pt idx="990">
                  <c:v>-3.5733851966189167</c:v>
                </c:pt>
                <c:pt idx="991">
                  <c:v>-3.5785762637568097</c:v>
                </c:pt>
                <c:pt idx="992">
                  <c:v>-3.5837673941917951</c:v>
                </c:pt>
                <c:pt idx="993">
                  <c:v>-3.5889585879230101</c:v>
                </c:pt>
                <c:pt idx="994">
                  <c:v>-3.5941498449495914</c:v>
                </c:pt>
                <c:pt idx="995">
                  <c:v>-3.5993411652706757</c:v>
                </c:pt>
                <c:pt idx="996">
                  <c:v>-3.6045325488854001</c:v>
                </c:pt>
                <c:pt idx="997">
                  <c:v>-3.6097239957929013</c:v>
                </c:pt>
                <c:pt idx="998">
                  <c:v>-3.6149155059923159</c:v>
                </c:pt>
                <c:pt idx="999">
                  <c:v>-3.6201070794827812</c:v>
                </c:pt>
                <c:pt idx="1000">
                  <c:v>-3.6252987162634343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BC-E84B-8A2E-77A3E8DE6A60}"/>
            </c:ext>
          </c:extLst>
        </c:ser>
        <c:ser>
          <c:idx val="2"/>
          <c:order val="3"/>
          <c:tx>
            <c:strRef>
              <c:f>Trajecto!$B$108</c:f>
              <c:strCache>
                <c:ptCount val="1"/>
                <c:pt idx="0">
                  <c:v>Fusée sous parachute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BC-E84B-8A2E-77A3E8DE6A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Trajecto!$B$131:$B$137</c:f>
              <c:numCache>
                <c:formatCode>0.0</c:formatCode>
                <c:ptCount val="7"/>
                <c:pt idx="0">
                  <c:v>19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xVal>
          <c:yVal>
            <c:numRef>
              <c:f>Trajecto!$C$129:$C$135</c:f>
              <c:numCache>
                <c:formatCode>0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BC-E84B-8A2E-77A3E8DE6A60}"/>
            </c:ext>
          </c:extLst>
        </c:ser>
        <c:ser>
          <c:idx val="3"/>
          <c:order val="4"/>
          <c:tx>
            <c:strRef>
              <c:f>Trajecto!$B$109</c:f>
              <c:strCache>
                <c:ptCount val="1"/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FF66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BC-E84B-8A2E-77A3E8DE6A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Trajecto!$B$148:$B$154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Trajecto!$C$146:$C$152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BC-E84B-8A2E-77A3E8DE6A60}"/>
            </c:ext>
          </c:extLst>
        </c:ser>
        <c:ser>
          <c:idx val="5"/>
          <c:order val="5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2.1000000000000014</c:v>
                </c:pt>
                <c:pt idx="202">
                  <c:v>2.2000000000000015</c:v>
                </c:pt>
                <c:pt idx="203">
                  <c:v>2.3000000000000016</c:v>
                </c:pt>
                <c:pt idx="204">
                  <c:v>2.4000000000000017</c:v>
                </c:pt>
                <c:pt idx="205">
                  <c:v>2.5000000000000018</c:v>
                </c:pt>
                <c:pt idx="206">
                  <c:v>2.6000000000000019</c:v>
                </c:pt>
                <c:pt idx="207">
                  <c:v>2.700000000000002</c:v>
                </c:pt>
                <c:pt idx="208">
                  <c:v>2.800000000000002</c:v>
                </c:pt>
                <c:pt idx="209">
                  <c:v>2.9000000000000021</c:v>
                </c:pt>
                <c:pt idx="210">
                  <c:v>3.0000000000000022</c:v>
                </c:pt>
                <c:pt idx="211">
                  <c:v>3.1000000000000023</c:v>
                </c:pt>
                <c:pt idx="212">
                  <c:v>3.2000000000000024</c:v>
                </c:pt>
                <c:pt idx="213">
                  <c:v>3.3000000000000025</c:v>
                </c:pt>
                <c:pt idx="214">
                  <c:v>3.4000000000000026</c:v>
                </c:pt>
                <c:pt idx="215">
                  <c:v>3.5000000000000027</c:v>
                </c:pt>
                <c:pt idx="216">
                  <c:v>3.6000000000000028</c:v>
                </c:pt>
                <c:pt idx="217">
                  <c:v>3.7000000000000028</c:v>
                </c:pt>
                <c:pt idx="218">
                  <c:v>3.8000000000000029</c:v>
                </c:pt>
                <c:pt idx="219">
                  <c:v>3.900000000000003</c:v>
                </c:pt>
                <c:pt idx="220">
                  <c:v>4.0000000000000027</c:v>
                </c:pt>
                <c:pt idx="221">
                  <c:v>4.1000000000000023</c:v>
                </c:pt>
                <c:pt idx="222">
                  <c:v>4.200000000000002</c:v>
                </c:pt>
                <c:pt idx="223">
                  <c:v>4.3000000000000016</c:v>
                </c:pt>
                <c:pt idx="224">
                  <c:v>4.4000000000000012</c:v>
                </c:pt>
                <c:pt idx="225">
                  <c:v>4.5000000000000009</c:v>
                </c:pt>
                <c:pt idx="226">
                  <c:v>4.6000000000000005</c:v>
                </c:pt>
                <c:pt idx="227">
                  <c:v>4.7</c:v>
                </c:pt>
                <c:pt idx="228">
                  <c:v>4.8</c:v>
                </c:pt>
                <c:pt idx="229">
                  <c:v>4.8999999999999995</c:v>
                </c:pt>
                <c:pt idx="230">
                  <c:v>4.9999999999999991</c:v>
                </c:pt>
                <c:pt idx="231">
                  <c:v>5.0999999999999988</c:v>
                </c:pt>
                <c:pt idx="232">
                  <c:v>5.1999999999999984</c:v>
                </c:pt>
                <c:pt idx="233">
                  <c:v>5.299999999999998</c:v>
                </c:pt>
                <c:pt idx="234">
                  <c:v>5.3999999999999977</c:v>
                </c:pt>
                <c:pt idx="235">
                  <c:v>5.4999999999999973</c:v>
                </c:pt>
                <c:pt idx="236">
                  <c:v>5.599999999999997</c:v>
                </c:pt>
                <c:pt idx="237">
                  <c:v>5.6999999999999966</c:v>
                </c:pt>
                <c:pt idx="238">
                  <c:v>5.7999999999999963</c:v>
                </c:pt>
                <c:pt idx="239">
                  <c:v>5.8999999999999959</c:v>
                </c:pt>
                <c:pt idx="240">
                  <c:v>5.9999999999999956</c:v>
                </c:pt>
                <c:pt idx="241">
                  <c:v>6.0999999999999952</c:v>
                </c:pt>
                <c:pt idx="242">
                  <c:v>6.1999999999999948</c:v>
                </c:pt>
                <c:pt idx="243">
                  <c:v>6.2999999999999945</c:v>
                </c:pt>
                <c:pt idx="244">
                  <c:v>6.3999999999999941</c:v>
                </c:pt>
                <c:pt idx="245">
                  <c:v>6.4999999999999938</c:v>
                </c:pt>
                <c:pt idx="246">
                  <c:v>6.5999999999999934</c:v>
                </c:pt>
                <c:pt idx="247">
                  <c:v>6.6999999999999931</c:v>
                </c:pt>
                <c:pt idx="248">
                  <c:v>6.7999999999999927</c:v>
                </c:pt>
                <c:pt idx="249">
                  <c:v>6.8999999999999924</c:v>
                </c:pt>
                <c:pt idx="250">
                  <c:v>6.999999999999992</c:v>
                </c:pt>
                <c:pt idx="251">
                  <c:v>7.0999999999999917</c:v>
                </c:pt>
                <c:pt idx="252">
                  <c:v>7.1999999999999913</c:v>
                </c:pt>
                <c:pt idx="253">
                  <c:v>7.2999999999999909</c:v>
                </c:pt>
                <c:pt idx="254">
                  <c:v>7.3999999999999906</c:v>
                </c:pt>
                <c:pt idx="255">
                  <c:v>7.4999999999999902</c:v>
                </c:pt>
                <c:pt idx="256">
                  <c:v>7.5999999999999899</c:v>
                </c:pt>
                <c:pt idx="257">
                  <c:v>7.6999999999999895</c:v>
                </c:pt>
                <c:pt idx="258">
                  <c:v>7.7999999999999892</c:v>
                </c:pt>
                <c:pt idx="259">
                  <c:v>7.8999999999999888</c:v>
                </c:pt>
                <c:pt idx="260">
                  <c:v>7.9999999999999885</c:v>
                </c:pt>
                <c:pt idx="261">
                  <c:v>8.099999999999989</c:v>
                </c:pt>
                <c:pt idx="262">
                  <c:v>8.1999999999999886</c:v>
                </c:pt>
                <c:pt idx="263">
                  <c:v>8.2999999999999883</c:v>
                </c:pt>
                <c:pt idx="264">
                  <c:v>8.3999999999999879</c:v>
                </c:pt>
                <c:pt idx="265">
                  <c:v>8.4999999999999876</c:v>
                </c:pt>
                <c:pt idx="266">
                  <c:v>8.5999999999999872</c:v>
                </c:pt>
                <c:pt idx="267">
                  <c:v>8.6999999999999869</c:v>
                </c:pt>
                <c:pt idx="268">
                  <c:v>8.7999999999999865</c:v>
                </c:pt>
                <c:pt idx="269">
                  <c:v>8.8999999999999861</c:v>
                </c:pt>
                <c:pt idx="270">
                  <c:v>8.9999999999999858</c:v>
                </c:pt>
                <c:pt idx="271">
                  <c:v>9.0999999999999854</c:v>
                </c:pt>
                <c:pt idx="272">
                  <c:v>9.1999999999999851</c:v>
                </c:pt>
                <c:pt idx="273">
                  <c:v>9.2999999999999847</c:v>
                </c:pt>
                <c:pt idx="274">
                  <c:v>9.3999999999999844</c:v>
                </c:pt>
                <c:pt idx="275">
                  <c:v>9.499999999999984</c:v>
                </c:pt>
                <c:pt idx="276">
                  <c:v>9.5999999999999837</c:v>
                </c:pt>
                <c:pt idx="277">
                  <c:v>9.6999999999999833</c:v>
                </c:pt>
                <c:pt idx="278">
                  <c:v>9.7999999999999829</c:v>
                </c:pt>
                <c:pt idx="279">
                  <c:v>9.8999999999999826</c:v>
                </c:pt>
                <c:pt idx="280">
                  <c:v>9.9999999999999822</c:v>
                </c:pt>
                <c:pt idx="281">
                  <c:v>10.099999999999982</c:v>
                </c:pt>
                <c:pt idx="282">
                  <c:v>10.199999999999982</c:v>
                </c:pt>
                <c:pt idx="283">
                  <c:v>10.299999999999981</c:v>
                </c:pt>
                <c:pt idx="284">
                  <c:v>10.399999999999981</c:v>
                </c:pt>
                <c:pt idx="285">
                  <c:v>10.49999999999998</c:v>
                </c:pt>
                <c:pt idx="286">
                  <c:v>10.59999999999998</c:v>
                </c:pt>
                <c:pt idx="287">
                  <c:v>10.69999999999998</c:v>
                </c:pt>
                <c:pt idx="288">
                  <c:v>10.799999999999979</c:v>
                </c:pt>
                <c:pt idx="289">
                  <c:v>10.899999999999979</c:v>
                </c:pt>
                <c:pt idx="290">
                  <c:v>10.999999999999979</c:v>
                </c:pt>
                <c:pt idx="291">
                  <c:v>11.099999999999978</c:v>
                </c:pt>
                <c:pt idx="292">
                  <c:v>11.199999999999978</c:v>
                </c:pt>
                <c:pt idx="293">
                  <c:v>11.299999999999978</c:v>
                </c:pt>
                <c:pt idx="294">
                  <c:v>11.399999999999977</c:v>
                </c:pt>
                <c:pt idx="295">
                  <c:v>11.499999999999977</c:v>
                </c:pt>
                <c:pt idx="296">
                  <c:v>11.599999999999977</c:v>
                </c:pt>
                <c:pt idx="297">
                  <c:v>11.699999999999976</c:v>
                </c:pt>
                <c:pt idx="298">
                  <c:v>11.799999999999976</c:v>
                </c:pt>
                <c:pt idx="299">
                  <c:v>11.899999999999975</c:v>
                </c:pt>
                <c:pt idx="300">
                  <c:v>11.999999999999975</c:v>
                </c:pt>
                <c:pt idx="301">
                  <c:v>12.000099999999975</c:v>
                </c:pt>
                <c:pt idx="302">
                  <c:v>12.000199999999975</c:v>
                </c:pt>
                <c:pt idx="303">
                  <c:v>12.000299999999974</c:v>
                </c:pt>
                <c:pt idx="304">
                  <c:v>12.000399999999974</c:v>
                </c:pt>
                <c:pt idx="305">
                  <c:v>12.000499999999974</c:v>
                </c:pt>
                <c:pt idx="306">
                  <c:v>12.000599999999974</c:v>
                </c:pt>
                <c:pt idx="307">
                  <c:v>12.000699999999973</c:v>
                </c:pt>
                <c:pt idx="308">
                  <c:v>12.000799999999973</c:v>
                </c:pt>
                <c:pt idx="309">
                  <c:v>12.000899999999973</c:v>
                </c:pt>
                <c:pt idx="310">
                  <c:v>12.000999999999973</c:v>
                </c:pt>
                <c:pt idx="311">
                  <c:v>12.001099999999973</c:v>
                </c:pt>
                <c:pt idx="312">
                  <c:v>12.001199999999972</c:v>
                </c:pt>
                <c:pt idx="313">
                  <c:v>12.001299999999972</c:v>
                </c:pt>
                <c:pt idx="314">
                  <c:v>12.001399999999972</c:v>
                </c:pt>
                <c:pt idx="315">
                  <c:v>12.001499999999972</c:v>
                </c:pt>
                <c:pt idx="316">
                  <c:v>12.001599999999971</c:v>
                </c:pt>
                <c:pt idx="317">
                  <c:v>12.001699999999971</c:v>
                </c:pt>
                <c:pt idx="318">
                  <c:v>12.001799999999971</c:v>
                </c:pt>
                <c:pt idx="319">
                  <c:v>12.001899999999971</c:v>
                </c:pt>
                <c:pt idx="320">
                  <c:v>12.00199999999997</c:v>
                </c:pt>
                <c:pt idx="321">
                  <c:v>12.00209999999997</c:v>
                </c:pt>
                <c:pt idx="322">
                  <c:v>12.00219999999997</c:v>
                </c:pt>
                <c:pt idx="323">
                  <c:v>12.00229999999997</c:v>
                </c:pt>
                <c:pt idx="324">
                  <c:v>12.00239999999997</c:v>
                </c:pt>
                <c:pt idx="325">
                  <c:v>12.002499999999969</c:v>
                </c:pt>
                <c:pt idx="326">
                  <c:v>12.002599999999969</c:v>
                </c:pt>
                <c:pt idx="327">
                  <c:v>12.002699999999969</c:v>
                </c:pt>
                <c:pt idx="328">
                  <c:v>12.002799999999969</c:v>
                </c:pt>
                <c:pt idx="329">
                  <c:v>12.002899999999968</c:v>
                </c:pt>
                <c:pt idx="330">
                  <c:v>12.002999999999968</c:v>
                </c:pt>
                <c:pt idx="331">
                  <c:v>12.003099999999968</c:v>
                </c:pt>
                <c:pt idx="332">
                  <c:v>12.003199999999968</c:v>
                </c:pt>
                <c:pt idx="333">
                  <c:v>12.003299999999967</c:v>
                </c:pt>
                <c:pt idx="334">
                  <c:v>12.003399999999967</c:v>
                </c:pt>
                <c:pt idx="335">
                  <c:v>12.003499999999967</c:v>
                </c:pt>
                <c:pt idx="336">
                  <c:v>12.003599999999967</c:v>
                </c:pt>
                <c:pt idx="337">
                  <c:v>12.003699999999967</c:v>
                </c:pt>
                <c:pt idx="338">
                  <c:v>12.003799999999966</c:v>
                </c:pt>
                <c:pt idx="339">
                  <c:v>12.003899999999966</c:v>
                </c:pt>
                <c:pt idx="340">
                  <c:v>12.003999999999966</c:v>
                </c:pt>
                <c:pt idx="341">
                  <c:v>12.004099999999966</c:v>
                </c:pt>
                <c:pt idx="342">
                  <c:v>12.004199999999965</c:v>
                </c:pt>
                <c:pt idx="343">
                  <c:v>12.004299999999965</c:v>
                </c:pt>
                <c:pt idx="344">
                  <c:v>12.004399999999965</c:v>
                </c:pt>
                <c:pt idx="345">
                  <c:v>12.004499999999965</c:v>
                </c:pt>
                <c:pt idx="346">
                  <c:v>12.004599999999964</c:v>
                </c:pt>
                <c:pt idx="347">
                  <c:v>12.004699999999964</c:v>
                </c:pt>
                <c:pt idx="348">
                  <c:v>12.004799999999964</c:v>
                </c:pt>
                <c:pt idx="349">
                  <c:v>12.004899999999964</c:v>
                </c:pt>
                <c:pt idx="350">
                  <c:v>12.004999999999963</c:v>
                </c:pt>
                <c:pt idx="351">
                  <c:v>12.005099999999963</c:v>
                </c:pt>
                <c:pt idx="352">
                  <c:v>12.005199999999963</c:v>
                </c:pt>
                <c:pt idx="353">
                  <c:v>12.005299999999963</c:v>
                </c:pt>
                <c:pt idx="354">
                  <c:v>12.005399999999963</c:v>
                </c:pt>
                <c:pt idx="355">
                  <c:v>12.005499999999962</c:v>
                </c:pt>
                <c:pt idx="356">
                  <c:v>12.005599999999962</c:v>
                </c:pt>
                <c:pt idx="357">
                  <c:v>12.005699999999962</c:v>
                </c:pt>
                <c:pt idx="358">
                  <c:v>12.005799999999962</c:v>
                </c:pt>
                <c:pt idx="359">
                  <c:v>12.005899999999961</c:v>
                </c:pt>
                <c:pt idx="360">
                  <c:v>12.005999999999961</c:v>
                </c:pt>
                <c:pt idx="361">
                  <c:v>12.006099999999961</c:v>
                </c:pt>
                <c:pt idx="362">
                  <c:v>12.006199999999961</c:v>
                </c:pt>
                <c:pt idx="363">
                  <c:v>12.00629999999996</c:v>
                </c:pt>
                <c:pt idx="364">
                  <c:v>12.00639999999996</c:v>
                </c:pt>
                <c:pt idx="365">
                  <c:v>12.00649999999996</c:v>
                </c:pt>
                <c:pt idx="366">
                  <c:v>12.00659999999996</c:v>
                </c:pt>
                <c:pt idx="367">
                  <c:v>12.00669999999996</c:v>
                </c:pt>
                <c:pt idx="368">
                  <c:v>12.006799999999959</c:v>
                </c:pt>
                <c:pt idx="369">
                  <c:v>12.006899999999959</c:v>
                </c:pt>
                <c:pt idx="370">
                  <c:v>12.006999999999959</c:v>
                </c:pt>
                <c:pt idx="371">
                  <c:v>12.007099999999959</c:v>
                </c:pt>
                <c:pt idx="372">
                  <c:v>12.007199999999958</c:v>
                </c:pt>
                <c:pt idx="373">
                  <c:v>12.007299999999958</c:v>
                </c:pt>
                <c:pt idx="374">
                  <c:v>12.007399999999958</c:v>
                </c:pt>
                <c:pt idx="375">
                  <c:v>12.007499999999958</c:v>
                </c:pt>
                <c:pt idx="376">
                  <c:v>12.007599999999957</c:v>
                </c:pt>
                <c:pt idx="377">
                  <c:v>12.007699999999957</c:v>
                </c:pt>
                <c:pt idx="378">
                  <c:v>12.007799999999957</c:v>
                </c:pt>
                <c:pt idx="379">
                  <c:v>12.007899999999957</c:v>
                </c:pt>
                <c:pt idx="380">
                  <c:v>12.007999999999956</c:v>
                </c:pt>
                <c:pt idx="381">
                  <c:v>12.008099999999956</c:v>
                </c:pt>
                <c:pt idx="382">
                  <c:v>12.008199999999956</c:v>
                </c:pt>
                <c:pt idx="383">
                  <c:v>12.008299999999956</c:v>
                </c:pt>
                <c:pt idx="384">
                  <c:v>12.008399999999956</c:v>
                </c:pt>
                <c:pt idx="385">
                  <c:v>12.008499999999955</c:v>
                </c:pt>
                <c:pt idx="386">
                  <c:v>12.008599999999955</c:v>
                </c:pt>
                <c:pt idx="387">
                  <c:v>12.008699999999955</c:v>
                </c:pt>
                <c:pt idx="388">
                  <c:v>12.008799999999955</c:v>
                </c:pt>
                <c:pt idx="389">
                  <c:v>12.008899999999954</c:v>
                </c:pt>
                <c:pt idx="390">
                  <c:v>12.008999999999954</c:v>
                </c:pt>
                <c:pt idx="391">
                  <c:v>12.009099999999954</c:v>
                </c:pt>
                <c:pt idx="392">
                  <c:v>12.009199999999954</c:v>
                </c:pt>
                <c:pt idx="393">
                  <c:v>12.009299999999953</c:v>
                </c:pt>
                <c:pt idx="394">
                  <c:v>12.009399999999953</c:v>
                </c:pt>
                <c:pt idx="395">
                  <c:v>12.009499999999953</c:v>
                </c:pt>
                <c:pt idx="396">
                  <c:v>12.009599999999953</c:v>
                </c:pt>
                <c:pt idx="397">
                  <c:v>12.009699999999953</c:v>
                </c:pt>
                <c:pt idx="398">
                  <c:v>12.009799999999952</c:v>
                </c:pt>
                <c:pt idx="399">
                  <c:v>12.009899999999952</c:v>
                </c:pt>
                <c:pt idx="400">
                  <c:v>12.009999999999952</c:v>
                </c:pt>
                <c:pt idx="401">
                  <c:v>12.010099999999952</c:v>
                </c:pt>
                <c:pt idx="402">
                  <c:v>12.010199999999951</c:v>
                </c:pt>
                <c:pt idx="403">
                  <c:v>12.010299999999951</c:v>
                </c:pt>
                <c:pt idx="404">
                  <c:v>12.010399999999951</c:v>
                </c:pt>
                <c:pt idx="405">
                  <c:v>12.010499999999951</c:v>
                </c:pt>
                <c:pt idx="406">
                  <c:v>12.01059999999995</c:v>
                </c:pt>
                <c:pt idx="407">
                  <c:v>12.01069999999995</c:v>
                </c:pt>
                <c:pt idx="408">
                  <c:v>12.01079999999995</c:v>
                </c:pt>
                <c:pt idx="409">
                  <c:v>12.01089999999995</c:v>
                </c:pt>
                <c:pt idx="410">
                  <c:v>12.010999999999949</c:v>
                </c:pt>
                <c:pt idx="411">
                  <c:v>12.011099999999949</c:v>
                </c:pt>
                <c:pt idx="412">
                  <c:v>12.011199999999949</c:v>
                </c:pt>
                <c:pt idx="413">
                  <c:v>12.011299999999949</c:v>
                </c:pt>
                <c:pt idx="414">
                  <c:v>12.011399999999949</c:v>
                </c:pt>
                <c:pt idx="415">
                  <c:v>12.011499999999948</c:v>
                </c:pt>
                <c:pt idx="416">
                  <c:v>12.011599999999948</c:v>
                </c:pt>
                <c:pt idx="417">
                  <c:v>12.011699999999948</c:v>
                </c:pt>
                <c:pt idx="418">
                  <c:v>12.011799999999948</c:v>
                </c:pt>
                <c:pt idx="419">
                  <c:v>12.011899999999947</c:v>
                </c:pt>
                <c:pt idx="420">
                  <c:v>12.011999999999947</c:v>
                </c:pt>
                <c:pt idx="421">
                  <c:v>12.012099999999947</c:v>
                </c:pt>
                <c:pt idx="422">
                  <c:v>12.012199999999947</c:v>
                </c:pt>
                <c:pt idx="423">
                  <c:v>12.012299999999946</c:v>
                </c:pt>
                <c:pt idx="424">
                  <c:v>12.012399999999946</c:v>
                </c:pt>
                <c:pt idx="425">
                  <c:v>12.012499999999946</c:v>
                </c:pt>
                <c:pt idx="426">
                  <c:v>12.012599999999946</c:v>
                </c:pt>
                <c:pt idx="427">
                  <c:v>12.012699999999946</c:v>
                </c:pt>
                <c:pt idx="428">
                  <c:v>12.012799999999945</c:v>
                </c:pt>
                <c:pt idx="429">
                  <c:v>12.012899999999945</c:v>
                </c:pt>
                <c:pt idx="430">
                  <c:v>12.012999999999945</c:v>
                </c:pt>
                <c:pt idx="431">
                  <c:v>12.013099999999945</c:v>
                </c:pt>
                <c:pt idx="432">
                  <c:v>12.013199999999944</c:v>
                </c:pt>
                <c:pt idx="433">
                  <c:v>12.013299999999944</c:v>
                </c:pt>
                <c:pt idx="434">
                  <c:v>12.013399999999944</c:v>
                </c:pt>
                <c:pt idx="435">
                  <c:v>12.013499999999944</c:v>
                </c:pt>
                <c:pt idx="436">
                  <c:v>12.013599999999943</c:v>
                </c:pt>
                <c:pt idx="437">
                  <c:v>12.013699999999943</c:v>
                </c:pt>
                <c:pt idx="438">
                  <c:v>12.013799999999943</c:v>
                </c:pt>
                <c:pt idx="439">
                  <c:v>12.013899999999943</c:v>
                </c:pt>
                <c:pt idx="440">
                  <c:v>12.013999999999943</c:v>
                </c:pt>
                <c:pt idx="441">
                  <c:v>12.014099999999942</c:v>
                </c:pt>
                <c:pt idx="442">
                  <c:v>12.014199999999942</c:v>
                </c:pt>
                <c:pt idx="443">
                  <c:v>12.014299999999942</c:v>
                </c:pt>
                <c:pt idx="444">
                  <c:v>12.014399999999942</c:v>
                </c:pt>
                <c:pt idx="445">
                  <c:v>12.014499999999941</c:v>
                </c:pt>
                <c:pt idx="446">
                  <c:v>12.014599999999941</c:v>
                </c:pt>
                <c:pt idx="447">
                  <c:v>12.014699999999941</c:v>
                </c:pt>
                <c:pt idx="448">
                  <c:v>12.014799999999941</c:v>
                </c:pt>
                <c:pt idx="449">
                  <c:v>12.01489999999994</c:v>
                </c:pt>
                <c:pt idx="450">
                  <c:v>12.01499999999994</c:v>
                </c:pt>
                <c:pt idx="451">
                  <c:v>12.01509999999994</c:v>
                </c:pt>
                <c:pt idx="452">
                  <c:v>12.01519999999994</c:v>
                </c:pt>
                <c:pt idx="453">
                  <c:v>12.015299999999939</c:v>
                </c:pt>
                <c:pt idx="454">
                  <c:v>12.015399999999939</c:v>
                </c:pt>
                <c:pt idx="455">
                  <c:v>12.015499999999939</c:v>
                </c:pt>
                <c:pt idx="456">
                  <c:v>12.015599999999939</c:v>
                </c:pt>
                <c:pt idx="457">
                  <c:v>12.015699999999939</c:v>
                </c:pt>
                <c:pt idx="458">
                  <c:v>12.015799999999938</c:v>
                </c:pt>
                <c:pt idx="459">
                  <c:v>12.015899999999938</c:v>
                </c:pt>
                <c:pt idx="460">
                  <c:v>12.015999999999938</c:v>
                </c:pt>
                <c:pt idx="461">
                  <c:v>12.016099999999938</c:v>
                </c:pt>
                <c:pt idx="462">
                  <c:v>12.016199999999937</c:v>
                </c:pt>
                <c:pt idx="463">
                  <c:v>12.016299999999937</c:v>
                </c:pt>
                <c:pt idx="464">
                  <c:v>12.016399999999937</c:v>
                </c:pt>
                <c:pt idx="465">
                  <c:v>12.016499999999937</c:v>
                </c:pt>
                <c:pt idx="466">
                  <c:v>12.016599999999936</c:v>
                </c:pt>
                <c:pt idx="467">
                  <c:v>12.016699999999936</c:v>
                </c:pt>
                <c:pt idx="468">
                  <c:v>12.016799999999936</c:v>
                </c:pt>
                <c:pt idx="469">
                  <c:v>12.016899999999936</c:v>
                </c:pt>
                <c:pt idx="470">
                  <c:v>12.016999999999936</c:v>
                </c:pt>
                <c:pt idx="471">
                  <c:v>12.017099999999935</c:v>
                </c:pt>
                <c:pt idx="472">
                  <c:v>12.017199999999935</c:v>
                </c:pt>
                <c:pt idx="473">
                  <c:v>12.017299999999935</c:v>
                </c:pt>
                <c:pt idx="474">
                  <c:v>12.017399999999935</c:v>
                </c:pt>
                <c:pt idx="475">
                  <c:v>12.017499999999934</c:v>
                </c:pt>
                <c:pt idx="476">
                  <c:v>12.017599999999934</c:v>
                </c:pt>
                <c:pt idx="477">
                  <c:v>12.017699999999934</c:v>
                </c:pt>
                <c:pt idx="478">
                  <c:v>12.017799999999934</c:v>
                </c:pt>
                <c:pt idx="479">
                  <c:v>12.017899999999933</c:v>
                </c:pt>
                <c:pt idx="480">
                  <c:v>12.017999999999933</c:v>
                </c:pt>
                <c:pt idx="481">
                  <c:v>12.018099999999933</c:v>
                </c:pt>
                <c:pt idx="482">
                  <c:v>12.018199999999933</c:v>
                </c:pt>
                <c:pt idx="483">
                  <c:v>12.018299999999932</c:v>
                </c:pt>
                <c:pt idx="484">
                  <c:v>12.018399999999932</c:v>
                </c:pt>
                <c:pt idx="485">
                  <c:v>12.018499999999932</c:v>
                </c:pt>
                <c:pt idx="486">
                  <c:v>12.018599999999932</c:v>
                </c:pt>
                <c:pt idx="487">
                  <c:v>12.018699999999932</c:v>
                </c:pt>
                <c:pt idx="488">
                  <c:v>12.018799999999931</c:v>
                </c:pt>
                <c:pt idx="489">
                  <c:v>12.018899999999931</c:v>
                </c:pt>
                <c:pt idx="490">
                  <c:v>12.018999999999931</c:v>
                </c:pt>
                <c:pt idx="491">
                  <c:v>12.019099999999931</c:v>
                </c:pt>
                <c:pt idx="492">
                  <c:v>12.01919999999993</c:v>
                </c:pt>
                <c:pt idx="493">
                  <c:v>12.01929999999993</c:v>
                </c:pt>
                <c:pt idx="494">
                  <c:v>12.01939999999993</c:v>
                </c:pt>
                <c:pt idx="495">
                  <c:v>12.01949999999993</c:v>
                </c:pt>
                <c:pt idx="496">
                  <c:v>12.019599999999929</c:v>
                </c:pt>
                <c:pt idx="497">
                  <c:v>12.019699999999929</c:v>
                </c:pt>
                <c:pt idx="498">
                  <c:v>12.019799999999929</c:v>
                </c:pt>
                <c:pt idx="499">
                  <c:v>12.019899999999929</c:v>
                </c:pt>
                <c:pt idx="500">
                  <c:v>12.019999999999929</c:v>
                </c:pt>
                <c:pt idx="501">
                  <c:v>12.020099999999928</c:v>
                </c:pt>
                <c:pt idx="502">
                  <c:v>12.020199999999928</c:v>
                </c:pt>
                <c:pt idx="503">
                  <c:v>12.020299999999928</c:v>
                </c:pt>
                <c:pt idx="504">
                  <c:v>12.020399999999928</c:v>
                </c:pt>
                <c:pt idx="505">
                  <c:v>12.020499999999927</c:v>
                </c:pt>
                <c:pt idx="506">
                  <c:v>12.020599999999927</c:v>
                </c:pt>
                <c:pt idx="507">
                  <c:v>12.020699999999927</c:v>
                </c:pt>
                <c:pt idx="508">
                  <c:v>12.020799999999927</c:v>
                </c:pt>
                <c:pt idx="509">
                  <c:v>12.020899999999926</c:v>
                </c:pt>
                <c:pt idx="510">
                  <c:v>12.020999999999926</c:v>
                </c:pt>
                <c:pt idx="511">
                  <c:v>12.021099999999926</c:v>
                </c:pt>
                <c:pt idx="512">
                  <c:v>12.021199999999926</c:v>
                </c:pt>
                <c:pt idx="513">
                  <c:v>12.021299999999925</c:v>
                </c:pt>
                <c:pt idx="514">
                  <c:v>12.021399999999925</c:v>
                </c:pt>
                <c:pt idx="515">
                  <c:v>12.021499999999925</c:v>
                </c:pt>
                <c:pt idx="516">
                  <c:v>12.021599999999925</c:v>
                </c:pt>
                <c:pt idx="517">
                  <c:v>12.021699999999925</c:v>
                </c:pt>
                <c:pt idx="518">
                  <c:v>12.021799999999924</c:v>
                </c:pt>
                <c:pt idx="519">
                  <c:v>12.021899999999924</c:v>
                </c:pt>
                <c:pt idx="520">
                  <c:v>12.021999999999924</c:v>
                </c:pt>
                <c:pt idx="521">
                  <c:v>12.022099999999924</c:v>
                </c:pt>
                <c:pt idx="522">
                  <c:v>12.022199999999923</c:v>
                </c:pt>
                <c:pt idx="523">
                  <c:v>12.022299999999923</c:v>
                </c:pt>
                <c:pt idx="524">
                  <c:v>12.022399999999923</c:v>
                </c:pt>
                <c:pt idx="525">
                  <c:v>12.022499999999923</c:v>
                </c:pt>
                <c:pt idx="526">
                  <c:v>12.022599999999922</c:v>
                </c:pt>
                <c:pt idx="527">
                  <c:v>12.022699999999922</c:v>
                </c:pt>
                <c:pt idx="528">
                  <c:v>12.022799999999922</c:v>
                </c:pt>
                <c:pt idx="529">
                  <c:v>12.022899999999922</c:v>
                </c:pt>
                <c:pt idx="530">
                  <c:v>12.022999999999922</c:v>
                </c:pt>
                <c:pt idx="531">
                  <c:v>12.023099999999921</c:v>
                </c:pt>
                <c:pt idx="532">
                  <c:v>12.023199999999921</c:v>
                </c:pt>
                <c:pt idx="533">
                  <c:v>12.023299999999921</c:v>
                </c:pt>
                <c:pt idx="534">
                  <c:v>12.023399999999921</c:v>
                </c:pt>
                <c:pt idx="535">
                  <c:v>12.02349999999992</c:v>
                </c:pt>
                <c:pt idx="536">
                  <c:v>12.02359999999992</c:v>
                </c:pt>
                <c:pt idx="537">
                  <c:v>12.02369999999992</c:v>
                </c:pt>
                <c:pt idx="538">
                  <c:v>12.02379999999992</c:v>
                </c:pt>
                <c:pt idx="539">
                  <c:v>12.023899999999919</c:v>
                </c:pt>
                <c:pt idx="540">
                  <c:v>12.023999999999919</c:v>
                </c:pt>
                <c:pt idx="541">
                  <c:v>12.024099999999919</c:v>
                </c:pt>
                <c:pt idx="542">
                  <c:v>12.024199999999919</c:v>
                </c:pt>
                <c:pt idx="543">
                  <c:v>12.024299999999918</c:v>
                </c:pt>
                <c:pt idx="544">
                  <c:v>12.024399999999918</c:v>
                </c:pt>
                <c:pt idx="545">
                  <c:v>12.024499999999918</c:v>
                </c:pt>
                <c:pt idx="546">
                  <c:v>12.024599999999918</c:v>
                </c:pt>
                <c:pt idx="547">
                  <c:v>12.024699999999918</c:v>
                </c:pt>
                <c:pt idx="548">
                  <c:v>12.024799999999917</c:v>
                </c:pt>
                <c:pt idx="549">
                  <c:v>12.024899999999917</c:v>
                </c:pt>
                <c:pt idx="550">
                  <c:v>12.024999999999917</c:v>
                </c:pt>
                <c:pt idx="551">
                  <c:v>12.025099999999917</c:v>
                </c:pt>
                <c:pt idx="552">
                  <c:v>12.025199999999916</c:v>
                </c:pt>
                <c:pt idx="553">
                  <c:v>12.025299999999916</c:v>
                </c:pt>
                <c:pt idx="554">
                  <c:v>12.025399999999916</c:v>
                </c:pt>
                <c:pt idx="555">
                  <c:v>12.025499999999916</c:v>
                </c:pt>
                <c:pt idx="556">
                  <c:v>12.025599999999915</c:v>
                </c:pt>
                <c:pt idx="557">
                  <c:v>12.025699999999915</c:v>
                </c:pt>
                <c:pt idx="558">
                  <c:v>12.025799999999915</c:v>
                </c:pt>
                <c:pt idx="559">
                  <c:v>12.025899999999915</c:v>
                </c:pt>
                <c:pt idx="560">
                  <c:v>12.025999999999915</c:v>
                </c:pt>
                <c:pt idx="561">
                  <c:v>12.026099999999914</c:v>
                </c:pt>
                <c:pt idx="562">
                  <c:v>12.026199999999914</c:v>
                </c:pt>
                <c:pt idx="563">
                  <c:v>12.026299999999914</c:v>
                </c:pt>
                <c:pt idx="564">
                  <c:v>12.026399999999914</c:v>
                </c:pt>
                <c:pt idx="565">
                  <c:v>12.026499999999913</c:v>
                </c:pt>
                <c:pt idx="566">
                  <c:v>12.026599999999913</c:v>
                </c:pt>
                <c:pt idx="567">
                  <c:v>12.026699999999913</c:v>
                </c:pt>
                <c:pt idx="568">
                  <c:v>12.026799999999913</c:v>
                </c:pt>
                <c:pt idx="569">
                  <c:v>12.026899999999912</c:v>
                </c:pt>
                <c:pt idx="570">
                  <c:v>12.026999999999912</c:v>
                </c:pt>
                <c:pt idx="571">
                  <c:v>12.027099999999912</c:v>
                </c:pt>
                <c:pt idx="572">
                  <c:v>12.027199999999912</c:v>
                </c:pt>
                <c:pt idx="573">
                  <c:v>12.027299999999912</c:v>
                </c:pt>
                <c:pt idx="574">
                  <c:v>12.027399999999911</c:v>
                </c:pt>
                <c:pt idx="575">
                  <c:v>12.027499999999911</c:v>
                </c:pt>
                <c:pt idx="576">
                  <c:v>12.027599999999911</c:v>
                </c:pt>
                <c:pt idx="577">
                  <c:v>12.027699999999911</c:v>
                </c:pt>
                <c:pt idx="578">
                  <c:v>12.02779999999991</c:v>
                </c:pt>
                <c:pt idx="579">
                  <c:v>12.02789999999991</c:v>
                </c:pt>
                <c:pt idx="580">
                  <c:v>12.02799999999991</c:v>
                </c:pt>
                <c:pt idx="581">
                  <c:v>12.02809999999991</c:v>
                </c:pt>
                <c:pt idx="582">
                  <c:v>12.028199999999909</c:v>
                </c:pt>
                <c:pt idx="583">
                  <c:v>12.028299999999909</c:v>
                </c:pt>
                <c:pt idx="584">
                  <c:v>12.028399999999909</c:v>
                </c:pt>
                <c:pt idx="585">
                  <c:v>12.028499999999909</c:v>
                </c:pt>
                <c:pt idx="586">
                  <c:v>12.028599999999908</c:v>
                </c:pt>
                <c:pt idx="587">
                  <c:v>12.028699999999908</c:v>
                </c:pt>
                <c:pt idx="588">
                  <c:v>12.028799999999908</c:v>
                </c:pt>
                <c:pt idx="589">
                  <c:v>12.028899999999908</c:v>
                </c:pt>
                <c:pt idx="590">
                  <c:v>12.028999999999908</c:v>
                </c:pt>
                <c:pt idx="591">
                  <c:v>12.029099999999907</c:v>
                </c:pt>
                <c:pt idx="592">
                  <c:v>12.029199999999907</c:v>
                </c:pt>
                <c:pt idx="593">
                  <c:v>12.029299999999907</c:v>
                </c:pt>
                <c:pt idx="594">
                  <c:v>12.029399999999907</c:v>
                </c:pt>
                <c:pt idx="595">
                  <c:v>12.029499999999906</c:v>
                </c:pt>
                <c:pt idx="596">
                  <c:v>12.029599999999906</c:v>
                </c:pt>
                <c:pt idx="597">
                  <c:v>12.029699999999906</c:v>
                </c:pt>
                <c:pt idx="598">
                  <c:v>12.029799999999906</c:v>
                </c:pt>
                <c:pt idx="599">
                  <c:v>12.029899999999905</c:v>
                </c:pt>
                <c:pt idx="600">
                  <c:v>12.029999999999905</c:v>
                </c:pt>
                <c:pt idx="601">
                  <c:v>12.030099999999905</c:v>
                </c:pt>
                <c:pt idx="602">
                  <c:v>12.030199999999905</c:v>
                </c:pt>
                <c:pt idx="603">
                  <c:v>12.030299999999905</c:v>
                </c:pt>
                <c:pt idx="604">
                  <c:v>12.030399999999904</c:v>
                </c:pt>
                <c:pt idx="605">
                  <c:v>12.030499999999904</c:v>
                </c:pt>
                <c:pt idx="606">
                  <c:v>12.030599999999904</c:v>
                </c:pt>
                <c:pt idx="607">
                  <c:v>12.030699999999904</c:v>
                </c:pt>
                <c:pt idx="608">
                  <c:v>12.030799999999903</c:v>
                </c:pt>
                <c:pt idx="609">
                  <c:v>12.030899999999903</c:v>
                </c:pt>
                <c:pt idx="610">
                  <c:v>12.030999999999903</c:v>
                </c:pt>
                <c:pt idx="611">
                  <c:v>12.031099999999903</c:v>
                </c:pt>
                <c:pt idx="612">
                  <c:v>12.031199999999902</c:v>
                </c:pt>
                <c:pt idx="613">
                  <c:v>12.031299999999902</c:v>
                </c:pt>
                <c:pt idx="614">
                  <c:v>12.031399999999902</c:v>
                </c:pt>
                <c:pt idx="615">
                  <c:v>12.031499999999902</c:v>
                </c:pt>
                <c:pt idx="616">
                  <c:v>12.031599999999901</c:v>
                </c:pt>
                <c:pt idx="617">
                  <c:v>12.031699999999901</c:v>
                </c:pt>
                <c:pt idx="618">
                  <c:v>12.031799999999901</c:v>
                </c:pt>
                <c:pt idx="619">
                  <c:v>12.031899999999901</c:v>
                </c:pt>
                <c:pt idx="620">
                  <c:v>12.031999999999901</c:v>
                </c:pt>
                <c:pt idx="621">
                  <c:v>12.0320999999999</c:v>
                </c:pt>
                <c:pt idx="622">
                  <c:v>12.0321999999999</c:v>
                </c:pt>
                <c:pt idx="623">
                  <c:v>12.0322999999999</c:v>
                </c:pt>
                <c:pt idx="624">
                  <c:v>12.0323999999999</c:v>
                </c:pt>
                <c:pt idx="625">
                  <c:v>12.032499999999899</c:v>
                </c:pt>
                <c:pt idx="626">
                  <c:v>12.032599999999899</c:v>
                </c:pt>
                <c:pt idx="627">
                  <c:v>12.032699999999899</c:v>
                </c:pt>
                <c:pt idx="628">
                  <c:v>12.032799999999899</c:v>
                </c:pt>
                <c:pt idx="629">
                  <c:v>12.032899999999898</c:v>
                </c:pt>
                <c:pt idx="630">
                  <c:v>12.032999999999898</c:v>
                </c:pt>
                <c:pt idx="631">
                  <c:v>12.033099999999898</c:v>
                </c:pt>
                <c:pt idx="632">
                  <c:v>12.033199999999898</c:v>
                </c:pt>
                <c:pt idx="633">
                  <c:v>12.033299999999898</c:v>
                </c:pt>
                <c:pt idx="634">
                  <c:v>12.033399999999897</c:v>
                </c:pt>
                <c:pt idx="635">
                  <c:v>12.033499999999897</c:v>
                </c:pt>
                <c:pt idx="636">
                  <c:v>12.033599999999897</c:v>
                </c:pt>
                <c:pt idx="637">
                  <c:v>12.033699999999897</c:v>
                </c:pt>
                <c:pt idx="638">
                  <c:v>12.033799999999896</c:v>
                </c:pt>
                <c:pt idx="639">
                  <c:v>12.033899999999896</c:v>
                </c:pt>
                <c:pt idx="640">
                  <c:v>12.033999999999896</c:v>
                </c:pt>
                <c:pt idx="641">
                  <c:v>12.034099999999896</c:v>
                </c:pt>
                <c:pt idx="642">
                  <c:v>12.034199999999895</c:v>
                </c:pt>
                <c:pt idx="643">
                  <c:v>12.034299999999895</c:v>
                </c:pt>
                <c:pt idx="644">
                  <c:v>12.034399999999895</c:v>
                </c:pt>
                <c:pt idx="645">
                  <c:v>12.034499999999895</c:v>
                </c:pt>
                <c:pt idx="646">
                  <c:v>12.034599999999894</c:v>
                </c:pt>
                <c:pt idx="647">
                  <c:v>12.034699999999894</c:v>
                </c:pt>
                <c:pt idx="648">
                  <c:v>12.034799999999894</c:v>
                </c:pt>
                <c:pt idx="649">
                  <c:v>12.034899999999894</c:v>
                </c:pt>
                <c:pt idx="650">
                  <c:v>12.034999999999894</c:v>
                </c:pt>
                <c:pt idx="651">
                  <c:v>12.035099999999893</c:v>
                </c:pt>
                <c:pt idx="652">
                  <c:v>12.035199999999893</c:v>
                </c:pt>
                <c:pt idx="653">
                  <c:v>12.035299999999893</c:v>
                </c:pt>
                <c:pt idx="654">
                  <c:v>12.035399999999893</c:v>
                </c:pt>
                <c:pt idx="655">
                  <c:v>12.035499999999892</c:v>
                </c:pt>
                <c:pt idx="656">
                  <c:v>12.035599999999892</c:v>
                </c:pt>
                <c:pt idx="657">
                  <c:v>12.035699999999892</c:v>
                </c:pt>
                <c:pt idx="658">
                  <c:v>12.035799999999892</c:v>
                </c:pt>
                <c:pt idx="659">
                  <c:v>12.035899999999891</c:v>
                </c:pt>
                <c:pt idx="660">
                  <c:v>12.035999999999891</c:v>
                </c:pt>
                <c:pt idx="661">
                  <c:v>12.036099999999891</c:v>
                </c:pt>
                <c:pt idx="662">
                  <c:v>12.036199999999891</c:v>
                </c:pt>
                <c:pt idx="663">
                  <c:v>12.036299999999891</c:v>
                </c:pt>
                <c:pt idx="664">
                  <c:v>12.03639999999989</c:v>
                </c:pt>
                <c:pt idx="665">
                  <c:v>12.03649999999989</c:v>
                </c:pt>
                <c:pt idx="666">
                  <c:v>12.03659999999989</c:v>
                </c:pt>
                <c:pt idx="667">
                  <c:v>12.03669999999989</c:v>
                </c:pt>
                <c:pt idx="668">
                  <c:v>12.036799999999889</c:v>
                </c:pt>
                <c:pt idx="669">
                  <c:v>12.036899999999889</c:v>
                </c:pt>
                <c:pt idx="670">
                  <c:v>12.036999999999889</c:v>
                </c:pt>
                <c:pt idx="671">
                  <c:v>12.037099999999889</c:v>
                </c:pt>
                <c:pt idx="672">
                  <c:v>12.037199999999888</c:v>
                </c:pt>
                <c:pt idx="673">
                  <c:v>12.037299999999888</c:v>
                </c:pt>
                <c:pt idx="674">
                  <c:v>12.037399999999888</c:v>
                </c:pt>
                <c:pt idx="675">
                  <c:v>12.037499999999888</c:v>
                </c:pt>
                <c:pt idx="676">
                  <c:v>12.037599999999888</c:v>
                </c:pt>
                <c:pt idx="677">
                  <c:v>12.037699999999887</c:v>
                </c:pt>
                <c:pt idx="678">
                  <c:v>12.037799999999887</c:v>
                </c:pt>
                <c:pt idx="679">
                  <c:v>12.037899999999887</c:v>
                </c:pt>
                <c:pt idx="680">
                  <c:v>12.037999999999887</c:v>
                </c:pt>
                <c:pt idx="681">
                  <c:v>12.038099999999886</c:v>
                </c:pt>
                <c:pt idx="682">
                  <c:v>12.038199999999886</c:v>
                </c:pt>
                <c:pt idx="683">
                  <c:v>12.038299999999886</c:v>
                </c:pt>
                <c:pt idx="684">
                  <c:v>12.038399999999886</c:v>
                </c:pt>
                <c:pt idx="685">
                  <c:v>12.038499999999885</c:v>
                </c:pt>
                <c:pt idx="686">
                  <c:v>12.038599999999885</c:v>
                </c:pt>
                <c:pt idx="687">
                  <c:v>12.038699999999885</c:v>
                </c:pt>
                <c:pt idx="688">
                  <c:v>12.038799999999885</c:v>
                </c:pt>
                <c:pt idx="689">
                  <c:v>12.038899999999884</c:v>
                </c:pt>
                <c:pt idx="690">
                  <c:v>12.038999999999884</c:v>
                </c:pt>
                <c:pt idx="691">
                  <c:v>12.039099999999884</c:v>
                </c:pt>
                <c:pt idx="692">
                  <c:v>12.039199999999884</c:v>
                </c:pt>
                <c:pt idx="693">
                  <c:v>12.039299999999884</c:v>
                </c:pt>
                <c:pt idx="694">
                  <c:v>12.039399999999883</c:v>
                </c:pt>
                <c:pt idx="695">
                  <c:v>12.039499999999883</c:v>
                </c:pt>
                <c:pt idx="696">
                  <c:v>12.039599999999883</c:v>
                </c:pt>
                <c:pt idx="697">
                  <c:v>12.039699999999883</c:v>
                </c:pt>
                <c:pt idx="698">
                  <c:v>12.039799999999882</c:v>
                </c:pt>
                <c:pt idx="699">
                  <c:v>12.039899999999882</c:v>
                </c:pt>
                <c:pt idx="700">
                  <c:v>12.039999999999882</c:v>
                </c:pt>
                <c:pt idx="701">
                  <c:v>12.040099999999882</c:v>
                </c:pt>
                <c:pt idx="702">
                  <c:v>12.040199999999881</c:v>
                </c:pt>
                <c:pt idx="703">
                  <c:v>12.040299999999881</c:v>
                </c:pt>
                <c:pt idx="704">
                  <c:v>12.040399999999881</c:v>
                </c:pt>
                <c:pt idx="705">
                  <c:v>12.040499999999881</c:v>
                </c:pt>
                <c:pt idx="706">
                  <c:v>12.040599999999881</c:v>
                </c:pt>
                <c:pt idx="707">
                  <c:v>12.04069999999988</c:v>
                </c:pt>
                <c:pt idx="708">
                  <c:v>12.04079999999988</c:v>
                </c:pt>
                <c:pt idx="709">
                  <c:v>12.04089999999988</c:v>
                </c:pt>
                <c:pt idx="710">
                  <c:v>12.04099999999988</c:v>
                </c:pt>
                <c:pt idx="711">
                  <c:v>12.041099999999879</c:v>
                </c:pt>
                <c:pt idx="712">
                  <c:v>12.041199999999879</c:v>
                </c:pt>
                <c:pt idx="713">
                  <c:v>12.041299999999879</c:v>
                </c:pt>
                <c:pt idx="714">
                  <c:v>12.041399999999879</c:v>
                </c:pt>
                <c:pt idx="715">
                  <c:v>12.041499999999878</c:v>
                </c:pt>
                <c:pt idx="716">
                  <c:v>12.041599999999878</c:v>
                </c:pt>
                <c:pt idx="717">
                  <c:v>12.041699999999878</c:v>
                </c:pt>
                <c:pt idx="718">
                  <c:v>12.041799999999878</c:v>
                </c:pt>
                <c:pt idx="719">
                  <c:v>12.041899999999877</c:v>
                </c:pt>
                <c:pt idx="720">
                  <c:v>12.041999999999877</c:v>
                </c:pt>
                <c:pt idx="721">
                  <c:v>12.042099999999877</c:v>
                </c:pt>
                <c:pt idx="722">
                  <c:v>12.042199999999877</c:v>
                </c:pt>
                <c:pt idx="723">
                  <c:v>12.042299999999877</c:v>
                </c:pt>
                <c:pt idx="724">
                  <c:v>12.042399999999876</c:v>
                </c:pt>
                <c:pt idx="725">
                  <c:v>12.042499999999876</c:v>
                </c:pt>
                <c:pt idx="726">
                  <c:v>12.042599999999876</c:v>
                </c:pt>
                <c:pt idx="727">
                  <c:v>12.042699999999876</c:v>
                </c:pt>
                <c:pt idx="728">
                  <c:v>12.042799999999875</c:v>
                </c:pt>
                <c:pt idx="729">
                  <c:v>12.042899999999875</c:v>
                </c:pt>
                <c:pt idx="730">
                  <c:v>12.042999999999875</c:v>
                </c:pt>
                <c:pt idx="731">
                  <c:v>12.043099999999875</c:v>
                </c:pt>
                <c:pt idx="732">
                  <c:v>12.043199999999874</c:v>
                </c:pt>
                <c:pt idx="733">
                  <c:v>12.043299999999874</c:v>
                </c:pt>
                <c:pt idx="734">
                  <c:v>12.043399999999874</c:v>
                </c:pt>
                <c:pt idx="735">
                  <c:v>12.043499999999874</c:v>
                </c:pt>
                <c:pt idx="736">
                  <c:v>12.043599999999874</c:v>
                </c:pt>
                <c:pt idx="737">
                  <c:v>12.043699999999873</c:v>
                </c:pt>
                <c:pt idx="738">
                  <c:v>12.043799999999873</c:v>
                </c:pt>
                <c:pt idx="739">
                  <c:v>12.043899999999873</c:v>
                </c:pt>
                <c:pt idx="740">
                  <c:v>12.043999999999873</c:v>
                </c:pt>
                <c:pt idx="741">
                  <c:v>12.044099999999872</c:v>
                </c:pt>
                <c:pt idx="742">
                  <c:v>12.044199999999872</c:v>
                </c:pt>
                <c:pt idx="743">
                  <c:v>12.044299999999872</c:v>
                </c:pt>
                <c:pt idx="744">
                  <c:v>12.044399999999872</c:v>
                </c:pt>
                <c:pt idx="745">
                  <c:v>12.044499999999871</c:v>
                </c:pt>
                <c:pt idx="746">
                  <c:v>12.044599999999871</c:v>
                </c:pt>
                <c:pt idx="747">
                  <c:v>12.044699999999871</c:v>
                </c:pt>
                <c:pt idx="748">
                  <c:v>12.044799999999871</c:v>
                </c:pt>
                <c:pt idx="749">
                  <c:v>12.04489999999987</c:v>
                </c:pt>
                <c:pt idx="750">
                  <c:v>12.04499999999987</c:v>
                </c:pt>
                <c:pt idx="751">
                  <c:v>12.04509999999987</c:v>
                </c:pt>
                <c:pt idx="752">
                  <c:v>12.04519999999987</c:v>
                </c:pt>
                <c:pt idx="753">
                  <c:v>12.04529999999987</c:v>
                </c:pt>
                <c:pt idx="754">
                  <c:v>12.045399999999869</c:v>
                </c:pt>
                <c:pt idx="755">
                  <c:v>12.045499999999869</c:v>
                </c:pt>
                <c:pt idx="756">
                  <c:v>12.045599999999869</c:v>
                </c:pt>
                <c:pt idx="757">
                  <c:v>12.045699999999869</c:v>
                </c:pt>
                <c:pt idx="758">
                  <c:v>12.045799999999868</c:v>
                </c:pt>
                <c:pt idx="759">
                  <c:v>12.045899999999868</c:v>
                </c:pt>
                <c:pt idx="760">
                  <c:v>12.045999999999868</c:v>
                </c:pt>
                <c:pt idx="761">
                  <c:v>12.046099999999868</c:v>
                </c:pt>
                <c:pt idx="762">
                  <c:v>12.046199999999867</c:v>
                </c:pt>
                <c:pt idx="763">
                  <c:v>12.046299999999867</c:v>
                </c:pt>
                <c:pt idx="764">
                  <c:v>12.046399999999867</c:v>
                </c:pt>
                <c:pt idx="765">
                  <c:v>12.046499999999867</c:v>
                </c:pt>
                <c:pt idx="766">
                  <c:v>12.046599999999867</c:v>
                </c:pt>
                <c:pt idx="767">
                  <c:v>12.046699999999866</c:v>
                </c:pt>
                <c:pt idx="768">
                  <c:v>12.046799999999866</c:v>
                </c:pt>
                <c:pt idx="769">
                  <c:v>12.046899999999866</c:v>
                </c:pt>
                <c:pt idx="770">
                  <c:v>12.046999999999866</c:v>
                </c:pt>
                <c:pt idx="771">
                  <c:v>12.047099999999865</c:v>
                </c:pt>
                <c:pt idx="772">
                  <c:v>12.047199999999865</c:v>
                </c:pt>
                <c:pt idx="773">
                  <c:v>12.047299999999865</c:v>
                </c:pt>
                <c:pt idx="774">
                  <c:v>12.047399999999865</c:v>
                </c:pt>
                <c:pt idx="775">
                  <c:v>12.047499999999864</c:v>
                </c:pt>
                <c:pt idx="776">
                  <c:v>12.047599999999864</c:v>
                </c:pt>
                <c:pt idx="777">
                  <c:v>12.047699999999864</c:v>
                </c:pt>
                <c:pt idx="778">
                  <c:v>12.047799999999864</c:v>
                </c:pt>
                <c:pt idx="779">
                  <c:v>12.047899999999863</c:v>
                </c:pt>
                <c:pt idx="780">
                  <c:v>12.047999999999863</c:v>
                </c:pt>
                <c:pt idx="781">
                  <c:v>12.048099999999863</c:v>
                </c:pt>
                <c:pt idx="782">
                  <c:v>12.048199999999863</c:v>
                </c:pt>
                <c:pt idx="783">
                  <c:v>12.048299999999863</c:v>
                </c:pt>
                <c:pt idx="784">
                  <c:v>12.048399999999862</c:v>
                </c:pt>
                <c:pt idx="785">
                  <c:v>12.048499999999862</c:v>
                </c:pt>
                <c:pt idx="786">
                  <c:v>12.048599999999862</c:v>
                </c:pt>
                <c:pt idx="787">
                  <c:v>12.048699999999862</c:v>
                </c:pt>
                <c:pt idx="788">
                  <c:v>12.048799999999861</c:v>
                </c:pt>
                <c:pt idx="789">
                  <c:v>12.048899999999861</c:v>
                </c:pt>
                <c:pt idx="790">
                  <c:v>12.048999999999861</c:v>
                </c:pt>
                <c:pt idx="791">
                  <c:v>12.049099999999861</c:v>
                </c:pt>
                <c:pt idx="792">
                  <c:v>12.04919999999986</c:v>
                </c:pt>
                <c:pt idx="793">
                  <c:v>12.04929999999986</c:v>
                </c:pt>
                <c:pt idx="794">
                  <c:v>12.04939999999986</c:v>
                </c:pt>
                <c:pt idx="795">
                  <c:v>12.04949999999986</c:v>
                </c:pt>
                <c:pt idx="796">
                  <c:v>12.04959999999986</c:v>
                </c:pt>
                <c:pt idx="797">
                  <c:v>12.049699999999859</c:v>
                </c:pt>
                <c:pt idx="798">
                  <c:v>12.049799999999859</c:v>
                </c:pt>
                <c:pt idx="799">
                  <c:v>12.049899999999859</c:v>
                </c:pt>
                <c:pt idx="800">
                  <c:v>12.049999999999859</c:v>
                </c:pt>
                <c:pt idx="801">
                  <c:v>12.050099999999858</c:v>
                </c:pt>
                <c:pt idx="802">
                  <c:v>12.050199999999858</c:v>
                </c:pt>
                <c:pt idx="803">
                  <c:v>12.050299999999858</c:v>
                </c:pt>
                <c:pt idx="804">
                  <c:v>12.050399999999858</c:v>
                </c:pt>
                <c:pt idx="805">
                  <c:v>12.050499999999857</c:v>
                </c:pt>
                <c:pt idx="806">
                  <c:v>12.050599999999857</c:v>
                </c:pt>
                <c:pt idx="807">
                  <c:v>12.050699999999857</c:v>
                </c:pt>
                <c:pt idx="808">
                  <c:v>12.050799999999857</c:v>
                </c:pt>
                <c:pt idx="809">
                  <c:v>12.050899999999857</c:v>
                </c:pt>
                <c:pt idx="810">
                  <c:v>12.050999999999856</c:v>
                </c:pt>
                <c:pt idx="811">
                  <c:v>12.051099999999856</c:v>
                </c:pt>
                <c:pt idx="812">
                  <c:v>12.051199999999856</c:v>
                </c:pt>
                <c:pt idx="813">
                  <c:v>12.051299999999856</c:v>
                </c:pt>
                <c:pt idx="814">
                  <c:v>12.051399999999855</c:v>
                </c:pt>
                <c:pt idx="815">
                  <c:v>12.051499999999855</c:v>
                </c:pt>
                <c:pt idx="816">
                  <c:v>12.051599999999855</c:v>
                </c:pt>
                <c:pt idx="817">
                  <c:v>12.051699999999855</c:v>
                </c:pt>
                <c:pt idx="818">
                  <c:v>12.051799999999854</c:v>
                </c:pt>
                <c:pt idx="819">
                  <c:v>12.051899999999854</c:v>
                </c:pt>
                <c:pt idx="820">
                  <c:v>12.051999999999854</c:v>
                </c:pt>
                <c:pt idx="821">
                  <c:v>12.052099999999854</c:v>
                </c:pt>
                <c:pt idx="822">
                  <c:v>12.052199999999853</c:v>
                </c:pt>
                <c:pt idx="823">
                  <c:v>12.052299999999853</c:v>
                </c:pt>
                <c:pt idx="824">
                  <c:v>12.052399999999853</c:v>
                </c:pt>
                <c:pt idx="825">
                  <c:v>12.052499999999853</c:v>
                </c:pt>
                <c:pt idx="826">
                  <c:v>12.052599999999853</c:v>
                </c:pt>
                <c:pt idx="827">
                  <c:v>12.052699999999852</c:v>
                </c:pt>
                <c:pt idx="828">
                  <c:v>12.052799999999852</c:v>
                </c:pt>
                <c:pt idx="829">
                  <c:v>12.052899999999852</c:v>
                </c:pt>
                <c:pt idx="830">
                  <c:v>12.052999999999852</c:v>
                </c:pt>
                <c:pt idx="831">
                  <c:v>12.053099999999851</c:v>
                </c:pt>
                <c:pt idx="832">
                  <c:v>12.053199999999851</c:v>
                </c:pt>
                <c:pt idx="833">
                  <c:v>12.053299999999851</c:v>
                </c:pt>
                <c:pt idx="834">
                  <c:v>12.053399999999851</c:v>
                </c:pt>
                <c:pt idx="835">
                  <c:v>12.05349999999985</c:v>
                </c:pt>
                <c:pt idx="836">
                  <c:v>12.05359999999985</c:v>
                </c:pt>
                <c:pt idx="837">
                  <c:v>12.05369999999985</c:v>
                </c:pt>
                <c:pt idx="838">
                  <c:v>12.05379999999985</c:v>
                </c:pt>
                <c:pt idx="839">
                  <c:v>12.05389999999985</c:v>
                </c:pt>
                <c:pt idx="840">
                  <c:v>12.053999999999849</c:v>
                </c:pt>
                <c:pt idx="841">
                  <c:v>12.054099999999849</c:v>
                </c:pt>
                <c:pt idx="842">
                  <c:v>12.054199999999849</c:v>
                </c:pt>
                <c:pt idx="843">
                  <c:v>12.054299999999849</c:v>
                </c:pt>
                <c:pt idx="844">
                  <c:v>12.054399999999848</c:v>
                </c:pt>
                <c:pt idx="845">
                  <c:v>12.054499999999848</c:v>
                </c:pt>
                <c:pt idx="846">
                  <c:v>12.054599999999848</c:v>
                </c:pt>
                <c:pt idx="847">
                  <c:v>12.054699999999848</c:v>
                </c:pt>
                <c:pt idx="848">
                  <c:v>12.054799999999847</c:v>
                </c:pt>
                <c:pt idx="849">
                  <c:v>12.054899999999847</c:v>
                </c:pt>
                <c:pt idx="850">
                  <c:v>12.054999999999847</c:v>
                </c:pt>
                <c:pt idx="851">
                  <c:v>12.055099999999847</c:v>
                </c:pt>
                <c:pt idx="852">
                  <c:v>12.055199999999846</c:v>
                </c:pt>
                <c:pt idx="853">
                  <c:v>12.055299999999846</c:v>
                </c:pt>
                <c:pt idx="854">
                  <c:v>12.055399999999846</c:v>
                </c:pt>
                <c:pt idx="855">
                  <c:v>12.055499999999846</c:v>
                </c:pt>
                <c:pt idx="856">
                  <c:v>12.055599999999846</c:v>
                </c:pt>
                <c:pt idx="857">
                  <c:v>12.055699999999845</c:v>
                </c:pt>
                <c:pt idx="858">
                  <c:v>12.055799999999845</c:v>
                </c:pt>
                <c:pt idx="859">
                  <c:v>12.055899999999845</c:v>
                </c:pt>
                <c:pt idx="860">
                  <c:v>12.055999999999845</c:v>
                </c:pt>
                <c:pt idx="861">
                  <c:v>12.056099999999844</c:v>
                </c:pt>
                <c:pt idx="862">
                  <c:v>12.056199999999844</c:v>
                </c:pt>
                <c:pt idx="863">
                  <c:v>12.056299999999844</c:v>
                </c:pt>
                <c:pt idx="864">
                  <c:v>12.056399999999844</c:v>
                </c:pt>
                <c:pt idx="865">
                  <c:v>12.056499999999843</c:v>
                </c:pt>
                <c:pt idx="866">
                  <c:v>12.056599999999843</c:v>
                </c:pt>
                <c:pt idx="867">
                  <c:v>12.056699999999843</c:v>
                </c:pt>
                <c:pt idx="868">
                  <c:v>12.056799999999843</c:v>
                </c:pt>
                <c:pt idx="869">
                  <c:v>12.056899999999843</c:v>
                </c:pt>
                <c:pt idx="870">
                  <c:v>12.056999999999842</c:v>
                </c:pt>
                <c:pt idx="871">
                  <c:v>12.057099999999842</c:v>
                </c:pt>
                <c:pt idx="872">
                  <c:v>12.057199999999842</c:v>
                </c:pt>
                <c:pt idx="873">
                  <c:v>12.057299999999842</c:v>
                </c:pt>
                <c:pt idx="874">
                  <c:v>12.057399999999841</c:v>
                </c:pt>
                <c:pt idx="875">
                  <c:v>12.057499999999841</c:v>
                </c:pt>
                <c:pt idx="876">
                  <c:v>12.057599999999841</c:v>
                </c:pt>
                <c:pt idx="877">
                  <c:v>12.057699999999841</c:v>
                </c:pt>
                <c:pt idx="878">
                  <c:v>12.05779999999984</c:v>
                </c:pt>
                <c:pt idx="879">
                  <c:v>12.05789999999984</c:v>
                </c:pt>
                <c:pt idx="880">
                  <c:v>12.05799999999984</c:v>
                </c:pt>
                <c:pt idx="881">
                  <c:v>12.05809999999984</c:v>
                </c:pt>
                <c:pt idx="882">
                  <c:v>12.058199999999839</c:v>
                </c:pt>
                <c:pt idx="883">
                  <c:v>12.058299999999839</c:v>
                </c:pt>
                <c:pt idx="884">
                  <c:v>12.058399999999839</c:v>
                </c:pt>
                <c:pt idx="885">
                  <c:v>12.058499999999839</c:v>
                </c:pt>
                <c:pt idx="886">
                  <c:v>12.058599999999839</c:v>
                </c:pt>
                <c:pt idx="887">
                  <c:v>12.058699999999838</c:v>
                </c:pt>
                <c:pt idx="888">
                  <c:v>12.058799999999838</c:v>
                </c:pt>
                <c:pt idx="889">
                  <c:v>12.058899999999838</c:v>
                </c:pt>
                <c:pt idx="890">
                  <c:v>12.058999999999838</c:v>
                </c:pt>
                <c:pt idx="891">
                  <c:v>12.059099999999837</c:v>
                </c:pt>
                <c:pt idx="892">
                  <c:v>12.059199999999837</c:v>
                </c:pt>
                <c:pt idx="893">
                  <c:v>12.059299999999837</c:v>
                </c:pt>
                <c:pt idx="894">
                  <c:v>12.059399999999837</c:v>
                </c:pt>
                <c:pt idx="895">
                  <c:v>12.059499999999836</c:v>
                </c:pt>
                <c:pt idx="896">
                  <c:v>12.059599999999836</c:v>
                </c:pt>
                <c:pt idx="897">
                  <c:v>12.059699999999836</c:v>
                </c:pt>
                <c:pt idx="898">
                  <c:v>12.059799999999836</c:v>
                </c:pt>
                <c:pt idx="899">
                  <c:v>12.059899999999836</c:v>
                </c:pt>
                <c:pt idx="900">
                  <c:v>12.059999999999835</c:v>
                </c:pt>
                <c:pt idx="901">
                  <c:v>12.060099999999835</c:v>
                </c:pt>
                <c:pt idx="902">
                  <c:v>12.060199999999835</c:v>
                </c:pt>
                <c:pt idx="903">
                  <c:v>12.060299999999835</c:v>
                </c:pt>
                <c:pt idx="904">
                  <c:v>12.060399999999834</c:v>
                </c:pt>
                <c:pt idx="905">
                  <c:v>12.060499999999834</c:v>
                </c:pt>
                <c:pt idx="906">
                  <c:v>12.060599999999834</c:v>
                </c:pt>
                <c:pt idx="907">
                  <c:v>12.060699999999834</c:v>
                </c:pt>
                <c:pt idx="908">
                  <c:v>12.060799999999833</c:v>
                </c:pt>
                <c:pt idx="909">
                  <c:v>12.060899999999833</c:v>
                </c:pt>
                <c:pt idx="910">
                  <c:v>12.060999999999833</c:v>
                </c:pt>
                <c:pt idx="911">
                  <c:v>12.061099999999833</c:v>
                </c:pt>
                <c:pt idx="912">
                  <c:v>12.061199999999832</c:v>
                </c:pt>
                <c:pt idx="913">
                  <c:v>12.061299999999832</c:v>
                </c:pt>
                <c:pt idx="914">
                  <c:v>12.061399999999832</c:v>
                </c:pt>
                <c:pt idx="915">
                  <c:v>12.061499999999832</c:v>
                </c:pt>
                <c:pt idx="916">
                  <c:v>12.061599999999832</c:v>
                </c:pt>
                <c:pt idx="917">
                  <c:v>12.061699999999831</c:v>
                </c:pt>
                <c:pt idx="918">
                  <c:v>12.061799999999831</c:v>
                </c:pt>
                <c:pt idx="919">
                  <c:v>12.061899999999831</c:v>
                </c:pt>
                <c:pt idx="920">
                  <c:v>12.061999999999831</c:v>
                </c:pt>
                <c:pt idx="921">
                  <c:v>12.06209999999983</c:v>
                </c:pt>
                <c:pt idx="922">
                  <c:v>12.06219999999983</c:v>
                </c:pt>
                <c:pt idx="923">
                  <c:v>12.06229999999983</c:v>
                </c:pt>
                <c:pt idx="924">
                  <c:v>12.06239999999983</c:v>
                </c:pt>
                <c:pt idx="925">
                  <c:v>12.062499999999829</c:v>
                </c:pt>
                <c:pt idx="926">
                  <c:v>12.062599999999829</c:v>
                </c:pt>
                <c:pt idx="927">
                  <c:v>12.062699999999829</c:v>
                </c:pt>
                <c:pt idx="928">
                  <c:v>12.062799999999829</c:v>
                </c:pt>
                <c:pt idx="929">
                  <c:v>12.062899999999829</c:v>
                </c:pt>
                <c:pt idx="930">
                  <c:v>12.062999999999828</c:v>
                </c:pt>
                <c:pt idx="931">
                  <c:v>12.063099999999828</c:v>
                </c:pt>
                <c:pt idx="932">
                  <c:v>12.063199999999828</c:v>
                </c:pt>
                <c:pt idx="933">
                  <c:v>12.063299999999828</c:v>
                </c:pt>
                <c:pt idx="934">
                  <c:v>12.063399999999827</c:v>
                </c:pt>
                <c:pt idx="935">
                  <c:v>12.063499999999827</c:v>
                </c:pt>
                <c:pt idx="936">
                  <c:v>12.063599999999827</c:v>
                </c:pt>
                <c:pt idx="937">
                  <c:v>12.063699999999827</c:v>
                </c:pt>
                <c:pt idx="938">
                  <c:v>12.063799999999826</c:v>
                </c:pt>
                <c:pt idx="939">
                  <c:v>12.063899999999826</c:v>
                </c:pt>
                <c:pt idx="940">
                  <c:v>12.063999999999826</c:v>
                </c:pt>
                <c:pt idx="941">
                  <c:v>12.064099999999826</c:v>
                </c:pt>
                <c:pt idx="942">
                  <c:v>12.064199999999826</c:v>
                </c:pt>
                <c:pt idx="943">
                  <c:v>12.064299999999825</c:v>
                </c:pt>
                <c:pt idx="944">
                  <c:v>12.064399999999825</c:v>
                </c:pt>
                <c:pt idx="945">
                  <c:v>12.064499999999825</c:v>
                </c:pt>
                <c:pt idx="946">
                  <c:v>12.064599999999825</c:v>
                </c:pt>
                <c:pt idx="947">
                  <c:v>12.064699999999824</c:v>
                </c:pt>
                <c:pt idx="948">
                  <c:v>12.064799999999824</c:v>
                </c:pt>
                <c:pt idx="949">
                  <c:v>12.064899999999824</c:v>
                </c:pt>
                <c:pt idx="950">
                  <c:v>12.064999999999824</c:v>
                </c:pt>
                <c:pt idx="951">
                  <c:v>12.065099999999823</c:v>
                </c:pt>
                <c:pt idx="952">
                  <c:v>12.065199999999823</c:v>
                </c:pt>
                <c:pt idx="953">
                  <c:v>12.065299999999823</c:v>
                </c:pt>
                <c:pt idx="954">
                  <c:v>12.065399999999823</c:v>
                </c:pt>
                <c:pt idx="955">
                  <c:v>12.065499999999822</c:v>
                </c:pt>
                <c:pt idx="956">
                  <c:v>12.065599999999822</c:v>
                </c:pt>
                <c:pt idx="957">
                  <c:v>12.065699999999822</c:v>
                </c:pt>
                <c:pt idx="958">
                  <c:v>12.065799999999822</c:v>
                </c:pt>
                <c:pt idx="959">
                  <c:v>12.065899999999822</c:v>
                </c:pt>
                <c:pt idx="960">
                  <c:v>12.065999999999821</c:v>
                </c:pt>
                <c:pt idx="961">
                  <c:v>12.066099999999821</c:v>
                </c:pt>
                <c:pt idx="962">
                  <c:v>12.066199999999821</c:v>
                </c:pt>
                <c:pt idx="963">
                  <c:v>12.066299999999821</c:v>
                </c:pt>
                <c:pt idx="964">
                  <c:v>12.06639999999982</c:v>
                </c:pt>
                <c:pt idx="965">
                  <c:v>12.06649999999982</c:v>
                </c:pt>
                <c:pt idx="966">
                  <c:v>12.06659999999982</c:v>
                </c:pt>
                <c:pt idx="967">
                  <c:v>12.06669999999982</c:v>
                </c:pt>
                <c:pt idx="968">
                  <c:v>12.066799999999819</c:v>
                </c:pt>
                <c:pt idx="969">
                  <c:v>12.066899999999819</c:v>
                </c:pt>
                <c:pt idx="970">
                  <c:v>12.066999999999819</c:v>
                </c:pt>
                <c:pt idx="971">
                  <c:v>12.067099999999819</c:v>
                </c:pt>
                <c:pt idx="972">
                  <c:v>12.067199999999819</c:v>
                </c:pt>
                <c:pt idx="973">
                  <c:v>12.067299999999818</c:v>
                </c:pt>
                <c:pt idx="974">
                  <c:v>12.067399999999818</c:v>
                </c:pt>
                <c:pt idx="975">
                  <c:v>12.067499999999818</c:v>
                </c:pt>
                <c:pt idx="976">
                  <c:v>12.067599999999818</c:v>
                </c:pt>
                <c:pt idx="977">
                  <c:v>12.067699999999817</c:v>
                </c:pt>
                <c:pt idx="978">
                  <c:v>12.067799999999817</c:v>
                </c:pt>
                <c:pt idx="979">
                  <c:v>12.067899999999817</c:v>
                </c:pt>
                <c:pt idx="980">
                  <c:v>12.067999999999817</c:v>
                </c:pt>
                <c:pt idx="981">
                  <c:v>12.068099999999816</c:v>
                </c:pt>
                <c:pt idx="982">
                  <c:v>12.068199999999816</c:v>
                </c:pt>
                <c:pt idx="983">
                  <c:v>12.068299999999816</c:v>
                </c:pt>
                <c:pt idx="984">
                  <c:v>12.068399999999816</c:v>
                </c:pt>
                <c:pt idx="985">
                  <c:v>12.068499999999815</c:v>
                </c:pt>
                <c:pt idx="986">
                  <c:v>12.068599999999815</c:v>
                </c:pt>
                <c:pt idx="987">
                  <c:v>12.068699999999815</c:v>
                </c:pt>
                <c:pt idx="988">
                  <c:v>12.068799999999815</c:v>
                </c:pt>
                <c:pt idx="989">
                  <c:v>12.068899999999815</c:v>
                </c:pt>
                <c:pt idx="990">
                  <c:v>12.068999999999814</c:v>
                </c:pt>
                <c:pt idx="991">
                  <c:v>12.069099999999814</c:v>
                </c:pt>
                <c:pt idx="992">
                  <c:v>12.069199999999814</c:v>
                </c:pt>
                <c:pt idx="993">
                  <c:v>12.069299999999814</c:v>
                </c:pt>
                <c:pt idx="994">
                  <c:v>12.069399999999813</c:v>
                </c:pt>
                <c:pt idx="995">
                  <c:v>12.069499999999813</c:v>
                </c:pt>
                <c:pt idx="996">
                  <c:v>12.069599999999813</c:v>
                </c:pt>
                <c:pt idx="997">
                  <c:v>12.069699999999813</c:v>
                </c:pt>
                <c:pt idx="998">
                  <c:v>12.069799999999812</c:v>
                </c:pt>
                <c:pt idx="999">
                  <c:v>12.069899999999812</c:v>
                </c:pt>
                <c:pt idx="1000">
                  <c:v>12.069999999999812</c:v>
                </c:pt>
              </c:numCache>
            </c:numRef>
          </c:xVal>
          <c:yVal>
            <c:numRef>
              <c:f>Calculs!$AE$4:$AE$1004</c:f>
              <c:numCache>
                <c:formatCode>0</c:formatCode>
                <c:ptCount val="1001"/>
                <c:pt idx="0">
                  <c:v>0</c:v>
                </c:pt>
                <c:pt idx="1">
                  <c:v>9.5476849499258624E-4</c:v>
                </c:pt>
                <c:pt idx="2">
                  <c:v>6.7041506585954914E-3</c:v>
                </c:pt>
                <c:pt idx="3">
                  <c:v>2.1347892084722167E-2</c:v>
                </c:pt>
                <c:pt idx="4">
                  <c:v>4.5641448750859806E-2</c:v>
                </c:pt>
                <c:pt idx="5">
                  <c:v>7.8886855363211827E-2</c:v>
                </c:pt>
                <c:pt idx="6">
                  <c:v>0.12082755256820427</c:v>
                </c:pt>
                <c:pt idx="7">
                  <c:v>0.17142780490487936</c:v>
                </c:pt>
                <c:pt idx="8">
                  <c:v>0.23065163508789061</c:v>
                </c:pt>
                <c:pt idx="9">
                  <c:v>0.29846282623171161</c:v>
                </c:pt>
                <c:pt idx="10">
                  <c:v>0.37482492409416895</c:v>
                </c:pt>
                <c:pt idx="11">
                  <c:v>0.45970123933881296</c:v>
                </c:pt>
                <c:pt idx="12">
                  <c:v>0.55305484981563557</c:v>
                </c:pt>
                <c:pt idx="13">
                  <c:v>0.65484860285964364</c:v>
                </c:pt>
                <c:pt idx="14">
                  <c:v>0.76504511760679228</c:v>
                </c:pt>
                <c:pt idx="15">
                  <c:v>0.88360678732678144</c:v>
                </c:pt>
                <c:pt idx="16">
                  <c:v>1.010495781772216</c:v>
                </c:pt>
                <c:pt idx="17">
                  <c:v>1.1456740495436277</c:v>
                </c:pt>
                <c:pt idx="18">
                  <c:v>1.2891033204698563</c:v>
                </c:pt>
                <c:pt idx="19">
                  <c:v>1.4407451080032851</c:v>
                </c:pt>
                <c:pt idx="20">
                  <c:v>1.6005607116294238</c:v>
                </c:pt>
                <c:pt idx="21">
                  <c:v>1.7685112192903334</c:v>
                </c:pt>
                <c:pt idx="22">
                  <c:v>1.9445575098213814</c:v>
                </c:pt>
                <c:pt idx="23">
                  <c:v>2.1286602554008214</c:v>
                </c:pt>
                <c:pt idx="24">
                  <c:v>2.3207799240116849</c:v>
                </c:pt>
                <c:pt idx="25">
                  <c:v>2.5208767819154749</c:v>
                </c:pt>
                <c:pt idx="26">
                  <c:v>2.7289071684632513</c:v>
                </c:pt>
                <c:pt idx="27">
                  <c:v>2.9448270722619618</c:v>
                </c:pt>
                <c:pt idx="28">
                  <c:v>3.1685958650668411</c:v>
                </c:pt>
                <c:pt idx="29">
                  <c:v>3.4001727359070255</c:v>
                </c:pt>
                <c:pt idx="30">
                  <c:v>3.6395166948821154</c:v>
                </c:pt>
                <c:pt idx="31">
                  <c:v>3.8865865751309832</c:v>
                </c:pt>
                <c:pt idx="32">
                  <c:v>4.1413410348610018</c:v>
                </c:pt>
                <c:pt idx="33">
                  <c:v>4.4037385594307912</c:v>
                </c:pt>
                <c:pt idx="34">
                  <c:v>4.6737374634805438</c:v>
                </c:pt>
                <c:pt idx="35">
                  <c:v>4.9512958931047795</c:v>
                </c:pt>
                <c:pt idx="36">
                  <c:v>5.2363718280630369</c:v>
                </c:pt>
                <c:pt idx="37">
                  <c:v>5.5289230840245649</c:v>
                </c:pt>
                <c:pt idx="38">
                  <c:v>5.8289073148435193</c:v>
                </c:pt>
                <c:pt idx="39">
                  <c:v>6.1362820148615835</c:v>
                </c:pt>
                <c:pt idx="40">
                  <c:v>6.4510045212352356</c:v>
                </c:pt>
                <c:pt idx="41">
                  <c:v>6.773032016285188</c:v>
                </c:pt>
                <c:pt idx="42">
                  <c:v>7.1023215298657449</c:v>
                </c:pt>
                <c:pt idx="43">
                  <c:v>7.4388299417520543</c:v>
                </c:pt>
                <c:pt idx="44">
                  <c:v>7.7825139840433817</c:v>
                </c:pt>
                <c:pt idx="45">
                  <c:v>8.133330243580712</c:v>
                </c:pt>
                <c:pt idx="46">
                  <c:v>8.4912351643771107</c:v>
                </c:pt>
                <c:pt idx="47">
                  <c:v>8.856185050059393</c:v>
                </c:pt>
                <c:pt idx="48">
                  <c:v>9.2281360663197596</c:v>
                </c:pt>
                <c:pt idx="49">
                  <c:v>9.6070442433761354</c:v>
                </c:pt>
                <c:pt idx="50">
                  <c:v>9.9928654784400557</c:v>
                </c:pt>
                <c:pt idx="51">
                  <c:v>10.385555538190985</c:v>
                </c:pt>
                <c:pt idx="52">
                  <c:v>10.785070061256034</c:v>
                </c:pt>
                <c:pt idx="53">
                  <c:v>11.191364560694105</c:v>
                </c:pt>
                <c:pt idx="54">
                  <c:v>11.604394426483534</c:v>
                </c:pt>
                <c:pt idx="55">
                  <c:v>12.024114928012343</c:v>
                </c:pt>
                <c:pt idx="56">
                  <c:v>12.450481216570271</c:v>
                </c:pt>
                <c:pt idx="57">
                  <c:v>12.883448327841787</c:v>
                </c:pt>
                <c:pt idx="58">
                  <c:v>13.322971184399307</c:v>
                </c:pt>
                <c:pt idx="59">
                  <c:v>13.769004598195895</c:v>
                </c:pt>
                <c:pt idx="60">
                  <c:v>14.221503273056737</c:v>
                </c:pt>
                <c:pt idx="61">
                  <c:v>14.680421807168704</c:v>
                </c:pt>
                <c:pt idx="62">
                  <c:v>15.145714695567374</c:v>
                </c:pt>
                <c:pt idx="63">
                  <c:v>15.617316903013398</c:v>
                </c:pt>
                <c:pt idx="64">
                  <c:v>16.095124431270687</c:v>
                </c:pt>
                <c:pt idx="65">
                  <c:v>16.579013756530479</c:v>
                </c:pt>
                <c:pt idx="66">
                  <c:v>17.068861275233086</c:v>
                </c:pt>
                <c:pt idx="67">
                  <c:v>17.564525493092628</c:v>
                </c:pt>
                <c:pt idx="68">
                  <c:v>18.065829212405738</c:v>
                </c:pt>
                <c:pt idx="69">
                  <c:v>18.572545671116956</c:v>
                </c:pt>
                <c:pt idx="70">
                  <c:v>19.084384688712674</c:v>
                </c:pt>
                <c:pt idx="71">
                  <c:v>19.601024408415785</c:v>
                </c:pt>
                <c:pt idx="72">
                  <c:v>20.122143044437539</c:v>
                </c:pt>
                <c:pt idx="73">
                  <c:v>20.647418910002198</c:v>
                </c:pt>
                <c:pt idx="74">
                  <c:v>21.17653044456943</c:v>
                </c:pt>
                <c:pt idx="75">
                  <c:v>21.709156240248184</c:v>
                </c:pt>
                <c:pt idx="76">
                  <c:v>22.244975067396553</c:v>
                </c:pt>
                <c:pt idx="77">
                  <c:v>22.783665899402816</c:v>
                </c:pt>
                <c:pt idx="78">
                  <c:v>23.324907936643587</c:v>
                </c:pt>
                <c:pt idx="79">
                  <c:v>23.868380629615611</c:v>
                </c:pt>
                <c:pt idx="80">
                  <c:v>24.413763701238416</c:v>
                </c:pt>
                <c:pt idx="81">
                  <c:v>24.960774904383236</c:v>
                </c:pt>
                <c:pt idx="82">
                  <c:v>25.509207741852734</c:v>
                </c:pt>
                <c:pt idx="83">
                  <c:v>26.058893663775766</c:v>
                </c:pt>
                <c:pt idx="84">
                  <c:v>26.609664294624221</c:v>
                </c:pt>
                <c:pt idx="85">
                  <c:v>27.161351439129472</c:v>
                </c:pt>
                <c:pt idx="86">
                  <c:v>27.713787087965549</c:v>
                </c:pt>
                <c:pt idx="87">
                  <c:v>28.266803423199537</c:v>
                </c:pt>
                <c:pt idx="88">
                  <c:v>28.820232823509691</c:v>
                </c:pt>
                <c:pt idx="89">
                  <c:v>29.373919794083825</c:v>
                </c:pt>
                <c:pt idx="90">
                  <c:v>29.927732881649849</c:v>
                </c:pt>
                <c:pt idx="91">
                  <c:v>30.481552722841503</c:v>
                </c:pt>
                <c:pt idx="92">
                  <c:v>31.035260105954482</c:v>
                </c:pt>
                <c:pt idx="93">
                  <c:v>31.588738954775391</c:v>
                </c:pt>
                <c:pt idx="94">
                  <c:v>32.141879308374747</c:v>
                </c:pt>
                <c:pt idx="95">
                  <c:v>32.694574333077455</c:v>
                </c:pt>
                <c:pt idx="96">
                  <c:v>33.246717338059348</c:v>
                </c:pt>
                <c:pt idx="97">
                  <c:v>33.79821370453071</c:v>
                </c:pt>
                <c:pt idx="98">
                  <c:v>34.348992798283383</c:v>
                </c:pt>
                <c:pt idx="99">
                  <c:v>34.898996009247092</c:v>
                </c:pt>
                <c:pt idx="100">
                  <c:v>35.448164807077475</c:v>
                </c:pt>
                <c:pt idx="101">
                  <c:v>35.996440741261011</c:v>
                </c:pt>
                <c:pt idx="102">
                  <c:v>36.543765441193187</c:v>
                </c:pt>
                <c:pt idx="103">
                  <c:v>37.090080616230161</c:v>
                </c:pt>
                <c:pt idx="104">
                  <c:v>37.63532805571402</c:v>
                </c:pt>
                <c:pt idx="105">
                  <c:v>38.179449628971888</c:v>
                </c:pt>
                <c:pt idx="106">
                  <c:v>38.72238728528901</c:v>
                </c:pt>
                <c:pt idx="107">
                  <c:v>39.264083053856019</c:v>
                </c:pt>
                <c:pt idx="108">
                  <c:v>39.804479043690584</c:v>
                </c:pt>
                <c:pt idx="109">
                  <c:v>40.343532352230483</c:v>
                </c:pt>
                <c:pt idx="110">
                  <c:v>40.881229951784142</c:v>
                </c:pt>
                <c:pt idx="111">
                  <c:v>41.41757373720128</c:v>
                </c:pt>
                <c:pt idx="112">
                  <c:v>41.952565595747878</c:v>
                </c:pt>
                <c:pt idx="113">
                  <c:v>42.486207407138416</c:v>
                </c:pt>
                <c:pt idx="114">
                  <c:v>43.018501043567888</c:v>
                </c:pt>
                <c:pt idx="115">
                  <c:v>43.549448369743658</c:v>
                </c:pt>
                <c:pt idx="116">
                  <c:v>44.079051242917082</c:v>
                </c:pt>
                <c:pt idx="117">
                  <c:v>44.607311512914997</c:v>
                </c:pt>
                <c:pt idx="118">
                  <c:v>45.134231022170979</c:v>
                </c:pt>
                <c:pt idx="119">
                  <c:v>45.659811605756445</c:v>
                </c:pt>
                <c:pt idx="120">
                  <c:v>46.184055091411544</c:v>
                </c:pt>
                <c:pt idx="121">
                  <c:v>46.706963299575904</c:v>
                </c:pt>
                <c:pt idx="122">
                  <c:v>47.228538043419157</c:v>
                </c:pt>
                <c:pt idx="123">
                  <c:v>47.748781128871315</c:v>
                </c:pt>
                <c:pt idx="124">
                  <c:v>48.267694354652932</c:v>
                </c:pt>
                <c:pt idx="125">
                  <c:v>48.785279512305145</c:v>
                </c:pt>
                <c:pt idx="126">
                  <c:v>49.30153838621947</c:v>
                </c:pt>
                <c:pt idx="127">
                  <c:v>49.816472753667476</c:v>
                </c:pt>
                <c:pt idx="128">
                  <c:v>50.330084384830265</c:v>
                </c:pt>
                <c:pt idx="129">
                  <c:v>50.842375042827769</c:v>
                </c:pt>
                <c:pt idx="130">
                  <c:v>51.353346483747899</c:v>
                </c:pt>
                <c:pt idx="131">
                  <c:v>51.863000456675501</c:v>
                </c:pt>
                <c:pt idx="132">
                  <c:v>52.371338703721158</c:v>
                </c:pt>
                <c:pt idx="133">
                  <c:v>52.878362960049799</c:v>
                </c:pt>
                <c:pt idx="134">
                  <c:v>53.384074953909192</c:v>
                </c:pt>
                <c:pt idx="135">
                  <c:v>53.888476406658214</c:v>
                </c:pt>
                <c:pt idx="136">
                  <c:v>54.391569032794976</c:v>
                </c:pt>
                <c:pt idx="137">
                  <c:v>54.893354539984799</c:v>
                </c:pt>
                <c:pt idx="138">
                  <c:v>55.393834629088019</c:v>
                </c:pt>
                <c:pt idx="139">
                  <c:v>55.893010994187613</c:v>
                </c:pt>
                <c:pt idx="140">
                  <c:v>56.390885322616697</c:v>
                </c:pt>
                <c:pt idx="141">
                  <c:v>56.887459294985817</c:v>
                </c:pt>
                <c:pt idx="142">
                  <c:v>57.382734585210144</c:v>
                </c:pt>
                <c:pt idx="143">
                  <c:v>57.876712860536443</c:v>
                </c:pt>
                <c:pt idx="144">
                  <c:v>58.369395781569949</c:v>
                </c:pt>
                <c:pt idx="145">
                  <c:v>58.860785002301036</c:v>
                </c:pt>
                <c:pt idx="146">
                  <c:v>59.350882170131769</c:v>
                </c:pt>
                <c:pt idx="147">
                  <c:v>59.839688925902266</c:v>
                </c:pt>
                <c:pt idx="148">
                  <c:v>60.327206903916952</c:v>
                </c:pt>
                <c:pt idx="149">
                  <c:v>60.813437731970623</c:v>
                </c:pt>
                <c:pt idx="150">
                  <c:v>61.298383031374371</c:v>
                </c:pt>
                <c:pt idx="151">
                  <c:v>61.782044416981378</c:v>
                </c:pt>
                <c:pt idx="152">
                  <c:v>62.264423497212526</c:v>
                </c:pt>
                <c:pt idx="153">
                  <c:v>62.745521874081895</c:v>
                </c:pt>
                <c:pt idx="154">
                  <c:v>63.225341143222082</c:v>
                </c:pt>
                <c:pt idx="155">
                  <c:v>63.703882893909409</c:v>
                </c:pt>
                <c:pt idx="156">
                  <c:v>64.181148709088944</c:v>
                </c:pt>
                <c:pt idx="157">
                  <c:v>64.657140165399426</c:v>
                </c:pt>
                <c:pt idx="158">
                  <c:v>65.13185883319801</c:v>
                </c:pt>
                <c:pt idx="159">
                  <c:v>65.605306276584869</c:v>
                </c:pt>
                <c:pt idx="160">
                  <c:v>66.07748405342771</c:v>
                </c:pt>
                <c:pt idx="161">
                  <c:v>66.548393715386041</c:v>
                </c:pt>
                <c:pt idx="162">
                  <c:v>67.018036807935431</c:v>
                </c:pt>
                <c:pt idx="163">
                  <c:v>67.486414870391528</c:v>
                </c:pt>
                <c:pt idx="164">
                  <c:v>67.953529435933987</c:v>
                </c:pt>
                <c:pt idx="165">
                  <c:v>68.419382031630249</c:v>
                </c:pt>
                <c:pt idx="166">
                  <c:v>68.883974178459198</c:v>
                </c:pt>
                <c:pt idx="167">
                  <c:v>69.347307391334652</c:v>
                </c:pt>
                <c:pt idx="168">
                  <c:v>69.809383179128758</c:v>
                </c:pt>
                <c:pt idx="169">
                  <c:v>70.270203044695222</c:v>
                </c:pt>
                <c:pt idx="170">
                  <c:v>70.729768484892418</c:v>
                </c:pt>
                <c:pt idx="171">
                  <c:v>71.188080990606366</c:v>
                </c:pt>
                <c:pt idx="172">
                  <c:v>71.6451420467736</c:v>
                </c:pt>
                <c:pt idx="173">
                  <c:v>72.100953132403873</c:v>
                </c:pt>
                <c:pt idx="174">
                  <c:v>72.555515720602742</c:v>
                </c:pt>
                <c:pt idx="175">
                  <c:v>73.008831278594016</c:v>
                </c:pt>
                <c:pt idx="176">
                  <c:v>73.460901267742116</c:v>
                </c:pt>
                <c:pt idx="177">
                  <c:v>73.911727143574268</c:v>
                </c:pt>
                <c:pt idx="178">
                  <c:v>74.361310355802573</c:v>
                </c:pt>
                <c:pt idx="179">
                  <c:v>74.809652348345992</c:v>
                </c:pt>
                <c:pt idx="180">
                  <c:v>75.256754559352117</c:v>
                </c:pt>
                <c:pt idx="181">
                  <c:v>75.702618421218958</c:v>
                </c:pt>
                <c:pt idx="182">
                  <c:v>76.147245360616452</c:v>
                </c:pt>
                <c:pt idx="183">
                  <c:v>76.590636798507987</c:v>
                </c:pt>
                <c:pt idx="184">
                  <c:v>77.032794150171682</c:v>
                </c:pt>
                <c:pt idx="185">
                  <c:v>77.473718825221653</c:v>
                </c:pt>
                <c:pt idx="186">
                  <c:v>77.913412227629081</c:v>
                </c:pt>
                <c:pt idx="187">
                  <c:v>78.351875755743237</c:v>
                </c:pt>
                <c:pt idx="188">
                  <c:v>78.789110802312294</c:v>
                </c:pt>
                <c:pt idx="189">
                  <c:v>79.225118754504081</c:v>
                </c:pt>
                <c:pt idx="190">
                  <c:v>79.659900993926755</c:v>
                </c:pt>
                <c:pt idx="191">
                  <c:v>80.093458896649238</c:v>
                </c:pt>
                <c:pt idx="192">
                  <c:v>80.525793833221684</c:v>
                </c:pt>
                <c:pt idx="193">
                  <c:v>80.956907168695707</c:v>
                </c:pt>
                <c:pt idx="194">
                  <c:v>81.386800262644599</c:v>
                </c:pt>
                <c:pt idx="195">
                  <c:v>81.815474469183314</c:v>
                </c:pt>
                <c:pt idx="196">
                  <c:v>82.242931136988474</c:v>
                </c:pt>
                <c:pt idx="197">
                  <c:v>82.66917160931817</c:v>
                </c:pt>
                <c:pt idx="198">
                  <c:v>83.09419722403166</c:v>
                </c:pt>
                <c:pt idx="199">
                  <c:v>83.518009313609014</c:v>
                </c:pt>
                <c:pt idx="200">
                  <c:v>83.940609205170588</c:v>
                </c:pt>
                <c:pt idx="201">
                  <c:v>88.10003960790084</c:v>
                </c:pt>
                <c:pt idx="202">
                  <c:v>92.13909652460832</c:v>
                </c:pt>
                <c:pt idx="203">
                  <c:v>96.059050358541484</c:v>
                </c:pt>
                <c:pt idx="204">
                  <c:v>99.861120497665453</c:v>
                </c:pt>
                <c:pt idx="205">
                  <c:v>103.5464770759672</c:v>
                </c:pt>
                <c:pt idx="206">
                  <c:v>107.11624263826782</c:v>
                </c:pt>
                <c:pt idx="207">
                  <c:v>110.5714937140406</c:v>
                </c:pt>
                <c:pt idx="208">
                  <c:v>113.91326230534288</c:v>
                </c:pt>
                <c:pt idx="209">
                  <c:v>117.14253729360945</c:v>
                </c:pt>
                <c:pt idx="210">
                  <c:v>120.26026576972284</c:v>
                </c:pt>
                <c:pt idx="211">
                  <c:v>123.26735429146969</c:v>
                </c:pt>
                <c:pt idx="212">
                  <c:v>126.16467007220953</c:v>
                </c:pt>
                <c:pt idx="213">
                  <c:v>128.95304210432133</c:v>
                </c:pt>
                <c:pt idx="214">
                  <c:v>131.6332622207529</c:v>
                </c:pt>
                <c:pt idx="215">
                  <c:v>134.20608609777705</c:v>
                </c:pt>
                <c:pt idx="216">
                  <c:v>136.67223420185522</c:v>
                </c:pt>
                <c:pt idx="217">
                  <c:v>139.03239268332396</c:v>
                </c:pt>
                <c:pt idx="218">
                  <c:v>141.28721421945218</c:v>
                </c:pt>
                <c:pt idx="219">
                  <c:v>143.43731880926651</c:v>
                </c:pt>
                <c:pt idx="220">
                  <c:v>145.48329452241197</c:v>
                </c:pt>
                <c:pt idx="221">
                  <c:v>147.4256982042053</c:v>
                </c:pt>
                <c:pt idx="222">
                  <c:v>149.26505613895472</c:v>
                </c:pt>
                <c:pt idx="223">
                  <c:v>151.00186467356687</c:v>
                </c:pt>
                <c:pt idx="224">
                  <c:v>152.63659080345235</c:v>
                </c:pt>
                <c:pt idx="225">
                  <c:v>154.16967272278825</c:v>
                </c:pt>
                <c:pt idx="226">
                  <c:v>155.60152034132884</c:v>
                </c:pt>
                <c:pt idx="227">
                  <c:v>156.9325157702136</c:v>
                </c:pt>
                <c:pt idx="228">
                  <c:v>158.16301377967667</c:v>
                </c:pt>
                <c:pt idx="229">
                  <c:v>159.29334223232712</c:v>
                </c:pt>
                <c:pt idx="230">
                  <c:v>160.32380249694458</c:v>
                </c:pt>
                <c:pt idx="231">
                  <c:v>161.25466984986136</c:v>
                </c:pt>
                <c:pt idx="232">
                  <c:v>162.08619387458521</c:v>
                </c:pt>
                <c:pt idx="233">
                  <c:v>162.8185988764416</c:v>
                </c:pt>
                <c:pt idx="234">
                  <c:v>163.45208433963256</c:v>
                </c:pt>
                <c:pt idx="235">
                  <c:v>163.986825472704</c:v>
                </c:pt>
                <c:pt idx="236">
                  <c:v>164.42297392092351</c:v>
                </c:pt>
                <c:pt idx="237">
                  <c:v>164.76065877942563</c:v>
                </c:pt>
                <c:pt idx="238">
                  <c:v>164.99998812813877</c:v>
                </c:pt>
                <c:pt idx="239">
                  <c:v>165.14105142193264</c:v>
                </c:pt>
                <c:pt idx="240">
                  <c:v>165.18392314444216</c:v>
                </c:pt>
                <c:pt idx="241">
                  <c:v>165.12866801184336</c:v>
                </c:pt>
                <c:pt idx="242">
                  <c:v>164.9753475341864</c:v>
                </c:pt>
                <c:pt idx="243">
                  <c:v>164.72402706995669</c:v>
                </c:pt>
                <c:pt idx="244">
                  <c:v>164.37478220468753</c:v>
                </c:pt>
                <c:pt idx="245">
                  <c:v>163.92770366236198</c:v>
                </c:pt>
                <c:pt idx="246">
                  <c:v>163.38290063297231</c:v>
                </c:pt>
                <c:pt idx="247">
                  <c:v>162.74050283522681</c:v>
                </c:pt>
                <c:pt idx="248">
                  <c:v>162.00066172111823</c:v>
                </c:pt>
                <c:pt idx="249">
                  <c:v>161.16355114260585</c:v>
                </c:pt>
                <c:pt idx="250">
                  <c:v>160.22936768916352</c:v>
                </c:pt>
                <c:pt idx="251">
                  <c:v>159.19833082159258</c:v>
                </c:pt>
                <c:pt idx="252">
                  <c:v>158.07068287533076</c:v>
                </c:pt>
                <c:pt idx="253">
                  <c:v>156.84668897603291</c:v>
                </c:pt>
                <c:pt idx="254">
                  <c:v>155.52663689280709</c:v>
                </c:pt>
                <c:pt idx="255">
                  <c:v>154.1108368445465</c:v>
                </c:pt>
                <c:pt idx="256">
                  <c:v>152.59962126904048</c:v>
                </c:pt>
                <c:pt idx="257">
                  <c:v>150.9933445611577</c:v>
                </c:pt>
                <c:pt idx="258">
                  <c:v>149.29238278435668</c:v>
                </c:pt>
                <c:pt idx="259">
                  <c:v>147.49713335853306</c:v>
                </c:pt>
                <c:pt idx="260">
                  <c:v>145.60801472643632</c:v>
                </c:pt>
                <c:pt idx="261">
                  <c:v>143.62546600039684</c:v>
                </c:pt>
                <c:pt idx="262">
                  <c:v>141.54994659079031</c:v>
                </c:pt>
                <c:pt idx="263">
                  <c:v>139.38193581746179</c:v>
                </c:pt>
                <c:pt idx="264">
                  <c:v>137.12193250519931</c:v>
                </c:pt>
                <c:pt idx="265">
                  <c:v>134.77045456425907</c:v>
                </c:pt>
                <c:pt idx="266">
                  <c:v>132.32803855688812</c:v>
                </c:pt>
                <c:pt idx="267">
                  <c:v>129.79523925075134</c:v>
                </c:pt>
                <c:pt idx="268">
                  <c:v>127.17262916014595</c:v>
                </c:pt>
                <c:pt idx="269">
                  <c:v>124.46079807586914</c:v>
                </c:pt>
                <c:pt idx="270">
                  <c:v>121.66035258459372</c:v>
                </c:pt>
                <c:pt idx="271">
                  <c:v>118.77191557859807</c:v>
                </c:pt>
                <c:pt idx="272">
                  <c:v>115.7961257566901</c:v>
                </c:pt>
                <c:pt idx="273">
                  <c:v>112.73363711715946</c:v>
                </c:pt>
                <c:pt idx="274">
                  <c:v>109.58511844358586</c:v>
                </c:pt>
                <c:pt idx="275">
                  <c:v>106.35125278432541</c:v>
                </c:pt>
                <c:pt idx="276">
                  <c:v>103.03273692648965</c:v>
                </c:pt>
                <c:pt idx="277">
                  <c:v>99.630280865223597</c:v>
                </c:pt>
                <c:pt idx="278">
                  <c:v>96.144607269080225</c:v>
                </c:pt>
                <c:pt idx="279">
                  <c:v>92.57645094227756</c:v>
                </c:pt>
                <c:pt idx="280">
                  <c:v>88.92655828461325</c:v>
                </c:pt>
                <c:pt idx="281">
                  <c:v>85.195686749797787</c:v>
                </c:pt>
                <c:pt idx="282">
                  <c:v>81.384604302953321</c:v>
                </c:pt>
                <c:pt idx="283">
                  <c:v>77.494088878008881</c:v>
                </c:pt>
                <c:pt idx="284">
                  <c:v>73.524927835706109</c:v>
                </c:pt>
                <c:pt idx="285">
                  <c:v>69.477917422911105</c:v>
                </c:pt>
                <c:pt idx="286">
                  <c:v>65.353862233908828</c:v>
                </c:pt>
                <c:pt idx="287">
                  <c:v>61.153574674336156</c:v>
                </c:pt>
                <c:pt idx="288">
                  <c:v>56.877874428388367</c:v>
                </c:pt>
                <c:pt idx="289">
                  <c:v>52.527587929911768</c:v>
                </c:pt>
                <c:pt idx="290">
                  <c:v>48.103547837972172</c:v>
                </c:pt>
                <c:pt idx="291">
                  <c:v>43.606592517465444</c:v>
                </c:pt>
                <c:pt idx="292">
                  <c:v>39.037565525312054</c:v>
                </c:pt>
                <c:pt idx="293">
                  <c:v>34.397315102752962</c:v>
                </c:pt>
                <c:pt idx="294">
                  <c:v>29.686693674238942</c:v>
                </c:pt>
                <c:pt idx="295">
                  <c:v>24.906557353380094</c:v>
                </c:pt>
                <c:pt idx="296">
                  <c:v>20.057765456396496</c:v>
                </c:pt>
                <c:pt idx="297">
                  <c:v>15.141180023485148</c:v>
                </c:pt>
                <c:pt idx="298">
                  <c:v>10.157665348492372</c:v>
                </c:pt>
                <c:pt idx="299">
                  <c:v>5.1080875172548428</c:v>
                </c:pt>
                <c:pt idx="300">
                  <c:v>-6.6860450534402815E-3</c:v>
                </c:pt>
                <c:pt idx="301">
                  <c:v>-1.183323143211765E-2</c:v>
                </c:pt>
                <c:pt idx="302">
                  <c:v>-1.6980481703443604E-2</c:v>
                </c:pt>
                <c:pt idx="303">
                  <c:v>-2.2127795866555042E-2</c:v>
                </c:pt>
                <c:pt idx="304">
                  <c:v>-2.7275173920588862E-2</c:v>
                </c:pt>
                <c:pt idx="305">
                  <c:v>-3.2422615864681967E-2</c:v>
                </c:pt>
                <c:pt idx="306">
                  <c:v>-3.7570121697971262E-2</c:v>
                </c:pt>
                <c:pt idx="307">
                  <c:v>-4.271769141959364E-2</c:v>
                </c:pt>
                <c:pt idx="308">
                  <c:v>-4.7865325028686005E-2</c:v>
                </c:pt>
                <c:pt idx="309">
                  <c:v>-5.3013022524385264E-2</c:v>
                </c:pt>
                <c:pt idx="310">
                  <c:v>-5.8160783905828309E-2</c:v>
                </c:pt>
                <c:pt idx="311">
                  <c:v>-6.3308609172152044E-2</c:v>
                </c:pt>
                <c:pt idx="312">
                  <c:v>-6.845649832249337E-2</c:v>
                </c:pt>
                <c:pt idx="313">
                  <c:v>-7.360445135598917E-2</c:v>
                </c:pt>
                <c:pt idx="314">
                  <c:v>-7.8752468271776357E-2</c:v>
                </c:pt>
                <c:pt idx="315">
                  <c:v>-8.3900549068991831E-2</c:v>
                </c:pt>
                <c:pt idx="316">
                  <c:v>-8.9048693746772489E-2</c:v>
                </c:pt>
                <c:pt idx="317">
                  <c:v>-9.4196902304255231E-2</c:v>
                </c:pt>
                <c:pt idx="318">
                  <c:v>-9.9345174740576955E-2</c:v>
                </c:pt>
                <c:pt idx="319">
                  <c:v>-0.10449351105487456</c:v>
                </c:pt>
                <c:pt idx="320">
                  <c:v>-0.10964191124628495</c:v>
                </c:pt>
                <c:pt idx="321">
                  <c:v>-0.11479037531394501</c:v>
                </c:pt>
                <c:pt idx="322">
                  <c:v>-0.11993890325699165</c:v>
                </c:pt>
                <c:pt idx="323">
                  <c:v>-0.12508749507456177</c:v>
                </c:pt>
                <c:pt idx="324">
                  <c:v>-0.13023615076579226</c:v>
                </c:pt>
                <c:pt idx="325">
                  <c:v>-0.13538487032982002</c:v>
                </c:pt>
                <c:pt idx="326">
                  <c:v>-0.14053365376578195</c:v>
                </c:pt>
                <c:pt idx="327">
                  <c:v>-0.14568250107281494</c:v>
                </c:pt>
                <c:pt idx="328">
                  <c:v>-0.15083141225005589</c:v>
                </c:pt>
                <c:pt idx="329">
                  <c:v>-0.15598038729664168</c:v>
                </c:pt>
                <c:pt idx="330">
                  <c:v>-0.16112942621170923</c:v>
                </c:pt>
                <c:pt idx="331">
                  <c:v>-0.16627852899439544</c:v>
                </c:pt>
                <c:pt idx="332">
                  <c:v>-0.1714276956438372</c:v>
                </c:pt>
                <c:pt idx="333">
                  <c:v>-0.17657692615917139</c:v>
                </c:pt>
                <c:pt idx="334">
                  <c:v>-0.18172622053953494</c:v>
                </c:pt>
                <c:pt idx="335">
                  <c:v>-0.18687557878406472</c:v>
                </c:pt>
                <c:pt idx="336">
                  <c:v>-0.19202500089189761</c:v>
                </c:pt>
                <c:pt idx="337">
                  <c:v>-0.19717448686217054</c:v>
                </c:pt>
                <c:pt idx="338">
                  <c:v>-0.20232403669402038</c:v>
                </c:pt>
                <c:pt idx="339">
                  <c:v>-0.20747365038658405</c:v>
                </c:pt>
                <c:pt idx="340">
                  <c:v>-0.21262332793899844</c:v>
                </c:pt>
                <c:pt idx="341">
                  <c:v>-0.21777306935040042</c:v>
                </c:pt>
                <c:pt idx="342">
                  <c:v>-0.22292287461992691</c:v>
                </c:pt>
                <c:pt idx="343">
                  <c:v>-0.2280727437467148</c:v>
                </c:pt>
                <c:pt idx="344">
                  <c:v>-0.23322267672990099</c:v>
                </c:pt>
                <c:pt idx="345">
                  <c:v>-0.23837267356862235</c:v>
                </c:pt>
                <c:pt idx="346">
                  <c:v>-0.24352273426201582</c:v>
                </c:pt>
                <c:pt idx="347">
                  <c:v>-0.24867285880921824</c:v>
                </c:pt>
                <c:pt idx="348">
                  <c:v>-0.25382304720936655</c:v>
                </c:pt>
                <c:pt idx="349">
                  <c:v>-0.25897329946159758</c:v>
                </c:pt>
                <c:pt idx="350">
                  <c:v>-0.26412361556504832</c:v>
                </c:pt>
                <c:pt idx="351">
                  <c:v>-0.26927399551885561</c:v>
                </c:pt>
                <c:pt idx="352">
                  <c:v>-0.27442443932215632</c:v>
                </c:pt>
                <c:pt idx="353">
                  <c:v>-0.27957494697408736</c:v>
                </c:pt>
                <c:pt idx="354">
                  <c:v>-0.28472551847378563</c:v>
                </c:pt>
                <c:pt idx="355">
                  <c:v>-0.28987615382038806</c:v>
                </c:pt>
                <c:pt idx="356">
                  <c:v>-0.2950268530130315</c:v>
                </c:pt>
                <c:pt idx="357">
                  <c:v>-0.3001776160508528</c:v>
                </c:pt>
                <c:pt idx="358">
                  <c:v>-0.30532844293298894</c:v>
                </c:pt>
                <c:pt idx="359">
                  <c:v>-0.31047933365857677</c:v>
                </c:pt>
                <c:pt idx="360">
                  <c:v>-0.31563028822675315</c:v>
                </c:pt>
                <c:pt idx="361">
                  <c:v>-0.32078130663665505</c:v>
                </c:pt>
                <c:pt idx="362">
                  <c:v>-0.32593238888741932</c:v>
                </c:pt>
                <c:pt idx="363">
                  <c:v>-0.33108353497818283</c:v>
                </c:pt>
                <c:pt idx="364">
                  <c:v>-0.33623474490808247</c:v>
                </c:pt>
                <c:pt idx="365">
                  <c:v>-0.34138601867625518</c:v>
                </c:pt>
                <c:pt idx="366">
                  <c:v>-0.34653735628183785</c:v>
                </c:pt>
                <c:pt idx="367">
                  <c:v>-0.35168875772396735</c:v>
                </c:pt>
                <c:pt idx="368">
                  <c:v>-0.35684022300178053</c:v>
                </c:pt>
                <c:pt idx="369">
                  <c:v>-0.36199175211441431</c:v>
                </c:pt>
                <c:pt idx="370">
                  <c:v>-0.3671433450610056</c:v>
                </c:pt>
                <c:pt idx="371">
                  <c:v>-0.37229500184069131</c:v>
                </c:pt>
                <c:pt idx="372">
                  <c:v>-0.3774467224526083</c:v>
                </c:pt>
                <c:pt idx="373">
                  <c:v>-0.38259850689589342</c:v>
                </c:pt>
                <c:pt idx="374">
                  <c:v>-0.38775035516968365</c:v>
                </c:pt>
                <c:pt idx="375">
                  <c:v>-0.39290226727311578</c:v>
                </c:pt>
                <c:pt idx="376">
                  <c:v>-0.39805424320532679</c:v>
                </c:pt>
                <c:pt idx="377">
                  <c:v>-0.40320628296545352</c:v>
                </c:pt>
                <c:pt idx="378">
                  <c:v>-0.40835838655263285</c:v>
                </c:pt>
                <c:pt idx="379">
                  <c:v>-0.41351055396600173</c:v>
                </c:pt>
                <c:pt idx="380">
                  <c:v>-0.41866278520469696</c:v>
                </c:pt>
                <c:pt idx="381">
                  <c:v>-0.42381508026785553</c:v>
                </c:pt>
                <c:pt idx="382">
                  <c:v>-0.42896743915461427</c:v>
                </c:pt>
                <c:pt idx="383">
                  <c:v>-0.43411986186411006</c:v>
                </c:pt>
                <c:pt idx="384">
                  <c:v>-0.43927234839547979</c:v>
                </c:pt>
                <c:pt idx="385">
                  <c:v>-0.4444248987478604</c:v>
                </c:pt>
                <c:pt idx="386">
                  <c:v>-0.44957751292038872</c:v>
                </c:pt>
                <c:pt idx="387">
                  <c:v>-0.45473019091220168</c:v>
                </c:pt>
                <c:pt idx="388">
                  <c:v>-0.45988293272243613</c:v>
                </c:pt>
                <c:pt idx="389">
                  <c:v>-0.46503573835022899</c:v>
                </c:pt>
                <c:pt idx="390">
                  <c:v>-0.47018860779471711</c:v>
                </c:pt>
                <c:pt idx="391">
                  <c:v>-0.4753415410550374</c:v>
                </c:pt>
                <c:pt idx="392">
                  <c:v>-0.48049453813032678</c:v>
                </c:pt>
                <c:pt idx="393">
                  <c:v>-0.4856475990197221</c:v>
                </c:pt>
                <c:pt idx="394">
                  <c:v>-0.49080072372236022</c:v>
                </c:pt>
                <c:pt idx="395">
                  <c:v>-0.49595391223737811</c:v>
                </c:pt>
                <c:pt idx="396">
                  <c:v>-0.50110716456391258</c:v>
                </c:pt>
                <c:pt idx="397">
                  <c:v>-0.50626048070110052</c:v>
                </c:pt>
                <c:pt idx="398">
                  <c:v>-0.51141386064807892</c:v>
                </c:pt>
                <c:pt idx="399">
                  <c:v>-0.51656730440398457</c:v>
                </c:pt>
                <c:pt idx="400">
                  <c:v>-0.52172081196795439</c:v>
                </c:pt>
                <c:pt idx="401">
                  <c:v>-0.52687438333912517</c:v>
                </c:pt>
                <c:pt idx="402">
                  <c:v>-0.53202801851663395</c:v>
                </c:pt>
                <c:pt idx="403">
                  <c:v>-0.53718171749961752</c:v>
                </c:pt>
                <c:pt idx="404">
                  <c:v>-0.54233548028721279</c:v>
                </c:pt>
                <c:pt idx="405">
                  <c:v>-0.54748930687855668</c:v>
                </c:pt>
                <c:pt idx="406">
                  <c:v>-0.55264319727278599</c:v>
                </c:pt>
                <c:pt idx="407">
                  <c:v>-0.55779715146903763</c:v>
                </c:pt>
                <c:pt idx="408">
                  <c:v>-0.56295116946644863</c:v>
                </c:pt>
                <c:pt idx="409">
                  <c:v>-0.56810525126415568</c:v>
                </c:pt>
                <c:pt idx="410">
                  <c:v>-0.57325939686129579</c:v>
                </c:pt>
                <c:pt idx="411">
                  <c:v>-0.57841360625700577</c:v>
                </c:pt>
                <c:pt idx="412">
                  <c:v>-0.58356787945042254</c:v>
                </c:pt>
                <c:pt idx="413">
                  <c:v>-0.58872221644068301</c:v>
                </c:pt>
                <c:pt idx="414">
                  <c:v>-0.59387661722692398</c:v>
                </c:pt>
                <c:pt idx="415">
                  <c:v>-0.59903108180828246</c:v>
                </c:pt>
                <c:pt idx="416">
                  <c:v>-0.60418561018389527</c:v>
                </c:pt>
                <c:pt idx="417">
                  <c:v>-0.60934020235289921</c:v>
                </c:pt>
                <c:pt idx="418">
                  <c:v>-0.61449485831443129</c:v>
                </c:pt>
                <c:pt idx="419">
                  <c:v>-0.61964957806762833</c:v>
                </c:pt>
                <c:pt idx="420">
                  <c:v>-0.62480436161162722</c:v>
                </c:pt>
                <c:pt idx="421">
                  <c:v>-0.6299592089455649</c:v>
                </c:pt>
                <c:pt idx="422">
                  <c:v>-0.63511412006857815</c:v>
                </c:pt>
                <c:pt idx="423">
                  <c:v>-0.640269094979804</c:v>
                </c:pt>
                <c:pt idx="424">
                  <c:v>-0.64542413367837925</c:v>
                </c:pt>
                <c:pt idx="425">
                  <c:v>-0.65057923616344071</c:v>
                </c:pt>
                <c:pt idx="426">
                  <c:v>-0.6557344024341254</c:v>
                </c:pt>
                <c:pt idx="427">
                  <c:v>-0.66088963248957011</c:v>
                </c:pt>
                <c:pt idx="428">
                  <c:v>-0.66604492632891177</c:v>
                </c:pt>
                <c:pt idx="429">
                  <c:v>-0.67120028395128717</c:v>
                </c:pt>
                <c:pt idx="430">
                  <c:v>-0.67635570535583334</c:v>
                </c:pt>
                <c:pt idx="431">
                  <c:v>-0.68151119054168707</c:v>
                </c:pt>
                <c:pt idx="432">
                  <c:v>-0.68666673950798529</c:v>
                </c:pt>
                <c:pt idx="433">
                  <c:v>-0.69182235225386479</c:v>
                </c:pt>
                <c:pt idx="434">
                  <c:v>-0.6969780287784626</c:v>
                </c:pt>
                <c:pt idx="435">
                  <c:v>-0.70213376908091552</c:v>
                </c:pt>
                <c:pt idx="436">
                  <c:v>-0.70728957316036034</c:v>
                </c:pt>
                <c:pt idx="437">
                  <c:v>-0.7124454410159341</c:v>
                </c:pt>
                <c:pt idx="438">
                  <c:v>-0.71760137264677359</c:v>
                </c:pt>
                <c:pt idx="439">
                  <c:v>-0.72275736805201574</c:v>
                </c:pt>
                <c:pt idx="440">
                  <c:v>-0.72791342723079744</c:v>
                </c:pt>
                <c:pt idx="441">
                  <c:v>-0.7330695501822555</c:v>
                </c:pt>
                <c:pt idx="442">
                  <c:v>-0.73822573690552684</c:v>
                </c:pt>
                <c:pt idx="443">
                  <c:v>-0.74338198739974837</c:v>
                </c:pt>
                <c:pt idx="444">
                  <c:v>-0.74853830166405688</c:v>
                </c:pt>
                <c:pt idx="445">
                  <c:v>-0.75369467969758941</c:v>
                </c:pt>
                <c:pt idx="446">
                  <c:v>-0.75885112149948275</c:v>
                </c:pt>
                <c:pt idx="447">
                  <c:v>-0.76400762706887371</c:v>
                </c:pt>
                <c:pt idx="448">
                  <c:v>-0.7691641964048993</c:v>
                </c:pt>
                <c:pt idx="449">
                  <c:v>-0.77432082950669634</c:v>
                </c:pt>
                <c:pt idx="450">
                  <c:v>-0.77947752637340173</c:v>
                </c:pt>
                <c:pt idx="451">
                  <c:v>-0.78463428700415228</c:v>
                </c:pt>
                <c:pt idx="452">
                  <c:v>-0.78979111139808489</c:v>
                </c:pt>
                <c:pt idx="453">
                  <c:v>-0.79494799955433648</c:v>
                </c:pt>
                <c:pt idx="454">
                  <c:v>-0.80010495147204397</c:v>
                </c:pt>
                <c:pt idx="455">
                  <c:v>-0.80526196715034415</c:v>
                </c:pt>
                <c:pt idx="456">
                  <c:v>-0.81041904658837394</c:v>
                </c:pt>
                <c:pt idx="457">
                  <c:v>-0.81557618978527024</c:v>
                </c:pt>
                <c:pt idx="458">
                  <c:v>-0.82073339674016998</c:v>
                </c:pt>
                <c:pt idx="459">
                  <c:v>-0.82589066745220996</c:v>
                </c:pt>
                <c:pt idx="460">
                  <c:v>-0.83104800192052708</c:v>
                </c:pt>
                <c:pt idx="461">
                  <c:v>-0.83620540014425815</c:v>
                </c:pt>
                <c:pt idx="462">
                  <c:v>-0.84136286212254008</c:v>
                </c:pt>
                <c:pt idx="463">
                  <c:v>-0.84652038785450978</c:v>
                </c:pt>
                <c:pt idx="464">
                  <c:v>-0.85167797733930417</c:v>
                </c:pt>
                <c:pt idx="465">
                  <c:v>-0.85683563057606005</c:v>
                </c:pt>
                <c:pt idx="466">
                  <c:v>-0.86199334756391444</c:v>
                </c:pt>
                <c:pt idx="467">
                  <c:v>-0.86715112830200403</c:v>
                </c:pt>
                <c:pt idx="468">
                  <c:v>-0.87230897278946584</c:v>
                </c:pt>
                <c:pt idx="469">
                  <c:v>-0.87746688102543668</c:v>
                </c:pt>
                <c:pt idx="470">
                  <c:v>-0.88262485300905347</c:v>
                </c:pt>
                <c:pt idx="471">
                  <c:v>-0.88778288873945299</c:v>
                </c:pt>
                <c:pt idx="472">
                  <c:v>-0.89294098821577217</c:v>
                </c:pt>
                <c:pt idx="473">
                  <c:v>-0.89809915143714791</c:v>
                </c:pt>
                <c:pt idx="474">
                  <c:v>-0.90325737840271714</c:v>
                </c:pt>
                <c:pt idx="475">
                  <c:v>-0.90841566911161664</c:v>
                </c:pt>
                <c:pt idx="476">
                  <c:v>-0.91357402356298334</c:v>
                </c:pt>
                <c:pt idx="477">
                  <c:v>-0.91873244175595414</c:v>
                </c:pt>
                <c:pt idx="478">
                  <c:v>-0.92389092368966586</c:v>
                </c:pt>
                <c:pt idx="479">
                  <c:v>-0.92904946936325539</c:v>
                </c:pt>
                <c:pt idx="480">
                  <c:v>-0.93420807877585965</c:v>
                </c:pt>
                <c:pt idx="481">
                  <c:v>-0.93936675192661545</c:v>
                </c:pt>
                <c:pt idx="482">
                  <c:v>-0.94452548881465981</c:v>
                </c:pt>
                <c:pt idx="483">
                  <c:v>-0.94968428943912941</c:v>
                </c:pt>
                <c:pt idx="484">
                  <c:v>-0.95484315379916129</c:v>
                </c:pt>
                <c:pt idx="485">
                  <c:v>-0.96000208189389225</c:v>
                </c:pt>
                <c:pt idx="486">
                  <c:v>-0.96516107372245918</c:v>
                </c:pt>
                <c:pt idx="487">
                  <c:v>-0.97032012928399891</c:v>
                </c:pt>
                <c:pt idx="488">
                  <c:v>-0.97547924857764834</c:v>
                </c:pt>
                <c:pt idx="489">
                  <c:v>-0.98063843160254438</c:v>
                </c:pt>
                <c:pt idx="490">
                  <c:v>-0.98579767835782395</c:v>
                </c:pt>
                <c:pt idx="491">
                  <c:v>-0.99095698884262384</c:v>
                </c:pt>
                <c:pt idx="492">
                  <c:v>-0.99611636305608098</c:v>
                </c:pt>
                <c:pt idx="493">
                  <c:v>-1.0012758009973322</c:v>
                </c:pt>
                <c:pt idx="494">
                  <c:v>-1.0064353026655144</c:v>
                </c:pt>
                <c:pt idx="495">
                  <c:v>-1.0115948680597644</c:v>
                </c:pt>
                <c:pt idx="496">
                  <c:v>-1.0167544971792191</c:v>
                </c:pt>
                <c:pt idx="497">
                  <c:v>-1.0219141900230155</c:v>
                </c:pt>
                <c:pt idx="498">
                  <c:v>-1.0270739465902905</c:v>
                </c:pt>
                <c:pt idx="499">
                  <c:v>-1.0322337668801806</c:v>
                </c:pt>
                <c:pt idx="500">
                  <c:v>-1.0373936508918231</c:v>
                </c:pt>
                <c:pt idx="501">
                  <c:v>-1.0425535986243546</c:v>
                </c:pt>
                <c:pt idx="502">
                  <c:v>-1.0477136100769122</c:v>
                </c:pt>
                <c:pt idx="503">
                  <c:v>-1.0528736852486327</c:v>
                </c:pt>
                <c:pt idx="504">
                  <c:v>-1.0580338241386529</c:v>
                </c:pt>
                <c:pt idx="505">
                  <c:v>-1.0631940267461097</c:v>
                </c:pt>
                <c:pt idx="506">
                  <c:v>-1.06835429307014</c:v>
                </c:pt>
                <c:pt idx="507">
                  <c:v>-1.0735146231098807</c:v>
                </c:pt>
                <c:pt idx="508">
                  <c:v>-1.0786750168644685</c:v>
                </c:pt>
                <c:pt idx="509">
                  <c:v>-1.0838354743330405</c:v>
                </c:pt>
                <c:pt idx="510">
                  <c:v>-1.0889959955147335</c:v>
                </c:pt>
                <c:pt idx="511">
                  <c:v>-1.0941565804086844</c:v>
                </c:pt>
                <c:pt idx="512">
                  <c:v>-1.0993172290140298</c:v>
                </c:pt>
                <c:pt idx="513">
                  <c:v>-1.1044779413299071</c:v>
                </c:pt>
                <c:pt idx="514">
                  <c:v>-1.1096387173554527</c:v>
                </c:pt>
                <c:pt idx="515">
                  <c:v>-1.1147995570898037</c:v>
                </c:pt>
                <c:pt idx="516">
                  <c:v>-1.119960460532097</c:v>
                </c:pt>
                <c:pt idx="517">
                  <c:v>-1.1251214276814694</c:v>
                </c:pt>
                <c:pt idx="518">
                  <c:v>-1.1302824585370577</c:v>
                </c:pt>
                <c:pt idx="519">
                  <c:v>-1.1354435530979987</c:v>
                </c:pt>
                <c:pt idx="520">
                  <c:v>-1.1406047113634297</c:v>
                </c:pt>
                <c:pt idx="521">
                  <c:v>-1.1457659333324872</c:v>
                </c:pt>
                <c:pt idx="522">
                  <c:v>-1.1509272190043083</c:v>
                </c:pt>
                <c:pt idx="523">
                  <c:v>-1.1560885683780295</c:v>
                </c:pt>
                <c:pt idx="524">
                  <c:v>-1.1612499814527881</c:v>
                </c:pt>
                <c:pt idx="525">
                  <c:v>-1.1664114582277207</c:v>
                </c:pt>
                <c:pt idx="526">
                  <c:v>-1.1715729987019643</c:v>
                </c:pt>
                <c:pt idx="527">
                  <c:v>-1.1767346028746557</c:v>
                </c:pt>
                <c:pt idx="528">
                  <c:v>-1.1818962707449319</c:v>
                </c:pt>
                <c:pt idx="529">
                  <c:v>-1.1870580023119297</c:v>
                </c:pt>
                <c:pt idx="530">
                  <c:v>-1.1922197975747859</c:v>
                </c:pt>
                <c:pt idx="531">
                  <c:v>-1.1973816565326374</c:v>
                </c:pt>
                <c:pt idx="532">
                  <c:v>-1.2025435791846211</c:v>
                </c:pt>
                <c:pt idx="533">
                  <c:v>-1.2077055655298738</c:v>
                </c:pt>
                <c:pt idx="534">
                  <c:v>-1.2128676155675326</c:v>
                </c:pt>
                <c:pt idx="535">
                  <c:v>-1.2180297292967344</c:v>
                </c:pt>
                <c:pt idx="536">
                  <c:v>-1.2231919067166157</c:v>
                </c:pt>
                <c:pt idx="537">
                  <c:v>-1.2283541478263136</c:v>
                </c:pt>
                <c:pt idx="538">
                  <c:v>-1.2335164526249649</c:v>
                </c:pt>
                <c:pt idx="539">
                  <c:v>-1.2386788211117066</c:v>
                </c:pt>
                <c:pt idx="540">
                  <c:v>-1.2438412532856755</c:v>
                </c:pt>
                <c:pt idx="541">
                  <c:v>-1.2490037491460084</c:v>
                </c:pt>
                <c:pt idx="542">
                  <c:v>-1.2541663086918422</c:v>
                </c:pt>
                <c:pt idx="543">
                  <c:v>-1.259328931922314</c:v>
                </c:pt>
                <c:pt idx="544">
                  <c:v>-1.2644916188365602</c:v>
                </c:pt>
                <c:pt idx="545">
                  <c:v>-1.2696543694337181</c:v>
                </c:pt>
                <c:pt idx="546">
                  <c:v>-1.2748171837129245</c:v>
                </c:pt>
                <c:pt idx="547">
                  <c:v>-1.2799800616733161</c:v>
                </c:pt>
                <c:pt idx="548">
                  <c:v>-1.2851430033140299</c:v>
                </c:pt>
                <c:pt idx="549">
                  <c:v>-1.2903060086342026</c:v>
                </c:pt>
                <c:pt idx="550">
                  <c:v>-1.2954690776329714</c:v>
                </c:pt>
                <c:pt idx="551">
                  <c:v>-1.300632210309473</c:v>
                </c:pt>
                <c:pt idx="552">
                  <c:v>-1.3057954066628441</c:v>
                </c:pt>
                <c:pt idx="553">
                  <c:v>-1.3109586666922217</c:v>
                </c:pt>
                <c:pt idx="554">
                  <c:v>-1.3161219903967429</c:v>
                </c:pt>
                <c:pt idx="555">
                  <c:v>-1.3212853777755442</c:v>
                </c:pt>
                <c:pt idx="556">
                  <c:v>-1.3264488288277627</c:v>
                </c:pt>
                <c:pt idx="557">
                  <c:v>-1.3316123435525353</c:v>
                </c:pt>
                <c:pt idx="558">
                  <c:v>-1.3367759219489987</c:v>
                </c:pt>
                <c:pt idx="559">
                  <c:v>-1.3419395640162899</c:v>
                </c:pt>
                <c:pt idx="560">
                  <c:v>-1.3471032697535457</c:v>
                </c:pt>
                <c:pt idx="561">
                  <c:v>-1.352267039159903</c:v>
                </c:pt>
                <c:pt idx="562">
                  <c:v>-1.3574308722344988</c:v>
                </c:pt>
                <c:pt idx="563">
                  <c:v>-1.3625947689764697</c:v>
                </c:pt>
                <c:pt idx="564">
                  <c:v>-1.3677587293849527</c:v>
                </c:pt>
                <c:pt idx="565">
                  <c:v>-1.3729227534590847</c:v>
                </c:pt>
                <c:pt idx="566">
                  <c:v>-1.3780868411980025</c:v>
                </c:pt>
                <c:pt idx="567">
                  <c:v>-1.3832509926008432</c:v>
                </c:pt>
                <c:pt idx="568">
                  <c:v>-1.3884152076667433</c:v>
                </c:pt>
                <c:pt idx="569">
                  <c:v>-1.3935794863948399</c:v>
                </c:pt>
                <c:pt idx="570">
                  <c:v>-1.3987438287842697</c:v>
                </c:pt>
                <c:pt idx="571">
                  <c:v>-1.4039082348341698</c:v>
                </c:pt>
                <c:pt idx="572">
                  <c:v>-1.4090727045436771</c:v>
                </c:pt>
                <c:pt idx="573">
                  <c:v>-1.4142372379119283</c:v>
                </c:pt>
                <c:pt idx="574">
                  <c:v>-1.4194018349380604</c:v>
                </c:pt>
                <c:pt idx="575">
                  <c:v>-1.4245664956212101</c:v>
                </c:pt>
                <c:pt idx="576">
                  <c:v>-1.4297312199605143</c:v>
                </c:pt>
                <c:pt idx="577">
                  <c:v>-1.4348960079551101</c:v>
                </c:pt>
                <c:pt idx="578">
                  <c:v>-1.440060859604134</c:v>
                </c:pt>
                <c:pt idx="579">
                  <c:v>-1.4452257749067232</c:v>
                </c:pt>
                <c:pt idx="580">
                  <c:v>-1.4503907538620144</c:v>
                </c:pt>
                <c:pt idx="581">
                  <c:v>-1.4555557964691446</c:v>
                </c:pt>
                <c:pt idx="582">
                  <c:v>-1.4607209027272503</c:v>
                </c:pt>
                <c:pt idx="583">
                  <c:v>-1.4658860726354688</c:v>
                </c:pt>
                <c:pt idx="584">
                  <c:v>-1.4710513061929367</c:v>
                </c:pt>
                <c:pt idx="585">
                  <c:v>-1.4762166033987911</c:v>
                </c:pt>
                <c:pt idx="586">
                  <c:v>-1.4813819642521688</c:v>
                </c:pt>
                <c:pt idx="587">
                  <c:v>-1.4865473887522065</c:v>
                </c:pt>
                <c:pt idx="588">
                  <c:v>-1.4917128768980412</c:v>
                </c:pt>
                <c:pt idx="589">
                  <c:v>-1.4968784286888099</c:v>
                </c:pt>
                <c:pt idx="590">
                  <c:v>-1.5020440441236493</c:v>
                </c:pt>
                <c:pt idx="591">
                  <c:v>-1.5072097232016963</c:v>
                </c:pt>
                <c:pt idx="592">
                  <c:v>-1.5123754659220878</c:v>
                </c:pt>
                <c:pt idx="593">
                  <c:v>-1.5175412722839605</c:v>
                </c:pt>
                <c:pt idx="594">
                  <c:v>-1.5227071422864515</c:v>
                </c:pt>
                <c:pt idx="595">
                  <c:v>-1.5278730759286976</c:v>
                </c:pt>
                <c:pt idx="596">
                  <c:v>-1.5330390732098356</c:v>
                </c:pt>
                <c:pt idx="597">
                  <c:v>-1.5382051341290024</c:v>
                </c:pt>
                <c:pt idx="598">
                  <c:v>-1.543371258685335</c:v>
                </c:pt>
                <c:pt idx="599">
                  <c:v>-1.54853744687797</c:v>
                </c:pt>
                <c:pt idx="600">
                  <c:v>-1.5537036987060444</c:v>
                </c:pt>
                <c:pt idx="601">
                  <c:v>-1.5588700141686951</c:v>
                </c:pt>
                <c:pt idx="602">
                  <c:v>-1.5640363932650589</c:v>
                </c:pt>
                <c:pt idx="603">
                  <c:v>-1.5692028359942729</c:v>
                </c:pt>
                <c:pt idx="604">
                  <c:v>-1.5743693423554737</c:v>
                </c:pt>
                <c:pt idx="605">
                  <c:v>-1.5795359123477983</c:v>
                </c:pt>
                <c:pt idx="606">
                  <c:v>-1.5847025459703836</c:v>
                </c:pt>
                <c:pt idx="607">
                  <c:v>-1.5898692432223664</c:v>
                </c:pt>
                <c:pt idx="608">
                  <c:v>-1.5950360041028835</c:v>
                </c:pt>
                <c:pt idx="609">
                  <c:v>-1.6002028286110719</c:v>
                </c:pt>
                <c:pt idx="610">
                  <c:v>-1.6053697167460683</c:v>
                </c:pt>
                <c:pt idx="611">
                  <c:v>-1.6105366685070097</c:v>
                </c:pt>
                <c:pt idx="612">
                  <c:v>-1.615703683893033</c:v>
                </c:pt>
                <c:pt idx="613">
                  <c:v>-1.620870762903275</c:v>
                </c:pt>
                <c:pt idx="614">
                  <c:v>-1.6260379055368726</c:v>
                </c:pt>
                <c:pt idx="615">
                  <c:v>-1.6312051117929625</c:v>
                </c:pt>
                <c:pt idx="616">
                  <c:v>-1.6363723816706819</c:v>
                </c:pt>
                <c:pt idx="617">
                  <c:v>-1.6415397151691673</c:v>
                </c:pt>
                <c:pt idx="618">
                  <c:v>-1.6467071122875558</c:v>
                </c:pt>
                <c:pt idx="619">
                  <c:v>-1.6518745730249844</c:v>
                </c:pt>
                <c:pt idx="620">
                  <c:v>-1.6570420973805897</c:v>
                </c:pt>
                <c:pt idx="621">
                  <c:v>-1.6622096853535087</c:v>
                </c:pt>
                <c:pt idx="622">
                  <c:v>-1.6673773369428782</c:v>
                </c:pt>
                <c:pt idx="623">
                  <c:v>-1.6725450521478349</c:v>
                </c:pt>
                <c:pt idx="624">
                  <c:v>-1.677712830967516</c:v>
                </c:pt>
                <c:pt idx="625">
                  <c:v>-1.6828806734010582</c:v>
                </c:pt>
                <c:pt idx="626">
                  <c:v>-1.6880485794475983</c:v>
                </c:pt>
                <c:pt idx="627">
                  <c:v>-1.6932165491062734</c:v>
                </c:pt>
                <c:pt idx="628">
                  <c:v>-1.6983845823762203</c:v>
                </c:pt>
                <c:pt idx="629">
                  <c:v>-1.7035526792565756</c:v>
                </c:pt>
                <c:pt idx="630">
                  <c:v>-1.7087208397464766</c:v>
                </c:pt>
                <c:pt idx="631">
                  <c:v>-1.7138890638450599</c:v>
                </c:pt>
                <c:pt idx="632">
                  <c:v>-1.7190573515514622</c:v>
                </c:pt>
                <c:pt idx="633">
                  <c:v>-1.7242257028648207</c:v>
                </c:pt>
                <c:pt idx="634">
                  <c:v>-1.7293941177842722</c:v>
                </c:pt>
                <c:pt idx="635">
                  <c:v>-1.7345625963089535</c:v>
                </c:pt>
                <c:pt idx="636">
                  <c:v>-1.7397311384380014</c:v>
                </c:pt>
                <c:pt idx="637">
                  <c:v>-1.7448997441705529</c:v>
                </c:pt>
                <c:pt idx="638">
                  <c:v>-1.7500684135057447</c:v>
                </c:pt>
                <c:pt idx="639">
                  <c:v>-1.7552371464427139</c:v>
                </c:pt>
                <c:pt idx="640">
                  <c:v>-1.7604059429805972</c:v>
                </c:pt>
                <c:pt idx="641">
                  <c:v>-1.7655748031185314</c:v>
                </c:pt>
                <c:pt idx="642">
                  <c:v>-1.7707437268556536</c:v>
                </c:pt>
                <c:pt idx="643">
                  <c:v>-1.7759127141911004</c:v>
                </c:pt>
                <c:pt idx="644">
                  <c:v>-1.781081765124009</c:v>
                </c:pt>
                <c:pt idx="645">
                  <c:v>-1.7862508796535159</c:v>
                </c:pt>
                <c:pt idx="646">
                  <c:v>-1.7914200577787582</c:v>
                </c:pt>
                <c:pt idx="647">
                  <c:v>-1.7965892994988728</c:v>
                </c:pt>
                <c:pt idx="648">
                  <c:v>-1.8017586048129963</c:v>
                </c:pt>
                <c:pt idx="649">
                  <c:v>-1.8069279737202659</c:v>
                </c:pt>
                <c:pt idx="650">
                  <c:v>-1.8120974062198183</c:v>
                </c:pt>
                <c:pt idx="651">
                  <c:v>-1.8172669023107904</c:v>
                </c:pt>
                <c:pt idx="652">
                  <c:v>-1.822436461992319</c:v>
                </c:pt>
                <c:pt idx="653">
                  <c:v>-1.827606085263541</c:v>
                </c:pt>
                <c:pt idx="654">
                  <c:v>-1.8327757721235931</c:v>
                </c:pt>
                <c:pt idx="655">
                  <c:v>-1.8379455225716126</c:v>
                </c:pt>
                <c:pt idx="656">
                  <c:v>-1.8431153366067361</c:v>
                </c:pt>
                <c:pt idx="657">
                  <c:v>-1.8482852142281003</c:v>
                </c:pt>
                <c:pt idx="658">
                  <c:v>-1.8534551554348424</c:v>
                </c:pt>
                <c:pt idx="659">
                  <c:v>-1.858625160226099</c:v>
                </c:pt>
                <c:pt idx="660">
                  <c:v>-1.8637952286010071</c:v>
                </c:pt>
                <c:pt idx="661">
                  <c:v>-1.8689653605587035</c:v>
                </c:pt>
                <c:pt idx="662">
                  <c:v>-1.8741355560983253</c:v>
                </c:pt>
                <c:pt idx="663">
                  <c:v>-1.879305815219009</c:v>
                </c:pt>
                <c:pt idx="664">
                  <c:v>-1.8844761379198918</c:v>
                </c:pt>
                <c:pt idx="665">
                  <c:v>-1.8896465242001104</c:v>
                </c:pt>
                <c:pt idx="666">
                  <c:v>-1.8948169740588017</c:v>
                </c:pt>
                <c:pt idx="667">
                  <c:v>-1.8999874874951024</c:v>
                </c:pt>
                <c:pt idx="668">
                  <c:v>-1.9051580645081496</c:v>
                </c:pt>
                <c:pt idx="669">
                  <c:v>-1.9103287050970801</c:v>
                </c:pt>
                <c:pt idx="670">
                  <c:v>-1.9154994092610307</c:v>
                </c:pt>
                <c:pt idx="671">
                  <c:v>-1.9206701769991383</c:v>
                </c:pt>
                <c:pt idx="672">
                  <c:v>-1.9258410083105397</c:v>
                </c:pt>
                <c:pt idx="673">
                  <c:v>-1.931011903194372</c:v>
                </c:pt>
                <c:pt idx="674">
                  <c:v>-1.9361828616497718</c:v>
                </c:pt>
                <c:pt idx="675">
                  <c:v>-1.9413538836758761</c:v>
                </c:pt>
                <c:pt idx="676">
                  <c:v>-1.9465249692718218</c:v>
                </c:pt>
                <c:pt idx="677">
                  <c:v>-1.9516961184367456</c:v>
                </c:pt>
                <c:pt idx="678">
                  <c:v>-1.9568673311697846</c:v>
                </c:pt>
                <c:pt idx="679">
                  <c:v>-1.9620386074700755</c:v>
                </c:pt>
                <c:pt idx="680">
                  <c:v>-1.9672099473367552</c:v>
                </c:pt>
                <c:pt idx="681">
                  <c:v>-1.9723813507689607</c:v>
                </c:pt>
                <c:pt idx="682">
                  <c:v>-1.9775528177658286</c:v>
                </c:pt>
                <c:pt idx="683">
                  <c:v>-1.9827243483264958</c:v>
                </c:pt>
                <c:pt idx="684">
                  <c:v>-1.9878959424500995</c:v>
                </c:pt>
                <c:pt idx="685">
                  <c:v>-1.9930676001357761</c:v>
                </c:pt>
                <c:pt idx="686">
                  <c:v>-1.9982393213826628</c:v>
                </c:pt>
                <c:pt idx="687">
                  <c:v>-2.0034111061898963</c:v>
                </c:pt>
                <c:pt idx="688">
                  <c:v>-2.0085829545566134</c:v>
                </c:pt>
                <c:pt idx="689">
                  <c:v>-2.0137548664819516</c:v>
                </c:pt>
                <c:pt idx="690">
                  <c:v>-2.018926841965047</c:v>
                </c:pt>
                <c:pt idx="691">
                  <c:v>-2.0240988810050369</c:v>
                </c:pt>
                <c:pt idx="692">
                  <c:v>-2.0292709836010578</c:v>
                </c:pt>
                <c:pt idx="693">
                  <c:v>-2.034443149752247</c:v>
                </c:pt>
                <c:pt idx="694">
                  <c:v>-2.0396153794577412</c:v>
                </c:pt>
                <c:pt idx="695">
                  <c:v>-2.0447876727166769</c:v>
                </c:pt>
                <c:pt idx="696">
                  <c:v>-2.0499600295281915</c:v>
                </c:pt>
                <c:pt idx="697">
                  <c:v>-2.0551324498914214</c:v>
                </c:pt>
                <c:pt idx="698">
                  <c:v>-2.0603049338055039</c:v>
                </c:pt>
                <c:pt idx="699">
                  <c:v>-2.0654774812695758</c:v>
                </c:pt>
                <c:pt idx="700">
                  <c:v>-2.0706500922827735</c:v>
                </c:pt>
                <c:pt idx="701">
                  <c:v>-2.0758227668442344</c:v>
                </c:pt>
                <c:pt idx="702">
                  <c:v>-2.080995504953095</c:v>
                </c:pt>
                <c:pt idx="703">
                  <c:v>-2.0861683066084926</c:v>
                </c:pt>
                <c:pt idx="704">
                  <c:v>-2.0913411718095638</c:v>
                </c:pt>
                <c:pt idx="705">
                  <c:v>-2.0965141005554453</c:v>
                </c:pt>
                <c:pt idx="706">
                  <c:v>-2.1016870928452742</c:v>
                </c:pt>
                <c:pt idx="707">
                  <c:v>-2.1068601486781873</c:v>
                </c:pt>
                <c:pt idx="708">
                  <c:v>-2.1120332680533211</c:v>
                </c:pt>
                <c:pt idx="709">
                  <c:v>-2.117206450969813</c:v>
                </c:pt>
                <c:pt idx="710">
                  <c:v>-2.1223796974267999</c:v>
                </c:pt>
                <c:pt idx="711">
                  <c:v>-2.1275530074234181</c:v>
                </c:pt>
                <c:pt idx="712">
                  <c:v>-2.1327263809588048</c:v>
                </c:pt>
                <c:pt idx="713">
                  <c:v>-2.1378998180320972</c:v>
                </c:pt>
                <c:pt idx="714">
                  <c:v>-2.1430733186424318</c:v>
                </c:pt>
                <c:pt idx="715">
                  <c:v>-2.1482468827889454</c:v>
                </c:pt>
                <c:pt idx="716">
                  <c:v>-2.1534205104707751</c:v>
                </c:pt>
                <c:pt idx="717">
                  <c:v>-2.1585942016870576</c:v>
                </c:pt>
                <c:pt idx="718">
                  <c:v>-2.1637679564369301</c:v>
                </c:pt>
                <c:pt idx="719">
                  <c:v>-2.1689417747195288</c:v>
                </c:pt>
                <c:pt idx="720">
                  <c:v>-2.1741156565339912</c:v>
                </c:pt>
                <c:pt idx="721">
                  <c:v>-2.1792896018794536</c:v>
                </c:pt>
                <c:pt idx="722">
                  <c:v>-2.1844636107550537</c:v>
                </c:pt>
                <c:pt idx="723">
                  <c:v>-2.1896376831599276</c:v>
                </c:pt>
                <c:pt idx="724">
                  <c:v>-2.1948118190932124</c:v>
                </c:pt>
                <c:pt idx="725">
                  <c:v>-2.199986018554045</c:v>
                </c:pt>
                <c:pt idx="726">
                  <c:v>-2.2051602815415623</c:v>
                </c:pt>
                <c:pt idx="727">
                  <c:v>-2.2103346080549011</c:v>
                </c:pt>
                <c:pt idx="728">
                  <c:v>-2.2155089980931981</c:v>
                </c:pt>
                <c:pt idx="729">
                  <c:v>-2.2206834516555904</c:v>
                </c:pt>
                <c:pt idx="730">
                  <c:v>-2.2258579687412148</c:v>
                </c:pt>
                <c:pt idx="731">
                  <c:v>-2.2310325493492082</c:v>
                </c:pt>
                <c:pt idx="732">
                  <c:v>-2.2362071934787076</c:v>
                </c:pt>
                <c:pt idx="733">
                  <c:v>-2.2413819011288494</c:v>
                </c:pt>
                <c:pt idx="734">
                  <c:v>-2.2465566722987709</c:v>
                </c:pt>
                <c:pt idx="735">
                  <c:v>-2.2517315069876092</c:v>
                </c:pt>
                <c:pt idx="736">
                  <c:v>-2.2569064051945005</c:v>
                </c:pt>
                <c:pt idx="737">
                  <c:v>-2.262081366918582</c:v>
                </c:pt>
                <c:pt idx="738">
                  <c:v>-2.2672563921589908</c:v>
                </c:pt>
                <c:pt idx="739">
                  <c:v>-2.2724314809148631</c:v>
                </c:pt>
                <c:pt idx="740">
                  <c:v>-2.2776066331853366</c:v>
                </c:pt>
                <c:pt idx="741">
                  <c:v>-2.2827818489695475</c:v>
                </c:pt>
                <c:pt idx="742">
                  <c:v>-2.2879571282666329</c:v>
                </c:pt>
                <c:pt idx="743">
                  <c:v>-2.2931324710757299</c:v>
                </c:pt>
                <c:pt idx="744">
                  <c:v>-2.2983078773959749</c:v>
                </c:pt>
                <c:pt idx="745">
                  <c:v>-2.3034833472265048</c:v>
                </c:pt>
                <c:pt idx="746">
                  <c:v>-2.308658880566457</c:v>
                </c:pt>
                <c:pt idx="747">
                  <c:v>-2.3138344774149679</c:v>
                </c:pt>
                <c:pt idx="748">
                  <c:v>-2.3190101377711745</c:v>
                </c:pt>
                <c:pt idx="749">
                  <c:v>-2.3241858616342137</c:v>
                </c:pt>
                <c:pt idx="750">
                  <c:v>-2.3293616490032223</c:v>
                </c:pt>
                <c:pt idx="751">
                  <c:v>-2.3345374998773374</c:v>
                </c:pt>
                <c:pt idx="752">
                  <c:v>-2.3397134142556957</c:v>
                </c:pt>
                <c:pt idx="753">
                  <c:v>-2.3448893921374339</c:v>
                </c:pt>
                <c:pt idx="754">
                  <c:v>-2.3500654335216891</c:v>
                </c:pt>
                <c:pt idx="755">
                  <c:v>-2.355241538407598</c:v>
                </c:pt>
                <c:pt idx="756">
                  <c:v>-2.3604177067942973</c:v>
                </c:pt>
                <c:pt idx="757">
                  <c:v>-2.3655939386809242</c:v>
                </c:pt>
                <c:pt idx="758">
                  <c:v>-2.3707702340666157</c:v>
                </c:pt>
                <c:pt idx="759">
                  <c:v>-2.3759465929505081</c:v>
                </c:pt>
                <c:pt idx="760">
                  <c:v>-2.3811230153317391</c:v>
                </c:pt>
                <c:pt idx="761">
                  <c:v>-2.3862995012094448</c:v>
                </c:pt>
                <c:pt idx="762">
                  <c:v>-2.3914760505827624</c:v>
                </c:pt>
                <c:pt idx="763">
                  <c:v>-2.3966526634508285</c:v>
                </c:pt>
                <c:pt idx="764">
                  <c:v>-2.4018293398127804</c:v>
                </c:pt>
                <c:pt idx="765">
                  <c:v>-2.4070060796677546</c:v>
                </c:pt>
                <c:pt idx="766">
                  <c:v>-2.4121828830148884</c:v>
                </c:pt>
                <c:pt idx="767">
                  <c:v>-2.4173597498533179</c:v>
                </c:pt>
                <c:pt idx="768">
                  <c:v>-2.4225366801821808</c:v>
                </c:pt>
                <c:pt idx="769">
                  <c:v>-2.4277136740006133</c:v>
                </c:pt>
                <c:pt idx="770">
                  <c:v>-2.4328907313077526</c:v>
                </c:pt>
                <c:pt idx="771">
                  <c:v>-2.4380678521027357</c:v>
                </c:pt>
                <c:pt idx="772">
                  <c:v>-2.4432450363846994</c:v>
                </c:pt>
                <c:pt idx="773">
                  <c:v>-2.4484222841527803</c:v>
                </c:pt>
                <c:pt idx="774">
                  <c:v>-2.4535995954061156</c:v>
                </c:pt>
                <c:pt idx="775">
                  <c:v>-2.458776970143842</c:v>
                </c:pt>
                <c:pt idx="776">
                  <c:v>-2.4639544083650962</c:v>
                </c:pt>
                <c:pt idx="777">
                  <c:v>-2.4691319100690152</c:v>
                </c:pt>
                <c:pt idx="778">
                  <c:v>-2.4743094752547359</c:v>
                </c:pt>
                <c:pt idx="779">
                  <c:v>-2.4794871039213953</c:v>
                </c:pt>
                <c:pt idx="780">
                  <c:v>-2.4846647960681301</c:v>
                </c:pt>
                <c:pt idx="781">
                  <c:v>-2.489842551694077</c:v>
                </c:pt>
                <c:pt idx="782">
                  <c:v>-2.4950203707983731</c:v>
                </c:pt>
                <c:pt idx="783">
                  <c:v>-2.5001982533801557</c:v>
                </c:pt>
                <c:pt idx="784">
                  <c:v>-2.5053761994385608</c:v>
                </c:pt>
                <c:pt idx="785">
                  <c:v>-2.5105542089727257</c:v>
                </c:pt>
                <c:pt idx="786">
                  <c:v>-2.5157322819817876</c:v>
                </c:pt>
                <c:pt idx="787">
                  <c:v>-2.5209104184648825</c:v>
                </c:pt>
                <c:pt idx="788">
                  <c:v>-2.5260886184211482</c:v>
                </c:pt>
                <c:pt idx="789">
                  <c:v>-2.5312668818497208</c:v>
                </c:pt>
                <c:pt idx="790">
                  <c:v>-2.5364452087497376</c:v>
                </c:pt>
                <c:pt idx="791">
                  <c:v>-2.5416235991203355</c:v>
                </c:pt>
                <c:pt idx="792">
                  <c:v>-2.546802052960651</c:v>
                </c:pt>
                <c:pt idx="793">
                  <c:v>-2.5519805702698215</c:v>
                </c:pt>
                <c:pt idx="794">
                  <c:v>-2.5571591510469833</c:v>
                </c:pt>
                <c:pt idx="795">
                  <c:v>-2.5623377952912736</c:v>
                </c:pt>
                <c:pt idx="796">
                  <c:v>-2.5675165030018294</c:v>
                </c:pt>
                <c:pt idx="797">
                  <c:v>-2.5726952741777875</c:v>
                </c:pt>
                <c:pt idx="798">
                  <c:v>-2.5778741088182846</c:v>
                </c:pt>
                <c:pt idx="799">
                  <c:v>-2.5830530069224573</c:v>
                </c:pt>
                <c:pt idx="800">
                  <c:v>-2.5882319684894428</c:v>
                </c:pt>
                <c:pt idx="801">
                  <c:v>-2.5934109935183782</c:v>
                </c:pt>
                <c:pt idx="802">
                  <c:v>-2.5985900820083998</c:v>
                </c:pt>
                <c:pt idx="803">
                  <c:v>-2.6037692339586451</c:v>
                </c:pt>
                <c:pt idx="804">
                  <c:v>-2.6089484493682504</c:v>
                </c:pt>
                <c:pt idx="805">
                  <c:v>-2.6141277282363529</c:v>
                </c:pt>
                <c:pt idx="806">
                  <c:v>-2.6193070705620896</c:v>
                </c:pt>
                <c:pt idx="807">
                  <c:v>-2.6244864763445968</c:v>
                </c:pt>
                <c:pt idx="808">
                  <c:v>-2.629665945583012</c:v>
                </c:pt>
                <c:pt idx="809">
                  <c:v>-2.6348454782764716</c:v>
                </c:pt>
                <c:pt idx="810">
                  <c:v>-2.6400250744241127</c:v>
                </c:pt>
                <c:pt idx="811">
                  <c:v>-2.6452047340250724</c:v>
                </c:pt>
                <c:pt idx="812">
                  <c:v>-2.6503844570784869</c:v>
                </c:pt>
                <c:pt idx="813">
                  <c:v>-2.6555642435834939</c:v>
                </c:pt>
                <c:pt idx="814">
                  <c:v>-2.6607440935392295</c:v>
                </c:pt>
                <c:pt idx="815">
                  <c:v>-2.6659240069448309</c:v>
                </c:pt>
                <c:pt idx="816">
                  <c:v>-2.6711039837994348</c:v>
                </c:pt>
                <c:pt idx="817">
                  <c:v>-2.6762840241021784</c:v>
                </c:pt>
                <c:pt idx="818">
                  <c:v>-2.6814641278521982</c:v>
                </c:pt>
                <c:pt idx="819">
                  <c:v>-2.6866442950486316</c:v>
                </c:pt>
                <c:pt idx="820">
                  <c:v>-2.691824525690615</c:v>
                </c:pt>
                <c:pt idx="821">
                  <c:v>-2.6970048197772853</c:v>
                </c:pt>
                <c:pt idx="822">
                  <c:v>-2.7021851773077796</c:v>
                </c:pt>
                <c:pt idx="823">
                  <c:v>-2.7073655982812346</c:v>
                </c:pt>
                <c:pt idx="824">
                  <c:v>-2.7125460826967873</c:v>
                </c:pt>
                <c:pt idx="825">
                  <c:v>-2.7177266305535746</c:v>
                </c:pt>
                <c:pt idx="826">
                  <c:v>-2.722907241850733</c:v>
                </c:pt>
                <c:pt idx="827">
                  <c:v>-2.7280879165873997</c:v>
                </c:pt>
                <c:pt idx="828">
                  <c:v>-2.7332686547627114</c:v>
                </c:pt>
                <c:pt idx="829">
                  <c:v>-2.7384494563758053</c:v>
                </c:pt>
                <c:pt idx="830">
                  <c:v>-2.743630321425818</c:v>
                </c:pt>
                <c:pt idx="831">
                  <c:v>-2.7488112499118862</c:v>
                </c:pt>
                <c:pt idx="832">
                  <c:v>-2.7539922418331471</c:v>
                </c:pt>
                <c:pt idx="833">
                  <c:v>-2.7591732971887373</c:v>
                </c:pt>
                <c:pt idx="834">
                  <c:v>-2.764354415977794</c:v>
                </c:pt>
                <c:pt idx="835">
                  <c:v>-2.7695355981994538</c:v>
                </c:pt>
                <c:pt idx="836">
                  <c:v>-2.7747168438528536</c:v>
                </c:pt>
                <c:pt idx="837">
                  <c:v>-2.7798981529371303</c:v>
                </c:pt>
                <c:pt idx="838">
                  <c:v>-2.7850795254514207</c:v>
                </c:pt>
                <c:pt idx="839">
                  <c:v>-2.7902609613948619</c:v>
                </c:pt>
                <c:pt idx="840">
                  <c:v>-2.7954424607665906</c:v>
                </c:pt>
                <c:pt idx="841">
                  <c:v>-2.8006240235657436</c:v>
                </c:pt>
                <c:pt idx="842">
                  <c:v>-2.8058056497914579</c:v>
                </c:pt>
                <c:pt idx="843">
                  <c:v>-2.8109873394428702</c:v>
                </c:pt>
                <c:pt idx="844">
                  <c:v>-2.8161690925191176</c:v>
                </c:pt>
                <c:pt idx="845">
                  <c:v>-2.8213509090193369</c:v>
                </c:pt>
                <c:pt idx="846">
                  <c:v>-2.8265327889426648</c:v>
                </c:pt>
                <c:pt idx="847">
                  <c:v>-2.8317147322882383</c:v>
                </c:pt>
                <c:pt idx="848">
                  <c:v>-2.8368967390551942</c:v>
                </c:pt>
                <c:pt idx="849">
                  <c:v>-2.8420788092426696</c:v>
                </c:pt>
                <c:pt idx="850">
                  <c:v>-2.8472609428498012</c:v>
                </c:pt>
                <c:pt idx="851">
                  <c:v>-2.8524431398757257</c:v>
                </c:pt>
                <c:pt idx="852">
                  <c:v>-2.8576254003195802</c:v>
                </c:pt>
                <c:pt idx="853">
                  <c:v>-2.8628077241805019</c:v>
                </c:pt>
                <c:pt idx="854">
                  <c:v>-2.8679901114576269</c:v>
                </c:pt>
                <c:pt idx="855">
                  <c:v>-2.8731725621500925</c:v>
                </c:pt>
                <c:pt idx="856">
                  <c:v>-2.8783550762570358</c:v>
                </c:pt>
                <c:pt idx="857">
                  <c:v>-2.8835376537775934</c:v>
                </c:pt>
                <c:pt idx="858">
                  <c:v>-2.8887202947109021</c:v>
                </c:pt>
                <c:pt idx="859">
                  <c:v>-2.8939029990560989</c:v>
                </c:pt>
                <c:pt idx="860">
                  <c:v>-2.8990857668123207</c:v>
                </c:pt>
                <c:pt idx="861">
                  <c:v>-2.904268597978704</c:v>
                </c:pt>
                <c:pt idx="862">
                  <c:v>-2.909451492554386</c:v>
                </c:pt>
                <c:pt idx="863">
                  <c:v>-2.9146344505385033</c:v>
                </c:pt>
                <c:pt idx="864">
                  <c:v>-2.9198174719301933</c:v>
                </c:pt>
                <c:pt idx="865">
                  <c:v>-2.9250005567285924</c:v>
                </c:pt>
                <c:pt idx="866">
                  <c:v>-2.9301837049328379</c:v>
                </c:pt>
                <c:pt idx="867">
                  <c:v>-2.9353669165420659</c:v>
                </c:pt>
                <c:pt idx="868">
                  <c:v>-2.9405501915554142</c:v>
                </c:pt>
                <c:pt idx="869">
                  <c:v>-2.9457335299720193</c:v>
                </c:pt>
                <c:pt idx="870">
                  <c:v>-2.950916931791018</c:v>
                </c:pt>
                <c:pt idx="871">
                  <c:v>-2.9561003970115469</c:v>
                </c:pt>
                <c:pt idx="872">
                  <c:v>-2.9612839256327432</c:v>
                </c:pt>
                <c:pt idx="873">
                  <c:v>-2.9664675176537436</c:v>
                </c:pt>
                <c:pt idx="874">
                  <c:v>-2.9716511730736852</c:v>
                </c:pt>
                <c:pt idx="875">
                  <c:v>-2.9768348918917047</c:v>
                </c:pt>
                <c:pt idx="876">
                  <c:v>-2.9820186741069392</c:v>
                </c:pt>
                <c:pt idx="877">
                  <c:v>-2.9872025197185255</c:v>
                </c:pt>
                <c:pt idx="878">
                  <c:v>-2.9923864287256001</c:v>
                </c:pt>
                <c:pt idx="879">
                  <c:v>-2.9975704011273003</c:v>
                </c:pt>
                <c:pt idx="880">
                  <c:v>-3.0027544369227628</c:v>
                </c:pt>
                <c:pt idx="881">
                  <c:v>-3.0079385361111246</c:v>
                </c:pt>
                <c:pt idx="882">
                  <c:v>-3.0131226986915225</c:v>
                </c:pt>
                <c:pt idx="883">
                  <c:v>-3.0183069246630931</c:v>
                </c:pt>
                <c:pt idx="884">
                  <c:v>-3.0234912140249737</c:v>
                </c:pt>
                <c:pt idx="885">
                  <c:v>-3.0286755667763008</c:v>
                </c:pt>
                <c:pt idx="886">
                  <c:v>-3.0338599829162116</c:v>
                </c:pt>
                <c:pt idx="887">
                  <c:v>-3.0390444624438429</c:v>
                </c:pt>
                <c:pt idx="888">
                  <c:v>-3.0442290053583316</c:v>
                </c:pt>
                <c:pt idx="889">
                  <c:v>-3.0494136116588142</c:v>
                </c:pt>
                <c:pt idx="890">
                  <c:v>-3.0545982813444281</c:v>
                </c:pt>
                <c:pt idx="891">
                  <c:v>-3.0597830144143097</c:v>
                </c:pt>
                <c:pt idx="892">
                  <c:v>-3.0649678108675964</c:v>
                </c:pt>
                <c:pt idx="893">
                  <c:v>-3.0701526707034246</c:v>
                </c:pt>
                <c:pt idx="894">
                  <c:v>-3.0753375939209313</c:v>
                </c:pt>
                <c:pt idx="895">
                  <c:v>-3.0805225805192533</c:v>
                </c:pt>
                <c:pt idx="896">
                  <c:v>-3.0857076304975277</c:v>
                </c:pt>
                <c:pt idx="897">
                  <c:v>-3.0908927438548912</c:v>
                </c:pt>
                <c:pt idx="898">
                  <c:v>-3.0960779205904809</c:v>
                </c:pt>
                <c:pt idx="899">
                  <c:v>-3.1012631607034336</c:v>
                </c:pt>
                <c:pt idx="900">
                  <c:v>-3.1064484641928858</c:v>
                </c:pt>
                <c:pt idx="901">
                  <c:v>-3.1116338310579748</c:v>
                </c:pt>
                <c:pt idx="902">
                  <c:v>-3.1168192612978372</c:v>
                </c:pt>
                <c:pt idx="903">
                  <c:v>-3.1220047549116101</c:v>
                </c:pt>
                <c:pt idx="904">
                  <c:v>-3.1271903118984303</c:v>
                </c:pt>
                <c:pt idx="905">
                  <c:v>-3.1323759322574345</c:v>
                </c:pt>
                <c:pt idx="906">
                  <c:v>-3.1375616159877597</c:v>
                </c:pt>
                <c:pt idx="907">
                  <c:v>-3.1427473630885427</c:v>
                </c:pt>
                <c:pt idx="908">
                  <c:v>-3.1479331735589207</c:v>
                </c:pt>
                <c:pt idx="909">
                  <c:v>-3.1531190473980302</c:v>
                </c:pt>
                <c:pt idx="910">
                  <c:v>-3.1583049846050084</c:v>
                </c:pt>
                <c:pt idx="911">
                  <c:v>-3.1634909851789916</c:v>
                </c:pt>
                <c:pt idx="912">
                  <c:v>-3.1686770491191174</c:v>
                </c:pt>
                <c:pt idx="913">
                  <c:v>-3.1738631764245224</c:v>
                </c:pt>
                <c:pt idx="914">
                  <c:v>-3.1790493670943434</c:v>
                </c:pt>
                <c:pt idx="915">
                  <c:v>-3.184235621127717</c:v>
                </c:pt>
                <c:pt idx="916">
                  <c:v>-3.1894219385237803</c:v>
                </c:pt>
                <c:pt idx="917">
                  <c:v>-3.1946083192816705</c:v>
                </c:pt>
                <c:pt idx="918">
                  <c:v>-3.1997947634005239</c:v>
                </c:pt>
                <c:pt idx="919">
                  <c:v>-3.204981270879478</c:v>
                </c:pt>
                <c:pt idx="920">
                  <c:v>-3.2101678417176691</c:v>
                </c:pt>
                <c:pt idx="921">
                  <c:v>-3.2153544759142343</c:v>
                </c:pt>
                <c:pt idx="922">
                  <c:v>-3.2205411734683107</c:v>
                </c:pt>
                <c:pt idx="923">
                  <c:v>-3.225727934379035</c:v>
                </c:pt>
                <c:pt idx="924">
                  <c:v>-3.230914758645544</c:v>
                </c:pt>
                <c:pt idx="925">
                  <c:v>-3.2361016462669747</c:v>
                </c:pt>
                <c:pt idx="926">
                  <c:v>-3.2412885972424639</c:v>
                </c:pt>
                <c:pt idx="927">
                  <c:v>-3.2464756115711482</c:v>
                </c:pt>
                <c:pt idx="928">
                  <c:v>-3.2516626892521647</c:v>
                </c:pt>
                <c:pt idx="929">
                  <c:v>-3.2568498302846507</c:v>
                </c:pt>
                <c:pt idx="930">
                  <c:v>-3.2620370346677423</c:v>
                </c:pt>
                <c:pt idx="931">
                  <c:v>-3.2672243024005772</c:v>
                </c:pt>
                <c:pt idx="932">
                  <c:v>-3.2724116334822915</c:v>
                </c:pt>
                <c:pt idx="933">
                  <c:v>-3.2775990279120224</c:v>
                </c:pt>
                <c:pt idx="934">
                  <c:v>-3.2827864856889071</c:v>
                </c:pt>
                <c:pt idx="935">
                  <c:v>-3.2879740068120822</c:v>
                </c:pt>
                <c:pt idx="936">
                  <c:v>-3.2931615912806844</c:v>
                </c:pt>
                <c:pt idx="937">
                  <c:v>-3.2983492390938509</c:v>
                </c:pt>
                <c:pt idx="938">
                  <c:v>-3.3035369502507184</c:v>
                </c:pt>
                <c:pt idx="939">
                  <c:v>-3.3087247247504235</c:v>
                </c:pt>
                <c:pt idx="940">
                  <c:v>-3.3139125625921033</c:v>
                </c:pt>
                <c:pt idx="941">
                  <c:v>-3.3191004637748951</c:v>
                </c:pt>
                <c:pt idx="942">
                  <c:v>-3.324288428297935</c:v>
                </c:pt>
                <c:pt idx="943">
                  <c:v>-3.3294764561603607</c:v>
                </c:pt>
                <c:pt idx="944">
                  <c:v>-3.3346645473613084</c:v>
                </c:pt>
                <c:pt idx="945">
                  <c:v>-3.3398527018999151</c:v>
                </c:pt>
                <c:pt idx="946">
                  <c:v>-3.3450409197753181</c:v>
                </c:pt>
                <c:pt idx="947">
                  <c:v>-3.3502292009866541</c:v>
                </c:pt>
                <c:pt idx="948">
                  <c:v>-3.3554175455330597</c:v>
                </c:pt>
                <c:pt idx="949">
                  <c:v>-3.3606059534136721</c:v>
                </c:pt>
                <c:pt idx="950">
                  <c:v>-3.3657944246276279</c:v>
                </c:pt>
                <c:pt idx="951">
                  <c:v>-3.3709829591740643</c:v>
                </c:pt>
                <c:pt idx="952">
                  <c:v>-3.376171557052118</c:v>
                </c:pt>
                <c:pt idx="953">
                  <c:v>-3.3813602182609257</c:v>
                </c:pt>
                <c:pt idx="954">
                  <c:v>-3.3865489427996245</c:v>
                </c:pt>
                <c:pt idx="955">
                  <c:v>-3.3917377306673511</c:v>
                </c:pt>
                <c:pt idx="956">
                  <c:v>-3.3969265818632426</c:v>
                </c:pt>
                <c:pt idx="957">
                  <c:v>-3.4021154963864357</c:v>
                </c:pt>
                <c:pt idx="958">
                  <c:v>-3.4073044742360672</c:v>
                </c:pt>
                <c:pt idx="959">
                  <c:v>-3.4124935154112741</c:v>
                </c:pt>
                <c:pt idx="960">
                  <c:v>-3.4176826199111936</c:v>
                </c:pt>
                <c:pt idx="961">
                  <c:v>-3.4228717877349624</c:v>
                </c:pt>
                <c:pt idx="962">
                  <c:v>-3.4280610188817171</c:v>
                </c:pt>
                <c:pt idx="963">
                  <c:v>-3.4332503133505945</c:v>
                </c:pt>
                <c:pt idx="964">
                  <c:v>-3.4384396711407317</c:v>
                </c:pt>
                <c:pt idx="965">
                  <c:v>-3.4436290922512658</c:v>
                </c:pt>
                <c:pt idx="966">
                  <c:v>-3.4488185766813335</c:v>
                </c:pt>
                <c:pt idx="967">
                  <c:v>-3.4540081244300715</c:v>
                </c:pt>
                <c:pt idx="968">
                  <c:v>-3.459197735496617</c:v>
                </c:pt>
                <c:pt idx="969">
                  <c:v>-3.4643874098801066</c:v>
                </c:pt>
                <c:pt idx="970">
                  <c:v>-3.4695771475796775</c:v>
                </c:pt>
                <c:pt idx="971">
                  <c:v>-3.4747669485944663</c:v>
                </c:pt>
                <c:pt idx="972">
                  <c:v>-3.4799568129236098</c:v>
                </c:pt>
                <c:pt idx="973">
                  <c:v>-3.4851467405662451</c:v>
                </c:pt>
                <c:pt idx="974">
                  <c:v>-3.4903367315215088</c:v>
                </c:pt>
                <c:pt idx="975">
                  <c:v>-3.4955267857885381</c:v>
                </c:pt>
                <c:pt idx="976">
                  <c:v>-3.5007169033664698</c:v>
                </c:pt>
                <c:pt idx="977">
                  <c:v>-3.5059070842544409</c:v>
                </c:pt>
                <c:pt idx="978">
                  <c:v>-3.5110973284515881</c:v>
                </c:pt>
                <c:pt idx="979">
                  <c:v>-3.5162876359570481</c:v>
                </c:pt>
                <c:pt idx="980">
                  <c:v>-3.521478006769958</c:v>
                </c:pt>
                <c:pt idx="981">
                  <c:v>-3.5266684408894551</c:v>
                </c:pt>
                <c:pt idx="982">
                  <c:v>-3.5318589383146755</c:v>
                </c:pt>
                <c:pt idx="983">
                  <c:v>-3.5370494990447563</c:v>
                </c:pt>
                <c:pt idx="984">
                  <c:v>-3.5422401230788347</c:v>
                </c:pt>
                <c:pt idx="985">
                  <c:v>-3.5474308104160475</c:v>
                </c:pt>
                <c:pt idx="986">
                  <c:v>-3.5526215610555316</c:v>
                </c:pt>
                <c:pt idx="987">
                  <c:v>-3.5578123749964234</c:v>
                </c:pt>
                <c:pt idx="988">
                  <c:v>-3.5630032522378605</c:v>
                </c:pt>
                <c:pt idx="989">
                  <c:v>-3.5681941927789791</c:v>
                </c:pt>
                <c:pt idx="990">
                  <c:v>-3.5733851966189167</c:v>
                </c:pt>
                <c:pt idx="991">
                  <c:v>-3.5785762637568097</c:v>
                </c:pt>
                <c:pt idx="992">
                  <c:v>-3.5837673941917951</c:v>
                </c:pt>
                <c:pt idx="993">
                  <c:v>-3.5889585879230101</c:v>
                </c:pt>
                <c:pt idx="994">
                  <c:v>-3.5941498449495914</c:v>
                </c:pt>
                <c:pt idx="995">
                  <c:v>-3.5993411652706757</c:v>
                </c:pt>
                <c:pt idx="996">
                  <c:v>-3.6045325488854001</c:v>
                </c:pt>
                <c:pt idx="997">
                  <c:v>-3.6097239957929013</c:v>
                </c:pt>
                <c:pt idx="998">
                  <c:v>-3.6149155059923159</c:v>
                </c:pt>
                <c:pt idx="999">
                  <c:v>-3.6201070794827812</c:v>
                </c:pt>
                <c:pt idx="1000">
                  <c:v>-3.6252987162634343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BC-E84B-8A2E-77A3E8DE6A60}"/>
            </c:ext>
          </c:extLst>
        </c:ser>
        <c:ser>
          <c:idx val="6"/>
          <c:order val="6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Trajecto!$B$157</c:f>
              <c:numCache>
                <c:formatCode>General</c:formatCode>
                <c:ptCount val="1"/>
                <c:pt idx="0">
                  <c:v>4.75</c:v>
                </c:pt>
              </c:numCache>
            </c:numRef>
          </c:xVal>
          <c:yVal>
            <c:numRef>
              <c:f>Trajecto!$C$155</c:f>
              <c:numCache>
                <c:formatCode>0</c:formatCode>
                <c:ptCount val="1"/>
                <c:pt idx="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BC-E84B-8A2E-77A3E8DE6A60}"/>
            </c:ext>
          </c:extLst>
        </c:ser>
        <c:ser>
          <c:idx val="7"/>
          <c:order val="7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808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Trajecto!$B$158</c:f>
              <c:numCache>
                <c:formatCode>General</c:formatCode>
                <c:ptCount val="1"/>
                <c:pt idx="0">
                  <c:v>8.9499999999999851</c:v>
                </c:pt>
              </c:numCache>
            </c:numRef>
          </c:xVal>
          <c:yVal>
            <c:numRef>
              <c:f>Trajecto!$C$156</c:f>
              <c:numCache>
                <c:formatCode>0</c:formatCode>
                <c:ptCount val="1"/>
                <c:pt idx="0">
                  <c:v>82.570525710966322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BC-E84B-8A2E-77A3E8DE6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430064"/>
        <c:axId val="1"/>
      </c:scatterChart>
      <c:valAx>
        <c:axId val="18064300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Trajecto!$B$112</c:f>
              <c:strCache>
                <c:ptCount val="1"/>
                <c:pt idx="0">
                  <c:v>Temps [s]</c:v>
                </c:pt>
              </c:strCache>
            </c:strRef>
          </c:tx>
          <c:layout>
            <c:manualLayout>
              <c:xMode val="edge"/>
              <c:yMode val="edge"/>
              <c:x val="0.60555551848391831"/>
              <c:y val="0.85139305699995049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800" b="1" i="0" u="none" strike="noStrike" baseline="0">
                  <a:solidFill>
                    <a:srgbClr val="0000FF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Altitude z [m]</a:t>
                </a:r>
              </a:p>
            </c:rich>
          </c:tx>
          <c:layout>
            <c:manualLayout>
              <c:xMode val="edge"/>
              <c:yMode val="edge"/>
              <c:x val="9.0000333644735087E-2"/>
              <c:y val="6.8111391736410301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6430064"/>
        <c:crosses val="autoZero"/>
        <c:crossBetween val="midCat"/>
      </c:valAx>
      <c:spPr>
        <a:gradFill rotWithShape="0">
          <a:gsLst>
            <a:gs pos="0">
              <a:srgbClr val="99CC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Forces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674528301886802"/>
          <c:y val="9.4771544282144501E-2"/>
          <c:w val="0.86438679245283023"/>
          <c:h val="0.74183243282920064"/>
        </c:manualLayout>
      </c:layout>
      <c:scatterChart>
        <c:scatterStyle val="lineMarker"/>
        <c:varyColors val="0"/>
        <c:ser>
          <c:idx val="1"/>
          <c:order val="0"/>
          <c:tx>
            <c:strRef>
              <c:f>Courbes!$B$134</c:f>
              <c:strCache>
                <c:ptCount val="1"/>
                <c:pt idx="0">
                  <c:v>Poussée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2.1000000000000014</c:v>
                </c:pt>
                <c:pt idx="202">
                  <c:v>2.2000000000000015</c:v>
                </c:pt>
                <c:pt idx="203">
                  <c:v>2.3000000000000016</c:v>
                </c:pt>
                <c:pt idx="204">
                  <c:v>2.4000000000000017</c:v>
                </c:pt>
                <c:pt idx="205">
                  <c:v>2.5000000000000018</c:v>
                </c:pt>
                <c:pt idx="206">
                  <c:v>2.6000000000000019</c:v>
                </c:pt>
                <c:pt idx="207">
                  <c:v>2.700000000000002</c:v>
                </c:pt>
                <c:pt idx="208">
                  <c:v>2.800000000000002</c:v>
                </c:pt>
                <c:pt idx="209">
                  <c:v>2.9000000000000021</c:v>
                </c:pt>
                <c:pt idx="210">
                  <c:v>3.0000000000000022</c:v>
                </c:pt>
                <c:pt idx="211">
                  <c:v>3.1000000000000023</c:v>
                </c:pt>
                <c:pt idx="212">
                  <c:v>3.2000000000000024</c:v>
                </c:pt>
                <c:pt idx="213">
                  <c:v>3.3000000000000025</c:v>
                </c:pt>
                <c:pt idx="214">
                  <c:v>3.4000000000000026</c:v>
                </c:pt>
                <c:pt idx="215">
                  <c:v>3.5000000000000027</c:v>
                </c:pt>
                <c:pt idx="216">
                  <c:v>3.6000000000000028</c:v>
                </c:pt>
                <c:pt idx="217">
                  <c:v>3.7000000000000028</c:v>
                </c:pt>
                <c:pt idx="218">
                  <c:v>3.8000000000000029</c:v>
                </c:pt>
                <c:pt idx="219">
                  <c:v>3.900000000000003</c:v>
                </c:pt>
                <c:pt idx="220">
                  <c:v>4.0000000000000027</c:v>
                </c:pt>
                <c:pt idx="221">
                  <c:v>4.1000000000000023</c:v>
                </c:pt>
                <c:pt idx="222">
                  <c:v>4.200000000000002</c:v>
                </c:pt>
                <c:pt idx="223">
                  <c:v>4.3000000000000016</c:v>
                </c:pt>
                <c:pt idx="224">
                  <c:v>4.4000000000000012</c:v>
                </c:pt>
                <c:pt idx="225">
                  <c:v>4.5000000000000009</c:v>
                </c:pt>
                <c:pt idx="226">
                  <c:v>4.6000000000000005</c:v>
                </c:pt>
                <c:pt idx="227">
                  <c:v>4.7</c:v>
                </c:pt>
                <c:pt idx="228">
                  <c:v>4.8</c:v>
                </c:pt>
                <c:pt idx="229">
                  <c:v>4.8999999999999995</c:v>
                </c:pt>
                <c:pt idx="230">
                  <c:v>4.9999999999999991</c:v>
                </c:pt>
                <c:pt idx="231">
                  <c:v>5.0999999999999988</c:v>
                </c:pt>
                <c:pt idx="232">
                  <c:v>5.1999999999999984</c:v>
                </c:pt>
                <c:pt idx="233">
                  <c:v>5.299999999999998</c:v>
                </c:pt>
                <c:pt idx="234">
                  <c:v>5.3999999999999977</c:v>
                </c:pt>
                <c:pt idx="235">
                  <c:v>5.4999999999999973</c:v>
                </c:pt>
                <c:pt idx="236">
                  <c:v>5.599999999999997</c:v>
                </c:pt>
                <c:pt idx="237">
                  <c:v>5.6999999999999966</c:v>
                </c:pt>
                <c:pt idx="238">
                  <c:v>5.7999999999999963</c:v>
                </c:pt>
                <c:pt idx="239">
                  <c:v>5.8999999999999959</c:v>
                </c:pt>
                <c:pt idx="240">
                  <c:v>5.9999999999999956</c:v>
                </c:pt>
                <c:pt idx="241">
                  <c:v>6.0999999999999952</c:v>
                </c:pt>
                <c:pt idx="242">
                  <c:v>6.1999999999999948</c:v>
                </c:pt>
                <c:pt idx="243">
                  <c:v>6.2999999999999945</c:v>
                </c:pt>
                <c:pt idx="244">
                  <c:v>6.3999999999999941</c:v>
                </c:pt>
                <c:pt idx="245">
                  <c:v>6.4999999999999938</c:v>
                </c:pt>
                <c:pt idx="246">
                  <c:v>6.5999999999999934</c:v>
                </c:pt>
                <c:pt idx="247">
                  <c:v>6.6999999999999931</c:v>
                </c:pt>
                <c:pt idx="248">
                  <c:v>6.7999999999999927</c:v>
                </c:pt>
                <c:pt idx="249">
                  <c:v>6.8999999999999924</c:v>
                </c:pt>
                <c:pt idx="250">
                  <c:v>6.999999999999992</c:v>
                </c:pt>
                <c:pt idx="251">
                  <c:v>7.0999999999999917</c:v>
                </c:pt>
                <c:pt idx="252">
                  <c:v>7.1999999999999913</c:v>
                </c:pt>
                <c:pt idx="253">
                  <c:v>7.2999999999999909</c:v>
                </c:pt>
                <c:pt idx="254">
                  <c:v>7.3999999999999906</c:v>
                </c:pt>
                <c:pt idx="255">
                  <c:v>7.4999999999999902</c:v>
                </c:pt>
                <c:pt idx="256">
                  <c:v>7.5999999999999899</c:v>
                </c:pt>
                <c:pt idx="257">
                  <c:v>7.6999999999999895</c:v>
                </c:pt>
                <c:pt idx="258">
                  <c:v>7.7999999999999892</c:v>
                </c:pt>
                <c:pt idx="259">
                  <c:v>7.8999999999999888</c:v>
                </c:pt>
                <c:pt idx="260">
                  <c:v>7.9999999999999885</c:v>
                </c:pt>
                <c:pt idx="261">
                  <c:v>8.099999999999989</c:v>
                </c:pt>
                <c:pt idx="262">
                  <c:v>8.1999999999999886</c:v>
                </c:pt>
                <c:pt idx="263">
                  <c:v>8.2999999999999883</c:v>
                </c:pt>
                <c:pt idx="264">
                  <c:v>8.3999999999999879</c:v>
                </c:pt>
                <c:pt idx="265">
                  <c:v>8.4999999999999876</c:v>
                </c:pt>
                <c:pt idx="266">
                  <c:v>8.5999999999999872</c:v>
                </c:pt>
                <c:pt idx="267">
                  <c:v>8.6999999999999869</c:v>
                </c:pt>
                <c:pt idx="268">
                  <c:v>8.7999999999999865</c:v>
                </c:pt>
                <c:pt idx="269">
                  <c:v>8.8999999999999861</c:v>
                </c:pt>
                <c:pt idx="270">
                  <c:v>8.9999999999999858</c:v>
                </c:pt>
                <c:pt idx="271">
                  <c:v>9.0999999999999854</c:v>
                </c:pt>
                <c:pt idx="272">
                  <c:v>9.1999999999999851</c:v>
                </c:pt>
                <c:pt idx="273">
                  <c:v>9.2999999999999847</c:v>
                </c:pt>
                <c:pt idx="274">
                  <c:v>9.3999999999999844</c:v>
                </c:pt>
                <c:pt idx="275">
                  <c:v>9.499999999999984</c:v>
                </c:pt>
                <c:pt idx="276">
                  <c:v>9.5999999999999837</c:v>
                </c:pt>
                <c:pt idx="277">
                  <c:v>9.6999999999999833</c:v>
                </c:pt>
                <c:pt idx="278">
                  <c:v>9.7999999999999829</c:v>
                </c:pt>
                <c:pt idx="279">
                  <c:v>9.8999999999999826</c:v>
                </c:pt>
                <c:pt idx="280">
                  <c:v>9.9999999999999822</c:v>
                </c:pt>
                <c:pt idx="281">
                  <c:v>10.099999999999982</c:v>
                </c:pt>
                <c:pt idx="282">
                  <c:v>10.199999999999982</c:v>
                </c:pt>
                <c:pt idx="283">
                  <c:v>10.299999999999981</c:v>
                </c:pt>
                <c:pt idx="284">
                  <c:v>10.399999999999981</c:v>
                </c:pt>
                <c:pt idx="285">
                  <c:v>10.49999999999998</c:v>
                </c:pt>
                <c:pt idx="286">
                  <c:v>10.59999999999998</c:v>
                </c:pt>
                <c:pt idx="287">
                  <c:v>10.69999999999998</c:v>
                </c:pt>
                <c:pt idx="288">
                  <c:v>10.799999999999979</c:v>
                </c:pt>
                <c:pt idx="289">
                  <c:v>10.899999999999979</c:v>
                </c:pt>
                <c:pt idx="290">
                  <c:v>10.999999999999979</c:v>
                </c:pt>
                <c:pt idx="291">
                  <c:v>11.099999999999978</c:v>
                </c:pt>
                <c:pt idx="292">
                  <c:v>11.199999999999978</c:v>
                </c:pt>
                <c:pt idx="293">
                  <c:v>11.299999999999978</c:v>
                </c:pt>
                <c:pt idx="294">
                  <c:v>11.399999999999977</c:v>
                </c:pt>
                <c:pt idx="295">
                  <c:v>11.499999999999977</c:v>
                </c:pt>
                <c:pt idx="296">
                  <c:v>11.599999999999977</c:v>
                </c:pt>
                <c:pt idx="297">
                  <c:v>11.699999999999976</c:v>
                </c:pt>
                <c:pt idx="298">
                  <c:v>11.799999999999976</c:v>
                </c:pt>
                <c:pt idx="299">
                  <c:v>11.899999999999975</c:v>
                </c:pt>
                <c:pt idx="300">
                  <c:v>11.999999999999975</c:v>
                </c:pt>
                <c:pt idx="301">
                  <c:v>12.000099999999975</c:v>
                </c:pt>
                <c:pt idx="302">
                  <c:v>12.000199999999975</c:v>
                </c:pt>
                <c:pt idx="303">
                  <c:v>12.000299999999974</c:v>
                </c:pt>
                <c:pt idx="304">
                  <c:v>12.000399999999974</c:v>
                </c:pt>
                <c:pt idx="305">
                  <c:v>12.000499999999974</c:v>
                </c:pt>
                <c:pt idx="306">
                  <c:v>12.000599999999974</c:v>
                </c:pt>
                <c:pt idx="307">
                  <c:v>12.000699999999973</c:v>
                </c:pt>
                <c:pt idx="308">
                  <c:v>12.000799999999973</c:v>
                </c:pt>
                <c:pt idx="309">
                  <c:v>12.000899999999973</c:v>
                </c:pt>
                <c:pt idx="310">
                  <c:v>12.000999999999973</c:v>
                </c:pt>
                <c:pt idx="311">
                  <c:v>12.001099999999973</c:v>
                </c:pt>
                <c:pt idx="312">
                  <c:v>12.001199999999972</c:v>
                </c:pt>
                <c:pt idx="313">
                  <c:v>12.001299999999972</c:v>
                </c:pt>
                <c:pt idx="314">
                  <c:v>12.001399999999972</c:v>
                </c:pt>
                <c:pt idx="315">
                  <c:v>12.001499999999972</c:v>
                </c:pt>
                <c:pt idx="316">
                  <c:v>12.001599999999971</c:v>
                </c:pt>
                <c:pt idx="317">
                  <c:v>12.001699999999971</c:v>
                </c:pt>
                <c:pt idx="318">
                  <c:v>12.001799999999971</c:v>
                </c:pt>
                <c:pt idx="319">
                  <c:v>12.001899999999971</c:v>
                </c:pt>
                <c:pt idx="320">
                  <c:v>12.00199999999997</c:v>
                </c:pt>
                <c:pt idx="321">
                  <c:v>12.00209999999997</c:v>
                </c:pt>
                <c:pt idx="322">
                  <c:v>12.00219999999997</c:v>
                </c:pt>
                <c:pt idx="323">
                  <c:v>12.00229999999997</c:v>
                </c:pt>
                <c:pt idx="324">
                  <c:v>12.00239999999997</c:v>
                </c:pt>
                <c:pt idx="325">
                  <c:v>12.002499999999969</c:v>
                </c:pt>
                <c:pt idx="326">
                  <c:v>12.002599999999969</c:v>
                </c:pt>
                <c:pt idx="327">
                  <c:v>12.002699999999969</c:v>
                </c:pt>
                <c:pt idx="328">
                  <c:v>12.002799999999969</c:v>
                </c:pt>
                <c:pt idx="329">
                  <c:v>12.002899999999968</c:v>
                </c:pt>
                <c:pt idx="330">
                  <c:v>12.002999999999968</c:v>
                </c:pt>
                <c:pt idx="331">
                  <c:v>12.003099999999968</c:v>
                </c:pt>
                <c:pt idx="332">
                  <c:v>12.003199999999968</c:v>
                </c:pt>
                <c:pt idx="333">
                  <c:v>12.003299999999967</c:v>
                </c:pt>
                <c:pt idx="334">
                  <c:v>12.003399999999967</c:v>
                </c:pt>
                <c:pt idx="335">
                  <c:v>12.003499999999967</c:v>
                </c:pt>
                <c:pt idx="336">
                  <c:v>12.003599999999967</c:v>
                </c:pt>
                <c:pt idx="337">
                  <c:v>12.003699999999967</c:v>
                </c:pt>
                <c:pt idx="338">
                  <c:v>12.003799999999966</c:v>
                </c:pt>
                <c:pt idx="339">
                  <c:v>12.003899999999966</c:v>
                </c:pt>
                <c:pt idx="340">
                  <c:v>12.003999999999966</c:v>
                </c:pt>
                <c:pt idx="341">
                  <c:v>12.004099999999966</c:v>
                </c:pt>
                <c:pt idx="342">
                  <c:v>12.004199999999965</c:v>
                </c:pt>
                <c:pt idx="343">
                  <c:v>12.004299999999965</c:v>
                </c:pt>
                <c:pt idx="344">
                  <c:v>12.004399999999965</c:v>
                </c:pt>
                <c:pt idx="345">
                  <c:v>12.004499999999965</c:v>
                </c:pt>
                <c:pt idx="346">
                  <c:v>12.004599999999964</c:v>
                </c:pt>
                <c:pt idx="347">
                  <c:v>12.004699999999964</c:v>
                </c:pt>
                <c:pt idx="348">
                  <c:v>12.004799999999964</c:v>
                </c:pt>
                <c:pt idx="349">
                  <c:v>12.004899999999964</c:v>
                </c:pt>
                <c:pt idx="350">
                  <c:v>12.004999999999963</c:v>
                </c:pt>
                <c:pt idx="351">
                  <c:v>12.005099999999963</c:v>
                </c:pt>
                <c:pt idx="352">
                  <c:v>12.005199999999963</c:v>
                </c:pt>
                <c:pt idx="353">
                  <c:v>12.005299999999963</c:v>
                </c:pt>
                <c:pt idx="354">
                  <c:v>12.005399999999963</c:v>
                </c:pt>
                <c:pt idx="355">
                  <c:v>12.005499999999962</c:v>
                </c:pt>
                <c:pt idx="356">
                  <c:v>12.005599999999962</c:v>
                </c:pt>
                <c:pt idx="357">
                  <c:v>12.005699999999962</c:v>
                </c:pt>
                <c:pt idx="358">
                  <c:v>12.005799999999962</c:v>
                </c:pt>
                <c:pt idx="359">
                  <c:v>12.005899999999961</c:v>
                </c:pt>
                <c:pt idx="360">
                  <c:v>12.005999999999961</c:v>
                </c:pt>
                <c:pt idx="361">
                  <c:v>12.006099999999961</c:v>
                </c:pt>
                <c:pt idx="362">
                  <c:v>12.006199999999961</c:v>
                </c:pt>
                <c:pt idx="363">
                  <c:v>12.00629999999996</c:v>
                </c:pt>
                <c:pt idx="364">
                  <c:v>12.00639999999996</c:v>
                </c:pt>
                <c:pt idx="365">
                  <c:v>12.00649999999996</c:v>
                </c:pt>
                <c:pt idx="366">
                  <c:v>12.00659999999996</c:v>
                </c:pt>
                <c:pt idx="367">
                  <c:v>12.00669999999996</c:v>
                </c:pt>
                <c:pt idx="368">
                  <c:v>12.006799999999959</c:v>
                </c:pt>
                <c:pt idx="369">
                  <c:v>12.006899999999959</c:v>
                </c:pt>
                <c:pt idx="370">
                  <c:v>12.006999999999959</c:v>
                </c:pt>
                <c:pt idx="371">
                  <c:v>12.007099999999959</c:v>
                </c:pt>
                <c:pt idx="372">
                  <c:v>12.007199999999958</c:v>
                </c:pt>
                <c:pt idx="373">
                  <c:v>12.007299999999958</c:v>
                </c:pt>
                <c:pt idx="374">
                  <c:v>12.007399999999958</c:v>
                </c:pt>
                <c:pt idx="375">
                  <c:v>12.007499999999958</c:v>
                </c:pt>
                <c:pt idx="376">
                  <c:v>12.007599999999957</c:v>
                </c:pt>
                <c:pt idx="377">
                  <c:v>12.007699999999957</c:v>
                </c:pt>
                <c:pt idx="378">
                  <c:v>12.007799999999957</c:v>
                </c:pt>
                <c:pt idx="379">
                  <c:v>12.007899999999957</c:v>
                </c:pt>
                <c:pt idx="380">
                  <c:v>12.007999999999956</c:v>
                </c:pt>
                <c:pt idx="381">
                  <c:v>12.008099999999956</c:v>
                </c:pt>
                <c:pt idx="382">
                  <c:v>12.008199999999956</c:v>
                </c:pt>
                <c:pt idx="383">
                  <c:v>12.008299999999956</c:v>
                </c:pt>
                <c:pt idx="384">
                  <c:v>12.008399999999956</c:v>
                </c:pt>
                <c:pt idx="385">
                  <c:v>12.008499999999955</c:v>
                </c:pt>
                <c:pt idx="386">
                  <c:v>12.008599999999955</c:v>
                </c:pt>
                <c:pt idx="387">
                  <c:v>12.008699999999955</c:v>
                </c:pt>
                <c:pt idx="388">
                  <c:v>12.008799999999955</c:v>
                </c:pt>
                <c:pt idx="389">
                  <c:v>12.008899999999954</c:v>
                </c:pt>
                <c:pt idx="390">
                  <c:v>12.008999999999954</c:v>
                </c:pt>
                <c:pt idx="391">
                  <c:v>12.009099999999954</c:v>
                </c:pt>
                <c:pt idx="392">
                  <c:v>12.009199999999954</c:v>
                </c:pt>
                <c:pt idx="393">
                  <c:v>12.009299999999953</c:v>
                </c:pt>
                <c:pt idx="394">
                  <c:v>12.009399999999953</c:v>
                </c:pt>
                <c:pt idx="395">
                  <c:v>12.009499999999953</c:v>
                </c:pt>
                <c:pt idx="396">
                  <c:v>12.009599999999953</c:v>
                </c:pt>
                <c:pt idx="397">
                  <c:v>12.009699999999953</c:v>
                </c:pt>
                <c:pt idx="398">
                  <c:v>12.009799999999952</c:v>
                </c:pt>
                <c:pt idx="399">
                  <c:v>12.009899999999952</c:v>
                </c:pt>
                <c:pt idx="400">
                  <c:v>12.009999999999952</c:v>
                </c:pt>
                <c:pt idx="401">
                  <c:v>12.010099999999952</c:v>
                </c:pt>
                <c:pt idx="402">
                  <c:v>12.010199999999951</c:v>
                </c:pt>
                <c:pt idx="403">
                  <c:v>12.010299999999951</c:v>
                </c:pt>
                <c:pt idx="404">
                  <c:v>12.010399999999951</c:v>
                </c:pt>
                <c:pt idx="405">
                  <c:v>12.010499999999951</c:v>
                </c:pt>
                <c:pt idx="406">
                  <c:v>12.01059999999995</c:v>
                </c:pt>
                <c:pt idx="407">
                  <c:v>12.01069999999995</c:v>
                </c:pt>
                <c:pt idx="408">
                  <c:v>12.01079999999995</c:v>
                </c:pt>
                <c:pt idx="409">
                  <c:v>12.01089999999995</c:v>
                </c:pt>
                <c:pt idx="410">
                  <c:v>12.010999999999949</c:v>
                </c:pt>
                <c:pt idx="411">
                  <c:v>12.011099999999949</c:v>
                </c:pt>
                <c:pt idx="412">
                  <c:v>12.011199999999949</c:v>
                </c:pt>
                <c:pt idx="413">
                  <c:v>12.011299999999949</c:v>
                </c:pt>
                <c:pt idx="414">
                  <c:v>12.011399999999949</c:v>
                </c:pt>
                <c:pt idx="415">
                  <c:v>12.011499999999948</c:v>
                </c:pt>
                <c:pt idx="416">
                  <c:v>12.011599999999948</c:v>
                </c:pt>
                <c:pt idx="417">
                  <c:v>12.011699999999948</c:v>
                </c:pt>
                <c:pt idx="418">
                  <c:v>12.011799999999948</c:v>
                </c:pt>
                <c:pt idx="419">
                  <c:v>12.011899999999947</c:v>
                </c:pt>
                <c:pt idx="420">
                  <c:v>12.011999999999947</c:v>
                </c:pt>
                <c:pt idx="421">
                  <c:v>12.012099999999947</c:v>
                </c:pt>
                <c:pt idx="422">
                  <c:v>12.012199999999947</c:v>
                </c:pt>
                <c:pt idx="423">
                  <c:v>12.012299999999946</c:v>
                </c:pt>
                <c:pt idx="424">
                  <c:v>12.012399999999946</c:v>
                </c:pt>
                <c:pt idx="425">
                  <c:v>12.012499999999946</c:v>
                </c:pt>
                <c:pt idx="426">
                  <c:v>12.012599999999946</c:v>
                </c:pt>
                <c:pt idx="427">
                  <c:v>12.012699999999946</c:v>
                </c:pt>
                <c:pt idx="428">
                  <c:v>12.012799999999945</c:v>
                </c:pt>
                <c:pt idx="429">
                  <c:v>12.012899999999945</c:v>
                </c:pt>
                <c:pt idx="430">
                  <c:v>12.012999999999945</c:v>
                </c:pt>
                <c:pt idx="431">
                  <c:v>12.013099999999945</c:v>
                </c:pt>
                <c:pt idx="432">
                  <c:v>12.013199999999944</c:v>
                </c:pt>
                <c:pt idx="433">
                  <c:v>12.013299999999944</c:v>
                </c:pt>
                <c:pt idx="434">
                  <c:v>12.013399999999944</c:v>
                </c:pt>
                <c:pt idx="435">
                  <c:v>12.013499999999944</c:v>
                </c:pt>
                <c:pt idx="436">
                  <c:v>12.013599999999943</c:v>
                </c:pt>
                <c:pt idx="437">
                  <c:v>12.013699999999943</c:v>
                </c:pt>
                <c:pt idx="438">
                  <c:v>12.013799999999943</c:v>
                </c:pt>
                <c:pt idx="439">
                  <c:v>12.013899999999943</c:v>
                </c:pt>
                <c:pt idx="440">
                  <c:v>12.013999999999943</c:v>
                </c:pt>
                <c:pt idx="441">
                  <c:v>12.014099999999942</c:v>
                </c:pt>
                <c:pt idx="442">
                  <c:v>12.014199999999942</c:v>
                </c:pt>
                <c:pt idx="443">
                  <c:v>12.014299999999942</c:v>
                </c:pt>
                <c:pt idx="444">
                  <c:v>12.014399999999942</c:v>
                </c:pt>
                <c:pt idx="445">
                  <c:v>12.014499999999941</c:v>
                </c:pt>
                <c:pt idx="446">
                  <c:v>12.014599999999941</c:v>
                </c:pt>
                <c:pt idx="447">
                  <c:v>12.014699999999941</c:v>
                </c:pt>
                <c:pt idx="448">
                  <c:v>12.014799999999941</c:v>
                </c:pt>
                <c:pt idx="449">
                  <c:v>12.01489999999994</c:v>
                </c:pt>
                <c:pt idx="450">
                  <c:v>12.01499999999994</c:v>
                </c:pt>
                <c:pt idx="451">
                  <c:v>12.01509999999994</c:v>
                </c:pt>
                <c:pt idx="452">
                  <c:v>12.01519999999994</c:v>
                </c:pt>
                <c:pt idx="453">
                  <c:v>12.015299999999939</c:v>
                </c:pt>
                <c:pt idx="454">
                  <c:v>12.015399999999939</c:v>
                </c:pt>
                <c:pt idx="455">
                  <c:v>12.015499999999939</c:v>
                </c:pt>
                <c:pt idx="456">
                  <c:v>12.015599999999939</c:v>
                </c:pt>
                <c:pt idx="457">
                  <c:v>12.015699999999939</c:v>
                </c:pt>
                <c:pt idx="458">
                  <c:v>12.015799999999938</c:v>
                </c:pt>
                <c:pt idx="459">
                  <c:v>12.015899999999938</c:v>
                </c:pt>
                <c:pt idx="460">
                  <c:v>12.015999999999938</c:v>
                </c:pt>
                <c:pt idx="461">
                  <c:v>12.016099999999938</c:v>
                </c:pt>
                <c:pt idx="462">
                  <c:v>12.016199999999937</c:v>
                </c:pt>
                <c:pt idx="463">
                  <c:v>12.016299999999937</c:v>
                </c:pt>
                <c:pt idx="464">
                  <c:v>12.016399999999937</c:v>
                </c:pt>
                <c:pt idx="465">
                  <c:v>12.016499999999937</c:v>
                </c:pt>
                <c:pt idx="466">
                  <c:v>12.016599999999936</c:v>
                </c:pt>
                <c:pt idx="467">
                  <c:v>12.016699999999936</c:v>
                </c:pt>
                <c:pt idx="468">
                  <c:v>12.016799999999936</c:v>
                </c:pt>
                <c:pt idx="469">
                  <c:v>12.016899999999936</c:v>
                </c:pt>
                <c:pt idx="470">
                  <c:v>12.016999999999936</c:v>
                </c:pt>
                <c:pt idx="471">
                  <c:v>12.017099999999935</c:v>
                </c:pt>
                <c:pt idx="472">
                  <c:v>12.017199999999935</c:v>
                </c:pt>
                <c:pt idx="473">
                  <c:v>12.017299999999935</c:v>
                </c:pt>
                <c:pt idx="474">
                  <c:v>12.017399999999935</c:v>
                </c:pt>
                <c:pt idx="475">
                  <c:v>12.017499999999934</c:v>
                </c:pt>
                <c:pt idx="476">
                  <c:v>12.017599999999934</c:v>
                </c:pt>
                <c:pt idx="477">
                  <c:v>12.017699999999934</c:v>
                </c:pt>
                <c:pt idx="478">
                  <c:v>12.017799999999934</c:v>
                </c:pt>
                <c:pt idx="479">
                  <c:v>12.017899999999933</c:v>
                </c:pt>
                <c:pt idx="480">
                  <c:v>12.017999999999933</c:v>
                </c:pt>
                <c:pt idx="481">
                  <c:v>12.018099999999933</c:v>
                </c:pt>
                <c:pt idx="482">
                  <c:v>12.018199999999933</c:v>
                </c:pt>
                <c:pt idx="483">
                  <c:v>12.018299999999932</c:v>
                </c:pt>
                <c:pt idx="484">
                  <c:v>12.018399999999932</c:v>
                </c:pt>
                <c:pt idx="485">
                  <c:v>12.018499999999932</c:v>
                </c:pt>
                <c:pt idx="486">
                  <c:v>12.018599999999932</c:v>
                </c:pt>
                <c:pt idx="487">
                  <c:v>12.018699999999932</c:v>
                </c:pt>
                <c:pt idx="488">
                  <c:v>12.018799999999931</c:v>
                </c:pt>
                <c:pt idx="489">
                  <c:v>12.018899999999931</c:v>
                </c:pt>
                <c:pt idx="490">
                  <c:v>12.018999999999931</c:v>
                </c:pt>
                <c:pt idx="491">
                  <c:v>12.019099999999931</c:v>
                </c:pt>
                <c:pt idx="492">
                  <c:v>12.01919999999993</c:v>
                </c:pt>
                <c:pt idx="493">
                  <c:v>12.01929999999993</c:v>
                </c:pt>
                <c:pt idx="494">
                  <c:v>12.01939999999993</c:v>
                </c:pt>
                <c:pt idx="495">
                  <c:v>12.01949999999993</c:v>
                </c:pt>
                <c:pt idx="496">
                  <c:v>12.019599999999929</c:v>
                </c:pt>
                <c:pt idx="497">
                  <c:v>12.019699999999929</c:v>
                </c:pt>
                <c:pt idx="498">
                  <c:v>12.019799999999929</c:v>
                </c:pt>
                <c:pt idx="499">
                  <c:v>12.019899999999929</c:v>
                </c:pt>
                <c:pt idx="500">
                  <c:v>12.019999999999929</c:v>
                </c:pt>
                <c:pt idx="501">
                  <c:v>12.020099999999928</c:v>
                </c:pt>
                <c:pt idx="502">
                  <c:v>12.020199999999928</c:v>
                </c:pt>
                <c:pt idx="503">
                  <c:v>12.020299999999928</c:v>
                </c:pt>
                <c:pt idx="504">
                  <c:v>12.020399999999928</c:v>
                </c:pt>
                <c:pt idx="505">
                  <c:v>12.020499999999927</c:v>
                </c:pt>
                <c:pt idx="506">
                  <c:v>12.020599999999927</c:v>
                </c:pt>
                <c:pt idx="507">
                  <c:v>12.020699999999927</c:v>
                </c:pt>
                <c:pt idx="508">
                  <c:v>12.020799999999927</c:v>
                </c:pt>
                <c:pt idx="509">
                  <c:v>12.020899999999926</c:v>
                </c:pt>
                <c:pt idx="510">
                  <c:v>12.020999999999926</c:v>
                </c:pt>
                <c:pt idx="511">
                  <c:v>12.021099999999926</c:v>
                </c:pt>
                <c:pt idx="512">
                  <c:v>12.021199999999926</c:v>
                </c:pt>
                <c:pt idx="513">
                  <c:v>12.021299999999925</c:v>
                </c:pt>
                <c:pt idx="514">
                  <c:v>12.021399999999925</c:v>
                </c:pt>
                <c:pt idx="515">
                  <c:v>12.021499999999925</c:v>
                </c:pt>
                <c:pt idx="516">
                  <c:v>12.021599999999925</c:v>
                </c:pt>
                <c:pt idx="517">
                  <c:v>12.021699999999925</c:v>
                </c:pt>
                <c:pt idx="518">
                  <c:v>12.021799999999924</c:v>
                </c:pt>
                <c:pt idx="519">
                  <c:v>12.021899999999924</c:v>
                </c:pt>
                <c:pt idx="520">
                  <c:v>12.021999999999924</c:v>
                </c:pt>
                <c:pt idx="521">
                  <c:v>12.022099999999924</c:v>
                </c:pt>
                <c:pt idx="522">
                  <c:v>12.022199999999923</c:v>
                </c:pt>
                <c:pt idx="523">
                  <c:v>12.022299999999923</c:v>
                </c:pt>
                <c:pt idx="524">
                  <c:v>12.022399999999923</c:v>
                </c:pt>
                <c:pt idx="525">
                  <c:v>12.022499999999923</c:v>
                </c:pt>
                <c:pt idx="526">
                  <c:v>12.022599999999922</c:v>
                </c:pt>
                <c:pt idx="527">
                  <c:v>12.022699999999922</c:v>
                </c:pt>
                <c:pt idx="528">
                  <c:v>12.022799999999922</c:v>
                </c:pt>
                <c:pt idx="529">
                  <c:v>12.022899999999922</c:v>
                </c:pt>
                <c:pt idx="530">
                  <c:v>12.022999999999922</c:v>
                </c:pt>
                <c:pt idx="531">
                  <c:v>12.023099999999921</c:v>
                </c:pt>
                <c:pt idx="532">
                  <c:v>12.023199999999921</c:v>
                </c:pt>
                <c:pt idx="533">
                  <c:v>12.023299999999921</c:v>
                </c:pt>
                <c:pt idx="534">
                  <c:v>12.023399999999921</c:v>
                </c:pt>
                <c:pt idx="535">
                  <c:v>12.02349999999992</c:v>
                </c:pt>
                <c:pt idx="536">
                  <c:v>12.02359999999992</c:v>
                </c:pt>
                <c:pt idx="537">
                  <c:v>12.02369999999992</c:v>
                </c:pt>
                <c:pt idx="538">
                  <c:v>12.02379999999992</c:v>
                </c:pt>
                <c:pt idx="539">
                  <c:v>12.023899999999919</c:v>
                </c:pt>
                <c:pt idx="540">
                  <c:v>12.023999999999919</c:v>
                </c:pt>
                <c:pt idx="541">
                  <c:v>12.024099999999919</c:v>
                </c:pt>
                <c:pt idx="542">
                  <c:v>12.024199999999919</c:v>
                </c:pt>
                <c:pt idx="543">
                  <c:v>12.024299999999918</c:v>
                </c:pt>
                <c:pt idx="544">
                  <c:v>12.024399999999918</c:v>
                </c:pt>
                <c:pt idx="545">
                  <c:v>12.024499999999918</c:v>
                </c:pt>
                <c:pt idx="546">
                  <c:v>12.024599999999918</c:v>
                </c:pt>
                <c:pt idx="547">
                  <c:v>12.024699999999918</c:v>
                </c:pt>
                <c:pt idx="548">
                  <c:v>12.024799999999917</c:v>
                </c:pt>
                <c:pt idx="549">
                  <c:v>12.024899999999917</c:v>
                </c:pt>
                <c:pt idx="550">
                  <c:v>12.024999999999917</c:v>
                </c:pt>
                <c:pt idx="551">
                  <c:v>12.025099999999917</c:v>
                </c:pt>
                <c:pt idx="552">
                  <c:v>12.025199999999916</c:v>
                </c:pt>
                <c:pt idx="553">
                  <c:v>12.025299999999916</c:v>
                </c:pt>
                <c:pt idx="554">
                  <c:v>12.025399999999916</c:v>
                </c:pt>
                <c:pt idx="555">
                  <c:v>12.025499999999916</c:v>
                </c:pt>
                <c:pt idx="556">
                  <c:v>12.025599999999915</c:v>
                </c:pt>
                <c:pt idx="557">
                  <c:v>12.025699999999915</c:v>
                </c:pt>
                <c:pt idx="558">
                  <c:v>12.025799999999915</c:v>
                </c:pt>
                <c:pt idx="559">
                  <c:v>12.025899999999915</c:v>
                </c:pt>
                <c:pt idx="560">
                  <c:v>12.025999999999915</c:v>
                </c:pt>
                <c:pt idx="561">
                  <c:v>12.026099999999914</c:v>
                </c:pt>
                <c:pt idx="562">
                  <c:v>12.026199999999914</c:v>
                </c:pt>
                <c:pt idx="563">
                  <c:v>12.026299999999914</c:v>
                </c:pt>
                <c:pt idx="564">
                  <c:v>12.026399999999914</c:v>
                </c:pt>
                <c:pt idx="565">
                  <c:v>12.026499999999913</c:v>
                </c:pt>
                <c:pt idx="566">
                  <c:v>12.026599999999913</c:v>
                </c:pt>
                <c:pt idx="567">
                  <c:v>12.026699999999913</c:v>
                </c:pt>
                <c:pt idx="568">
                  <c:v>12.026799999999913</c:v>
                </c:pt>
                <c:pt idx="569">
                  <c:v>12.026899999999912</c:v>
                </c:pt>
                <c:pt idx="570">
                  <c:v>12.026999999999912</c:v>
                </c:pt>
                <c:pt idx="571">
                  <c:v>12.027099999999912</c:v>
                </c:pt>
                <c:pt idx="572">
                  <c:v>12.027199999999912</c:v>
                </c:pt>
                <c:pt idx="573">
                  <c:v>12.027299999999912</c:v>
                </c:pt>
                <c:pt idx="574">
                  <c:v>12.027399999999911</c:v>
                </c:pt>
                <c:pt idx="575">
                  <c:v>12.027499999999911</c:v>
                </c:pt>
                <c:pt idx="576">
                  <c:v>12.027599999999911</c:v>
                </c:pt>
                <c:pt idx="577">
                  <c:v>12.027699999999911</c:v>
                </c:pt>
                <c:pt idx="578">
                  <c:v>12.02779999999991</c:v>
                </c:pt>
                <c:pt idx="579">
                  <c:v>12.02789999999991</c:v>
                </c:pt>
                <c:pt idx="580">
                  <c:v>12.02799999999991</c:v>
                </c:pt>
                <c:pt idx="581">
                  <c:v>12.02809999999991</c:v>
                </c:pt>
                <c:pt idx="582">
                  <c:v>12.028199999999909</c:v>
                </c:pt>
                <c:pt idx="583">
                  <c:v>12.028299999999909</c:v>
                </c:pt>
                <c:pt idx="584">
                  <c:v>12.028399999999909</c:v>
                </c:pt>
                <c:pt idx="585">
                  <c:v>12.028499999999909</c:v>
                </c:pt>
                <c:pt idx="586">
                  <c:v>12.028599999999908</c:v>
                </c:pt>
                <c:pt idx="587">
                  <c:v>12.028699999999908</c:v>
                </c:pt>
                <c:pt idx="588">
                  <c:v>12.028799999999908</c:v>
                </c:pt>
                <c:pt idx="589">
                  <c:v>12.028899999999908</c:v>
                </c:pt>
                <c:pt idx="590">
                  <c:v>12.028999999999908</c:v>
                </c:pt>
                <c:pt idx="591">
                  <c:v>12.029099999999907</c:v>
                </c:pt>
                <c:pt idx="592">
                  <c:v>12.029199999999907</c:v>
                </c:pt>
                <c:pt idx="593">
                  <c:v>12.029299999999907</c:v>
                </c:pt>
                <c:pt idx="594">
                  <c:v>12.029399999999907</c:v>
                </c:pt>
                <c:pt idx="595">
                  <c:v>12.029499999999906</c:v>
                </c:pt>
                <c:pt idx="596">
                  <c:v>12.029599999999906</c:v>
                </c:pt>
                <c:pt idx="597">
                  <c:v>12.029699999999906</c:v>
                </c:pt>
                <c:pt idx="598">
                  <c:v>12.029799999999906</c:v>
                </c:pt>
                <c:pt idx="599">
                  <c:v>12.029899999999905</c:v>
                </c:pt>
                <c:pt idx="600">
                  <c:v>12.029999999999905</c:v>
                </c:pt>
                <c:pt idx="601">
                  <c:v>12.030099999999905</c:v>
                </c:pt>
                <c:pt idx="602">
                  <c:v>12.030199999999905</c:v>
                </c:pt>
                <c:pt idx="603">
                  <c:v>12.030299999999905</c:v>
                </c:pt>
                <c:pt idx="604">
                  <c:v>12.030399999999904</c:v>
                </c:pt>
                <c:pt idx="605">
                  <c:v>12.030499999999904</c:v>
                </c:pt>
                <c:pt idx="606">
                  <c:v>12.030599999999904</c:v>
                </c:pt>
                <c:pt idx="607">
                  <c:v>12.030699999999904</c:v>
                </c:pt>
                <c:pt idx="608">
                  <c:v>12.030799999999903</c:v>
                </c:pt>
                <c:pt idx="609">
                  <c:v>12.030899999999903</c:v>
                </c:pt>
                <c:pt idx="610">
                  <c:v>12.030999999999903</c:v>
                </c:pt>
                <c:pt idx="611">
                  <c:v>12.031099999999903</c:v>
                </c:pt>
                <c:pt idx="612">
                  <c:v>12.031199999999902</c:v>
                </c:pt>
                <c:pt idx="613">
                  <c:v>12.031299999999902</c:v>
                </c:pt>
                <c:pt idx="614">
                  <c:v>12.031399999999902</c:v>
                </c:pt>
                <c:pt idx="615">
                  <c:v>12.031499999999902</c:v>
                </c:pt>
                <c:pt idx="616">
                  <c:v>12.031599999999901</c:v>
                </c:pt>
                <c:pt idx="617">
                  <c:v>12.031699999999901</c:v>
                </c:pt>
                <c:pt idx="618">
                  <c:v>12.031799999999901</c:v>
                </c:pt>
                <c:pt idx="619">
                  <c:v>12.031899999999901</c:v>
                </c:pt>
                <c:pt idx="620">
                  <c:v>12.031999999999901</c:v>
                </c:pt>
                <c:pt idx="621">
                  <c:v>12.0320999999999</c:v>
                </c:pt>
                <c:pt idx="622">
                  <c:v>12.0321999999999</c:v>
                </c:pt>
                <c:pt idx="623">
                  <c:v>12.0322999999999</c:v>
                </c:pt>
                <c:pt idx="624">
                  <c:v>12.0323999999999</c:v>
                </c:pt>
                <c:pt idx="625">
                  <c:v>12.032499999999899</c:v>
                </c:pt>
                <c:pt idx="626">
                  <c:v>12.032599999999899</c:v>
                </c:pt>
                <c:pt idx="627">
                  <c:v>12.032699999999899</c:v>
                </c:pt>
                <c:pt idx="628">
                  <c:v>12.032799999999899</c:v>
                </c:pt>
                <c:pt idx="629">
                  <c:v>12.032899999999898</c:v>
                </c:pt>
                <c:pt idx="630">
                  <c:v>12.032999999999898</c:v>
                </c:pt>
                <c:pt idx="631">
                  <c:v>12.033099999999898</c:v>
                </c:pt>
                <c:pt idx="632">
                  <c:v>12.033199999999898</c:v>
                </c:pt>
                <c:pt idx="633">
                  <c:v>12.033299999999898</c:v>
                </c:pt>
                <c:pt idx="634">
                  <c:v>12.033399999999897</c:v>
                </c:pt>
                <c:pt idx="635">
                  <c:v>12.033499999999897</c:v>
                </c:pt>
                <c:pt idx="636">
                  <c:v>12.033599999999897</c:v>
                </c:pt>
                <c:pt idx="637">
                  <c:v>12.033699999999897</c:v>
                </c:pt>
                <c:pt idx="638">
                  <c:v>12.033799999999896</c:v>
                </c:pt>
                <c:pt idx="639">
                  <c:v>12.033899999999896</c:v>
                </c:pt>
                <c:pt idx="640">
                  <c:v>12.033999999999896</c:v>
                </c:pt>
                <c:pt idx="641">
                  <c:v>12.034099999999896</c:v>
                </c:pt>
                <c:pt idx="642">
                  <c:v>12.034199999999895</c:v>
                </c:pt>
                <c:pt idx="643">
                  <c:v>12.034299999999895</c:v>
                </c:pt>
                <c:pt idx="644">
                  <c:v>12.034399999999895</c:v>
                </c:pt>
                <c:pt idx="645">
                  <c:v>12.034499999999895</c:v>
                </c:pt>
                <c:pt idx="646">
                  <c:v>12.034599999999894</c:v>
                </c:pt>
                <c:pt idx="647">
                  <c:v>12.034699999999894</c:v>
                </c:pt>
                <c:pt idx="648">
                  <c:v>12.034799999999894</c:v>
                </c:pt>
                <c:pt idx="649">
                  <c:v>12.034899999999894</c:v>
                </c:pt>
                <c:pt idx="650">
                  <c:v>12.034999999999894</c:v>
                </c:pt>
                <c:pt idx="651">
                  <c:v>12.035099999999893</c:v>
                </c:pt>
                <c:pt idx="652">
                  <c:v>12.035199999999893</c:v>
                </c:pt>
                <c:pt idx="653">
                  <c:v>12.035299999999893</c:v>
                </c:pt>
                <c:pt idx="654">
                  <c:v>12.035399999999893</c:v>
                </c:pt>
                <c:pt idx="655">
                  <c:v>12.035499999999892</c:v>
                </c:pt>
                <c:pt idx="656">
                  <c:v>12.035599999999892</c:v>
                </c:pt>
                <c:pt idx="657">
                  <c:v>12.035699999999892</c:v>
                </c:pt>
                <c:pt idx="658">
                  <c:v>12.035799999999892</c:v>
                </c:pt>
                <c:pt idx="659">
                  <c:v>12.035899999999891</c:v>
                </c:pt>
                <c:pt idx="660">
                  <c:v>12.035999999999891</c:v>
                </c:pt>
                <c:pt idx="661">
                  <c:v>12.036099999999891</c:v>
                </c:pt>
                <c:pt idx="662">
                  <c:v>12.036199999999891</c:v>
                </c:pt>
                <c:pt idx="663">
                  <c:v>12.036299999999891</c:v>
                </c:pt>
                <c:pt idx="664">
                  <c:v>12.03639999999989</c:v>
                </c:pt>
                <c:pt idx="665">
                  <c:v>12.03649999999989</c:v>
                </c:pt>
                <c:pt idx="666">
                  <c:v>12.03659999999989</c:v>
                </c:pt>
                <c:pt idx="667">
                  <c:v>12.03669999999989</c:v>
                </c:pt>
                <c:pt idx="668">
                  <c:v>12.036799999999889</c:v>
                </c:pt>
                <c:pt idx="669">
                  <c:v>12.036899999999889</c:v>
                </c:pt>
                <c:pt idx="670">
                  <c:v>12.036999999999889</c:v>
                </c:pt>
                <c:pt idx="671">
                  <c:v>12.037099999999889</c:v>
                </c:pt>
                <c:pt idx="672">
                  <c:v>12.037199999999888</c:v>
                </c:pt>
                <c:pt idx="673">
                  <c:v>12.037299999999888</c:v>
                </c:pt>
                <c:pt idx="674">
                  <c:v>12.037399999999888</c:v>
                </c:pt>
                <c:pt idx="675">
                  <c:v>12.037499999999888</c:v>
                </c:pt>
                <c:pt idx="676">
                  <c:v>12.037599999999888</c:v>
                </c:pt>
                <c:pt idx="677">
                  <c:v>12.037699999999887</c:v>
                </c:pt>
                <c:pt idx="678">
                  <c:v>12.037799999999887</c:v>
                </c:pt>
                <c:pt idx="679">
                  <c:v>12.037899999999887</c:v>
                </c:pt>
                <c:pt idx="680">
                  <c:v>12.037999999999887</c:v>
                </c:pt>
                <c:pt idx="681">
                  <c:v>12.038099999999886</c:v>
                </c:pt>
                <c:pt idx="682">
                  <c:v>12.038199999999886</c:v>
                </c:pt>
                <c:pt idx="683">
                  <c:v>12.038299999999886</c:v>
                </c:pt>
                <c:pt idx="684">
                  <c:v>12.038399999999886</c:v>
                </c:pt>
                <c:pt idx="685">
                  <c:v>12.038499999999885</c:v>
                </c:pt>
                <c:pt idx="686">
                  <c:v>12.038599999999885</c:v>
                </c:pt>
                <c:pt idx="687">
                  <c:v>12.038699999999885</c:v>
                </c:pt>
                <c:pt idx="688">
                  <c:v>12.038799999999885</c:v>
                </c:pt>
                <c:pt idx="689">
                  <c:v>12.038899999999884</c:v>
                </c:pt>
                <c:pt idx="690">
                  <c:v>12.038999999999884</c:v>
                </c:pt>
                <c:pt idx="691">
                  <c:v>12.039099999999884</c:v>
                </c:pt>
                <c:pt idx="692">
                  <c:v>12.039199999999884</c:v>
                </c:pt>
                <c:pt idx="693">
                  <c:v>12.039299999999884</c:v>
                </c:pt>
                <c:pt idx="694">
                  <c:v>12.039399999999883</c:v>
                </c:pt>
                <c:pt idx="695">
                  <c:v>12.039499999999883</c:v>
                </c:pt>
                <c:pt idx="696">
                  <c:v>12.039599999999883</c:v>
                </c:pt>
                <c:pt idx="697">
                  <c:v>12.039699999999883</c:v>
                </c:pt>
                <c:pt idx="698">
                  <c:v>12.039799999999882</c:v>
                </c:pt>
                <c:pt idx="699">
                  <c:v>12.039899999999882</c:v>
                </c:pt>
                <c:pt idx="700">
                  <c:v>12.039999999999882</c:v>
                </c:pt>
                <c:pt idx="701">
                  <c:v>12.040099999999882</c:v>
                </c:pt>
                <c:pt idx="702">
                  <c:v>12.040199999999881</c:v>
                </c:pt>
                <c:pt idx="703">
                  <c:v>12.040299999999881</c:v>
                </c:pt>
                <c:pt idx="704">
                  <c:v>12.040399999999881</c:v>
                </c:pt>
                <c:pt idx="705">
                  <c:v>12.040499999999881</c:v>
                </c:pt>
                <c:pt idx="706">
                  <c:v>12.040599999999881</c:v>
                </c:pt>
                <c:pt idx="707">
                  <c:v>12.04069999999988</c:v>
                </c:pt>
                <c:pt idx="708">
                  <c:v>12.04079999999988</c:v>
                </c:pt>
                <c:pt idx="709">
                  <c:v>12.04089999999988</c:v>
                </c:pt>
                <c:pt idx="710">
                  <c:v>12.04099999999988</c:v>
                </c:pt>
                <c:pt idx="711">
                  <c:v>12.041099999999879</c:v>
                </c:pt>
                <c:pt idx="712">
                  <c:v>12.041199999999879</c:v>
                </c:pt>
                <c:pt idx="713">
                  <c:v>12.041299999999879</c:v>
                </c:pt>
                <c:pt idx="714">
                  <c:v>12.041399999999879</c:v>
                </c:pt>
                <c:pt idx="715">
                  <c:v>12.041499999999878</c:v>
                </c:pt>
                <c:pt idx="716">
                  <c:v>12.041599999999878</c:v>
                </c:pt>
                <c:pt idx="717">
                  <c:v>12.041699999999878</c:v>
                </c:pt>
                <c:pt idx="718">
                  <c:v>12.041799999999878</c:v>
                </c:pt>
                <c:pt idx="719">
                  <c:v>12.041899999999877</c:v>
                </c:pt>
                <c:pt idx="720">
                  <c:v>12.041999999999877</c:v>
                </c:pt>
                <c:pt idx="721">
                  <c:v>12.042099999999877</c:v>
                </c:pt>
                <c:pt idx="722">
                  <c:v>12.042199999999877</c:v>
                </c:pt>
                <c:pt idx="723">
                  <c:v>12.042299999999877</c:v>
                </c:pt>
                <c:pt idx="724">
                  <c:v>12.042399999999876</c:v>
                </c:pt>
                <c:pt idx="725">
                  <c:v>12.042499999999876</c:v>
                </c:pt>
                <c:pt idx="726">
                  <c:v>12.042599999999876</c:v>
                </c:pt>
                <c:pt idx="727">
                  <c:v>12.042699999999876</c:v>
                </c:pt>
                <c:pt idx="728">
                  <c:v>12.042799999999875</c:v>
                </c:pt>
                <c:pt idx="729">
                  <c:v>12.042899999999875</c:v>
                </c:pt>
                <c:pt idx="730">
                  <c:v>12.042999999999875</c:v>
                </c:pt>
                <c:pt idx="731">
                  <c:v>12.043099999999875</c:v>
                </c:pt>
                <c:pt idx="732">
                  <c:v>12.043199999999874</c:v>
                </c:pt>
                <c:pt idx="733">
                  <c:v>12.043299999999874</c:v>
                </c:pt>
                <c:pt idx="734">
                  <c:v>12.043399999999874</c:v>
                </c:pt>
                <c:pt idx="735">
                  <c:v>12.043499999999874</c:v>
                </c:pt>
                <c:pt idx="736">
                  <c:v>12.043599999999874</c:v>
                </c:pt>
                <c:pt idx="737">
                  <c:v>12.043699999999873</c:v>
                </c:pt>
                <c:pt idx="738">
                  <c:v>12.043799999999873</c:v>
                </c:pt>
                <c:pt idx="739">
                  <c:v>12.043899999999873</c:v>
                </c:pt>
                <c:pt idx="740">
                  <c:v>12.043999999999873</c:v>
                </c:pt>
                <c:pt idx="741">
                  <c:v>12.044099999999872</c:v>
                </c:pt>
                <c:pt idx="742">
                  <c:v>12.044199999999872</c:v>
                </c:pt>
                <c:pt idx="743">
                  <c:v>12.044299999999872</c:v>
                </c:pt>
                <c:pt idx="744">
                  <c:v>12.044399999999872</c:v>
                </c:pt>
                <c:pt idx="745">
                  <c:v>12.044499999999871</c:v>
                </c:pt>
                <c:pt idx="746">
                  <c:v>12.044599999999871</c:v>
                </c:pt>
                <c:pt idx="747">
                  <c:v>12.044699999999871</c:v>
                </c:pt>
                <c:pt idx="748">
                  <c:v>12.044799999999871</c:v>
                </c:pt>
                <c:pt idx="749">
                  <c:v>12.04489999999987</c:v>
                </c:pt>
                <c:pt idx="750">
                  <c:v>12.04499999999987</c:v>
                </c:pt>
                <c:pt idx="751">
                  <c:v>12.04509999999987</c:v>
                </c:pt>
                <c:pt idx="752">
                  <c:v>12.04519999999987</c:v>
                </c:pt>
                <c:pt idx="753">
                  <c:v>12.04529999999987</c:v>
                </c:pt>
                <c:pt idx="754">
                  <c:v>12.045399999999869</c:v>
                </c:pt>
                <c:pt idx="755">
                  <c:v>12.045499999999869</c:v>
                </c:pt>
                <c:pt idx="756">
                  <c:v>12.045599999999869</c:v>
                </c:pt>
                <c:pt idx="757">
                  <c:v>12.045699999999869</c:v>
                </c:pt>
                <c:pt idx="758">
                  <c:v>12.045799999999868</c:v>
                </c:pt>
                <c:pt idx="759">
                  <c:v>12.045899999999868</c:v>
                </c:pt>
                <c:pt idx="760">
                  <c:v>12.045999999999868</c:v>
                </c:pt>
                <c:pt idx="761">
                  <c:v>12.046099999999868</c:v>
                </c:pt>
                <c:pt idx="762">
                  <c:v>12.046199999999867</c:v>
                </c:pt>
                <c:pt idx="763">
                  <c:v>12.046299999999867</c:v>
                </c:pt>
                <c:pt idx="764">
                  <c:v>12.046399999999867</c:v>
                </c:pt>
                <c:pt idx="765">
                  <c:v>12.046499999999867</c:v>
                </c:pt>
                <c:pt idx="766">
                  <c:v>12.046599999999867</c:v>
                </c:pt>
                <c:pt idx="767">
                  <c:v>12.046699999999866</c:v>
                </c:pt>
                <c:pt idx="768">
                  <c:v>12.046799999999866</c:v>
                </c:pt>
                <c:pt idx="769">
                  <c:v>12.046899999999866</c:v>
                </c:pt>
                <c:pt idx="770">
                  <c:v>12.046999999999866</c:v>
                </c:pt>
                <c:pt idx="771">
                  <c:v>12.047099999999865</c:v>
                </c:pt>
                <c:pt idx="772">
                  <c:v>12.047199999999865</c:v>
                </c:pt>
                <c:pt idx="773">
                  <c:v>12.047299999999865</c:v>
                </c:pt>
                <c:pt idx="774">
                  <c:v>12.047399999999865</c:v>
                </c:pt>
                <c:pt idx="775">
                  <c:v>12.047499999999864</c:v>
                </c:pt>
                <c:pt idx="776">
                  <c:v>12.047599999999864</c:v>
                </c:pt>
                <c:pt idx="777">
                  <c:v>12.047699999999864</c:v>
                </c:pt>
                <c:pt idx="778">
                  <c:v>12.047799999999864</c:v>
                </c:pt>
                <c:pt idx="779">
                  <c:v>12.047899999999863</c:v>
                </c:pt>
                <c:pt idx="780">
                  <c:v>12.047999999999863</c:v>
                </c:pt>
                <c:pt idx="781">
                  <c:v>12.048099999999863</c:v>
                </c:pt>
                <c:pt idx="782">
                  <c:v>12.048199999999863</c:v>
                </c:pt>
                <c:pt idx="783">
                  <c:v>12.048299999999863</c:v>
                </c:pt>
                <c:pt idx="784">
                  <c:v>12.048399999999862</c:v>
                </c:pt>
                <c:pt idx="785">
                  <c:v>12.048499999999862</c:v>
                </c:pt>
                <c:pt idx="786">
                  <c:v>12.048599999999862</c:v>
                </c:pt>
                <c:pt idx="787">
                  <c:v>12.048699999999862</c:v>
                </c:pt>
                <c:pt idx="788">
                  <c:v>12.048799999999861</c:v>
                </c:pt>
                <c:pt idx="789">
                  <c:v>12.048899999999861</c:v>
                </c:pt>
                <c:pt idx="790">
                  <c:v>12.048999999999861</c:v>
                </c:pt>
                <c:pt idx="791">
                  <c:v>12.049099999999861</c:v>
                </c:pt>
                <c:pt idx="792">
                  <c:v>12.04919999999986</c:v>
                </c:pt>
                <c:pt idx="793">
                  <c:v>12.04929999999986</c:v>
                </c:pt>
                <c:pt idx="794">
                  <c:v>12.04939999999986</c:v>
                </c:pt>
                <c:pt idx="795">
                  <c:v>12.04949999999986</c:v>
                </c:pt>
                <c:pt idx="796">
                  <c:v>12.04959999999986</c:v>
                </c:pt>
                <c:pt idx="797">
                  <c:v>12.049699999999859</c:v>
                </c:pt>
                <c:pt idx="798">
                  <c:v>12.049799999999859</c:v>
                </c:pt>
                <c:pt idx="799">
                  <c:v>12.049899999999859</c:v>
                </c:pt>
                <c:pt idx="800">
                  <c:v>12.049999999999859</c:v>
                </c:pt>
                <c:pt idx="801">
                  <c:v>12.050099999999858</c:v>
                </c:pt>
                <c:pt idx="802">
                  <c:v>12.050199999999858</c:v>
                </c:pt>
                <c:pt idx="803">
                  <c:v>12.050299999999858</c:v>
                </c:pt>
                <c:pt idx="804">
                  <c:v>12.050399999999858</c:v>
                </c:pt>
                <c:pt idx="805">
                  <c:v>12.050499999999857</c:v>
                </c:pt>
                <c:pt idx="806">
                  <c:v>12.050599999999857</c:v>
                </c:pt>
                <c:pt idx="807">
                  <c:v>12.050699999999857</c:v>
                </c:pt>
                <c:pt idx="808">
                  <c:v>12.050799999999857</c:v>
                </c:pt>
                <c:pt idx="809">
                  <c:v>12.050899999999857</c:v>
                </c:pt>
                <c:pt idx="810">
                  <c:v>12.050999999999856</c:v>
                </c:pt>
                <c:pt idx="811">
                  <c:v>12.051099999999856</c:v>
                </c:pt>
                <c:pt idx="812">
                  <c:v>12.051199999999856</c:v>
                </c:pt>
                <c:pt idx="813">
                  <c:v>12.051299999999856</c:v>
                </c:pt>
                <c:pt idx="814">
                  <c:v>12.051399999999855</c:v>
                </c:pt>
                <c:pt idx="815">
                  <c:v>12.051499999999855</c:v>
                </c:pt>
                <c:pt idx="816">
                  <c:v>12.051599999999855</c:v>
                </c:pt>
                <c:pt idx="817">
                  <c:v>12.051699999999855</c:v>
                </c:pt>
                <c:pt idx="818">
                  <c:v>12.051799999999854</c:v>
                </c:pt>
                <c:pt idx="819">
                  <c:v>12.051899999999854</c:v>
                </c:pt>
                <c:pt idx="820">
                  <c:v>12.051999999999854</c:v>
                </c:pt>
                <c:pt idx="821">
                  <c:v>12.052099999999854</c:v>
                </c:pt>
                <c:pt idx="822">
                  <c:v>12.052199999999853</c:v>
                </c:pt>
                <c:pt idx="823">
                  <c:v>12.052299999999853</c:v>
                </c:pt>
                <c:pt idx="824">
                  <c:v>12.052399999999853</c:v>
                </c:pt>
                <c:pt idx="825">
                  <c:v>12.052499999999853</c:v>
                </c:pt>
                <c:pt idx="826">
                  <c:v>12.052599999999853</c:v>
                </c:pt>
                <c:pt idx="827">
                  <c:v>12.052699999999852</c:v>
                </c:pt>
                <c:pt idx="828">
                  <c:v>12.052799999999852</c:v>
                </c:pt>
                <c:pt idx="829">
                  <c:v>12.052899999999852</c:v>
                </c:pt>
                <c:pt idx="830">
                  <c:v>12.052999999999852</c:v>
                </c:pt>
                <c:pt idx="831">
                  <c:v>12.053099999999851</c:v>
                </c:pt>
                <c:pt idx="832">
                  <c:v>12.053199999999851</c:v>
                </c:pt>
                <c:pt idx="833">
                  <c:v>12.053299999999851</c:v>
                </c:pt>
                <c:pt idx="834">
                  <c:v>12.053399999999851</c:v>
                </c:pt>
                <c:pt idx="835">
                  <c:v>12.05349999999985</c:v>
                </c:pt>
                <c:pt idx="836">
                  <c:v>12.05359999999985</c:v>
                </c:pt>
                <c:pt idx="837">
                  <c:v>12.05369999999985</c:v>
                </c:pt>
                <c:pt idx="838">
                  <c:v>12.05379999999985</c:v>
                </c:pt>
                <c:pt idx="839">
                  <c:v>12.05389999999985</c:v>
                </c:pt>
                <c:pt idx="840">
                  <c:v>12.053999999999849</c:v>
                </c:pt>
                <c:pt idx="841">
                  <c:v>12.054099999999849</c:v>
                </c:pt>
                <c:pt idx="842">
                  <c:v>12.054199999999849</c:v>
                </c:pt>
                <c:pt idx="843">
                  <c:v>12.054299999999849</c:v>
                </c:pt>
                <c:pt idx="844">
                  <c:v>12.054399999999848</c:v>
                </c:pt>
                <c:pt idx="845">
                  <c:v>12.054499999999848</c:v>
                </c:pt>
                <c:pt idx="846">
                  <c:v>12.054599999999848</c:v>
                </c:pt>
                <c:pt idx="847">
                  <c:v>12.054699999999848</c:v>
                </c:pt>
                <c:pt idx="848">
                  <c:v>12.054799999999847</c:v>
                </c:pt>
                <c:pt idx="849">
                  <c:v>12.054899999999847</c:v>
                </c:pt>
                <c:pt idx="850">
                  <c:v>12.054999999999847</c:v>
                </c:pt>
                <c:pt idx="851">
                  <c:v>12.055099999999847</c:v>
                </c:pt>
                <c:pt idx="852">
                  <c:v>12.055199999999846</c:v>
                </c:pt>
                <c:pt idx="853">
                  <c:v>12.055299999999846</c:v>
                </c:pt>
                <c:pt idx="854">
                  <c:v>12.055399999999846</c:v>
                </c:pt>
                <c:pt idx="855">
                  <c:v>12.055499999999846</c:v>
                </c:pt>
                <c:pt idx="856">
                  <c:v>12.055599999999846</c:v>
                </c:pt>
                <c:pt idx="857">
                  <c:v>12.055699999999845</c:v>
                </c:pt>
                <c:pt idx="858">
                  <c:v>12.055799999999845</c:v>
                </c:pt>
                <c:pt idx="859">
                  <c:v>12.055899999999845</c:v>
                </c:pt>
                <c:pt idx="860">
                  <c:v>12.055999999999845</c:v>
                </c:pt>
                <c:pt idx="861">
                  <c:v>12.056099999999844</c:v>
                </c:pt>
                <c:pt idx="862">
                  <c:v>12.056199999999844</c:v>
                </c:pt>
                <c:pt idx="863">
                  <c:v>12.056299999999844</c:v>
                </c:pt>
                <c:pt idx="864">
                  <c:v>12.056399999999844</c:v>
                </c:pt>
                <c:pt idx="865">
                  <c:v>12.056499999999843</c:v>
                </c:pt>
                <c:pt idx="866">
                  <c:v>12.056599999999843</c:v>
                </c:pt>
                <c:pt idx="867">
                  <c:v>12.056699999999843</c:v>
                </c:pt>
                <c:pt idx="868">
                  <c:v>12.056799999999843</c:v>
                </c:pt>
                <c:pt idx="869">
                  <c:v>12.056899999999843</c:v>
                </c:pt>
                <c:pt idx="870">
                  <c:v>12.056999999999842</c:v>
                </c:pt>
                <c:pt idx="871">
                  <c:v>12.057099999999842</c:v>
                </c:pt>
                <c:pt idx="872">
                  <c:v>12.057199999999842</c:v>
                </c:pt>
                <c:pt idx="873">
                  <c:v>12.057299999999842</c:v>
                </c:pt>
                <c:pt idx="874">
                  <c:v>12.057399999999841</c:v>
                </c:pt>
                <c:pt idx="875">
                  <c:v>12.057499999999841</c:v>
                </c:pt>
                <c:pt idx="876">
                  <c:v>12.057599999999841</c:v>
                </c:pt>
                <c:pt idx="877">
                  <c:v>12.057699999999841</c:v>
                </c:pt>
                <c:pt idx="878">
                  <c:v>12.05779999999984</c:v>
                </c:pt>
                <c:pt idx="879">
                  <c:v>12.05789999999984</c:v>
                </c:pt>
                <c:pt idx="880">
                  <c:v>12.05799999999984</c:v>
                </c:pt>
                <c:pt idx="881">
                  <c:v>12.05809999999984</c:v>
                </c:pt>
                <c:pt idx="882">
                  <c:v>12.058199999999839</c:v>
                </c:pt>
                <c:pt idx="883">
                  <c:v>12.058299999999839</c:v>
                </c:pt>
                <c:pt idx="884">
                  <c:v>12.058399999999839</c:v>
                </c:pt>
                <c:pt idx="885">
                  <c:v>12.058499999999839</c:v>
                </c:pt>
                <c:pt idx="886">
                  <c:v>12.058599999999839</c:v>
                </c:pt>
                <c:pt idx="887">
                  <c:v>12.058699999999838</c:v>
                </c:pt>
                <c:pt idx="888">
                  <c:v>12.058799999999838</c:v>
                </c:pt>
                <c:pt idx="889">
                  <c:v>12.058899999999838</c:v>
                </c:pt>
                <c:pt idx="890">
                  <c:v>12.058999999999838</c:v>
                </c:pt>
                <c:pt idx="891">
                  <c:v>12.059099999999837</c:v>
                </c:pt>
                <c:pt idx="892">
                  <c:v>12.059199999999837</c:v>
                </c:pt>
                <c:pt idx="893">
                  <c:v>12.059299999999837</c:v>
                </c:pt>
                <c:pt idx="894">
                  <c:v>12.059399999999837</c:v>
                </c:pt>
                <c:pt idx="895">
                  <c:v>12.059499999999836</c:v>
                </c:pt>
                <c:pt idx="896">
                  <c:v>12.059599999999836</c:v>
                </c:pt>
                <c:pt idx="897">
                  <c:v>12.059699999999836</c:v>
                </c:pt>
                <c:pt idx="898">
                  <c:v>12.059799999999836</c:v>
                </c:pt>
                <c:pt idx="899">
                  <c:v>12.059899999999836</c:v>
                </c:pt>
                <c:pt idx="900">
                  <c:v>12.059999999999835</c:v>
                </c:pt>
                <c:pt idx="901">
                  <c:v>12.060099999999835</c:v>
                </c:pt>
                <c:pt idx="902">
                  <c:v>12.060199999999835</c:v>
                </c:pt>
                <c:pt idx="903">
                  <c:v>12.060299999999835</c:v>
                </c:pt>
                <c:pt idx="904">
                  <c:v>12.060399999999834</c:v>
                </c:pt>
                <c:pt idx="905">
                  <c:v>12.060499999999834</c:v>
                </c:pt>
                <c:pt idx="906">
                  <c:v>12.060599999999834</c:v>
                </c:pt>
                <c:pt idx="907">
                  <c:v>12.060699999999834</c:v>
                </c:pt>
                <c:pt idx="908">
                  <c:v>12.060799999999833</c:v>
                </c:pt>
                <c:pt idx="909">
                  <c:v>12.060899999999833</c:v>
                </c:pt>
                <c:pt idx="910">
                  <c:v>12.060999999999833</c:v>
                </c:pt>
                <c:pt idx="911">
                  <c:v>12.061099999999833</c:v>
                </c:pt>
                <c:pt idx="912">
                  <c:v>12.061199999999832</c:v>
                </c:pt>
                <c:pt idx="913">
                  <c:v>12.061299999999832</c:v>
                </c:pt>
                <c:pt idx="914">
                  <c:v>12.061399999999832</c:v>
                </c:pt>
                <c:pt idx="915">
                  <c:v>12.061499999999832</c:v>
                </c:pt>
                <c:pt idx="916">
                  <c:v>12.061599999999832</c:v>
                </c:pt>
                <c:pt idx="917">
                  <c:v>12.061699999999831</c:v>
                </c:pt>
                <c:pt idx="918">
                  <c:v>12.061799999999831</c:v>
                </c:pt>
                <c:pt idx="919">
                  <c:v>12.061899999999831</c:v>
                </c:pt>
                <c:pt idx="920">
                  <c:v>12.061999999999831</c:v>
                </c:pt>
                <c:pt idx="921">
                  <c:v>12.06209999999983</c:v>
                </c:pt>
                <c:pt idx="922">
                  <c:v>12.06219999999983</c:v>
                </c:pt>
                <c:pt idx="923">
                  <c:v>12.06229999999983</c:v>
                </c:pt>
                <c:pt idx="924">
                  <c:v>12.06239999999983</c:v>
                </c:pt>
                <c:pt idx="925">
                  <c:v>12.062499999999829</c:v>
                </c:pt>
                <c:pt idx="926">
                  <c:v>12.062599999999829</c:v>
                </c:pt>
                <c:pt idx="927">
                  <c:v>12.062699999999829</c:v>
                </c:pt>
                <c:pt idx="928">
                  <c:v>12.062799999999829</c:v>
                </c:pt>
                <c:pt idx="929">
                  <c:v>12.062899999999829</c:v>
                </c:pt>
                <c:pt idx="930">
                  <c:v>12.062999999999828</c:v>
                </c:pt>
                <c:pt idx="931">
                  <c:v>12.063099999999828</c:v>
                </c:pt>
                <c:pt idx="932">
                  <c:v>12.063199999999828</c:v>
                </c:pt>
                <c:pt idx="933">
                  <c:v>12.063299999999828</c:v>
                </c:pt>
                <c:pt idx="934">
                  <c:v>12.063399999999827</c:v>
                </c:pt>
                <c:pt idx="935">
                  <c:v>12.063499999999827</c:v>
                </c:pt>
                <c:pt idx="936">
                  <c:v>12.063599999999827</c:v>
                </c:pt>
                <c:pt idx="937">
                  <c:v>12.063699999999827</c:v>
                </c:pt>
                <c:pt idx="938">
                  <c:v>12.063799999999826</c:v>
                </c:pt>
                <c:pt idx="939">
                  <c:v>12.063899999999826</c:v>
                </c:pt>
                <c:pt idx="940">
                  <c:v>12.063999999999826</c:v>
                </c:pt>
                <c:pt idx="941">
                  <c:v>12.064099999999826</c:v>
                </c:pt>
                <c:pt idx="942">
                  <c:v>12.064199999999826</c:v>
                </c:pt>
                <c:pt idx="943">
                  <c:v>12.064299999999825</c:v>
                </c:pt>
                <c:pt idx="944">
                  <c:v>12.064399999999825</c:v>
                </c:pt>
                <c:pt idx="945">
                  <c:v>12.064499999999825</c:v>
                </c:pt>
                <c:pt idx="946">
                  <c:v>12.064599999999825</c:v>
                </c:pt>
                <c:pt idx="947">
                  <c:v>12.064699999999824</c:v>
                </c:pt>
                <c:pt idx="948">
                  <c:v>12.064799999999824</c:v>
                </c:pt>
                <c:pt idx="949">
                  <c:v>12.064899999999824</c:v>
                </c:pt>
                <c:pt idx="950">
                  <c:v>12.064999999999824</c:v>
                </c:pt>
                <c:pt idx="951">
                  <c:v>12.065099999999823</c:v>
                </c:pt>
                <c:pt idx="952">
                  <c:v>12.065199999999823</c:v>
                </c:pt>
                <c:pt idx="953">
                  <c:v>12.065299999999823</c:v>
                </c:pt>
                <c:pt idx="954">
                  <c:v>12.065399999999823</c:v>
                </c:pt>
                <c:pt idx="955">
                  <c:v>12.065499999999822</c:v>
                </c:pt>
                <c:pt idx="956">
                  <c:v>12.065599999999822</c:v>
                </c:pt>
                <c:pt idx="957">
                  <c:v>12.065699999999822</c:v>
                </c:pt>
                <c:pt idx="958">
                  <c:v>12.065799999999822</c:v>
                </c:pt>
                <c:pt idx="959">
                  <c:v>12.065899999999822</c:v>
                </c:pt>
                <c:pt idx="960">
                  <c:v>12.065999999999821</c:v>
                </c:pt>
                <c:pt idx="961">
                  <c:v>12.066099999999821</c:v>
                </c:pt>
                <c:pt idx="962">
                  <c:v>12.066199999999821</c:v>
                </c:pt>
                <c:pt idx="963">
                  <c:v>12.066299999999821</c:v>
                </c:pt>
                <c:pt idx="964">
                  <c:v>12.06639999999982</c:v>
                </c:pt>
                <c:pt idx="965">
                  <c:v>12.06649999999982</c:v>
                </c:pt>
                <c:pt idx="966">
                  <c:v>12.06659999999982</c:v>
                </c:pt>
                <c:pt idx="967">
                  <c:v>12.06669999999982</c:v>
                </c:pt>
                <c:pt idx="968">
                  <c:v>12.066799999999819</c:v>
                </c:pt>
                <c:pt idx="969">
                  <c:v>12.066899999999819</c:v>
                </c:pt>
                <c:pt idx="970">
                  <c:v>12.066999999999819</c:v>
                </c:pt>
                <c:pt idx="971">
                  <c:v>12.067099999999819</c:v>
                </c:pt>
                <c:pt idx="972">
                  <c:v>12.067199999999819</c:v>
                </c:pt>
                <c:pt idx="973">
                  <c:v>12.067299999999818</c:v>
                </c:pt>
                <c:pt idx="974">
                  <c:v>12.067399999999818</c:v>
                </c:pt>
                <c:pt idx="975">
                  <c:v>12.067499999999818</c:v>
                </c:pt>
                <c:pt idx="976">
                  <c:v>12.067599999999818</c:v>
                </c:pt>
                <c:pt idx="977">
                  <c:v>12.067699999999817</c:v>
                </c:pt>
                <c:pt idx="978">
                  <c:v>12.067799999999817</c:v>
                </c:pt>
                <c:pt idx="979">
                  <c:v>12.067899999999817</c:v>
                </c:pt>
                <c:pt idx="980">
                  <c:v>12.067999999999817</c:v>
                </c:pt>
                <c:pt idx="981">
                  <c:v>12.068099999999816</c:v>
                </c:pt>
                <c:pt idx="982">
                  <c:v>12.068199999999816</c:v>
                </c:pt>
                <c:pt idx="983">
                  <c:v>12.068299999999816</c:v>
                </c:pt>
                <c:pt idx="984">
                  <c:v>12.068399999999816</c:v>
                </c:pt>
                <c:pt idx="985">
                  <c:v>12.068499999999815</c:v>
                </c:pt>
                <c:pt idx="986">
                  <c:v>12.068599999999815</c:v>
                </c:pt>
                <c:pt idx="987">
                  <c:v>12.068699999999815</c:v>
                </c:pt>
                <c:pt idx="988">
                  <c:v>12.068799999999815</c:v>
                </c:pt>
                <c:pt idx="989">
                  <c:v>12.068899999999815</c:v>
                </c:pt>
                <c:pt idx="990">
                  <c:v>12.068999999999814</c:v>
                </c:pt>
                <c:pt idx="991">
                  <c:v>12.069099999999814</c:v>
                </c:pt>
                <c:pt idx="992">
                  <c:v>12.069199999999814</c:v>
                </c:pt>
                <c:pt idx="993">
                  <c:v>12.069299999999814</c:v>
                </c:pt>
                <c:pt idx="994">
                  <c:v>12.069399999999813</c:v>
                </c:pt>
                <c:pt idx="995">
                  <c:v>12.069499999999813</c:v>
                </c:pt>
                <c:pt idx="996">
                  <c:v>12.069599999999813</c:v>
                </c:pt>
                <c:pt idx="997">
                  <c:v>12.069699999999813</c:v>
                </c:pt>
                <c:pt idx="998">
                  <c:v>12.069799999999812</c:v>
                </c:pt>
                <c:pt idx="999">
                  <c:v>12.069899999999812</c:v>
                </c:pt>
                <c:pt idx="1000">
                  <c:v>12.069999999999812</c:v>
                </c:pt>
              </c:numCache>
            </c:numRef>
          </c:xVal>
          <c:yVal>
            <c:numRef>
              <c:f>Calculs!$Q$4:$Q$1004</c:f>
              <c:numCache>
                <c:formatCode>0.00</c:formatCode>
                <c:ptCount val="1001"/>
                <c:pt idx="0">
                  <c:v>0</c:v>
                </c:pt>
                <c:pt idx="1">
                  <c:v>62.5</c:v>
                </c:pt>
                <c:pt idx="2">
                  <c:v>187.5</c:v>
                </c:pt>
                <c:pt idx="3">
                  <c:v>240</c:v>
                </c:pt>
                <c:pt idx="4">
                  <c:v>220</c:v>
                </c:pt>
                <c:pt idx="5">
                  <c:v>209.56896551724137</c:v>
                </c:pt>
                <c:pt idx="6">
                  <c:v>208.70689655172413</c:v>
                </c:pt>
                <c:pt idx="7">
                  <c:v>207.84482758620689</c:v>
                </c:pt>
                <c:pt idx="8">
                  <c:v>206.98275862068965</c:v>
                </c:pt>
                <c:pt idx="9">
                  <c:v>206.12068965517241</c:v>
                </c:pt>
                <c:pt idx="10">
                  <c:v>205.25862068965517</c:v>
                </c:pt>
                <c:pt idx="11">
                  <c:v>204.39655172413794</c:v>
                </c:pt>
                <c:pt idx="12">
                  <c:v>203.5344827586207</c:v>
                </c:pt>
                <c:pt idx="13">
                  <c:v>202.67241379310346</c:v>
                </c:pt>
                <c:pt idx="14">
                  <c:v>201.81034482758622</c:v>
                </c:pt>
                <c:pt idx="15">
                  <c:v>200.94827586206895</c:v>
                </c:pt>
                <c:pt idx="16">
                  <c:v>200.08620689655172</c:v>
                </c:pt>
                <c:pt idx="17">
                  <c:v>199.22413793103448</c:v>
                </c:pt>
                <c:pt idx="18">
                  <c:v>198.36206896551724</c:v>
                </c:pt>
                <c:pt idx="19">
                  <c:v>197.5</c:v>
                </c:pt>
                <c:pt idx="20">
                  <c:v>196.63793103448276</c:v>
                </c:pt>
                <c:pt idx="21">
                  <c:v>195.77586206896552</c:v>
                </c:pt>
                <c:pt idx="22">
                  <c:v>194.91379310344826</c:v>
                </c:pt>
                <c:pt idx="23">
                  <c:v>194.05172413793102</c:v>
                </c:pt>
                <c:pt idx="24">
                  <c:v>193.18965517241378</c:v>
                </c:pt>
                <c:pt idx="25">
                  <c:v>192.32758620689654</c:v>
                </c:pt>
                <c:pt idx="26">
                  <c:v>191.4655172413793</c:v>
                </c:pt>
                <c:pt idx="27">
                  <c:v>190.60344827586206</c:v>
                </c:pt>
                <c:pt idx="28">
                  <c:v>189.74137931034483</c:v>
                </c:pt>
                <c:pt idx="29">
                  <c:v>188.87931034482759</c:v>
                </c:pt>
                <c:pt idx="30">
                  <c:v>188.01724137931035</c:v>
                </c:pt>
                <c:pt idx="31">
                  <c:v>187.15517241379308</c:v>
                </c:pt>
                <c:pt idx="32">
                  <c:v>186.29310344827584</c:v>
                </c:pt>
                <c:pt idx="33">
                  <c:v>185.43103448275861</c:v>
                </c:pt>
                <c:pt idx="34">
                  <c:v>184.56896551724137</c:v>
                </c:pt>
                <c:pt idx="35">
                  <c:v>183.70689655172413</c:v>
                </c:pt>
                <c:pt idx="36">
                  <c:v>182.84482758620689</c:v>
                </c:pt>
                <c:pt idx="37">
                  <c:v>181.98275862068965</c:v>
                </c:pt>
                <c:pt idx="38">
                  <c:v>181.12068965517238</c:v>
                </c:pt>
                <c:pt idx="39">
                  <c:v>180.25862068965515</c:v>
                </c:pt>
                <c:pt idx="40">
                  <c:v>179.39655172413791</c:v>
                </c:pt>
                <c:pt idx="41">
                  <c:v>178.53448275862067</c:v>
                </c:pt>
                <c:pt idx="42">
                  <c:v>177.67241379310343</c:v>
                </c:pt>
                <c:pt idx="43">
                  <c:v>176.81034482758619</c:v>
                </c:pt>
                <c:pt idx="44">
                  <c:v>175.94827586206895</c:v>
                </c:pt>
                <c:pt idx="45">
                  <c:v>175.08620689655169</c:v>
                </c:pt>
                <c:pt idx="46">
                  <c:v>174.22413793103445</c:v>
                </c:pt>
                <c:pt idx="47">
                  <c:v>173.36206896551721</c:v>
                </c:pt>
                <c:pt idx="48">
                  <c:v>172.49999999999997</c:v>
                </c:pt>
                <c:pt idx="49">
                  <c:v>171.63793103448273</c:v>
                </c:pt>
                <c:pt idx="50">
                  <c:v>170.77586206896549</c:v>
                </c:pt>
                <c:pt idx="51">
                  <c:v>169.91379310344826</c:v>
                </c:pt>
                <c:pt idx="52">
                  <c:v>169.05172413793102</c:v>
                </c:pt>
                <c:pt idx="53">
                  <c:v>168.18965517241378</c:v>
                </c:pt>
                <c:pt idx="54">
                  <c:v>167.32758620689651</c:v>
                </c:pt>
                <c:pt idx="55">
                  <c:v>166.4655172413793</c:v>
                </c:pt>
                <c:pt idx="56">
                  <c:v>165.60344827586204</c:v>
                </c:pt>
                <c:pt idx="57">
                  <c:v>164.7413793103448</c:v>
                </c:pt>
                <c:pt idx="58">
                  <c:v>163.87931034482756</c:v>
                </c:pt>
                <c:pt idx="59">
                  <c:v>163.01724137931032</c:v>
                </c:pt>
                <c:pt idx="60">
                  <c:v>162.15517241379308</c:v>
                </c:pt>
                <c:pt idx="61">
                  <c:v>161.29310344827584</c:v>
                </c:pt>
                <c:pt idx="62">
                  <c:v>160.43103448275861</c:v>
                </c:pt>
                <c:pt idx="63">
                  <c:v>158.74999999999991</c:v>
                </c:pt>
                <c:pt idx="64">
                  <c:v>156.24999999999991</c:v>
                </c:pt>
                <c:pt idx="65">
                  <c:v>153.74999999999991</c:v>
                </c:pt>
                <c:pt idx="66">
                  <c:v>151.24999999999991</c:v>
                </c:pt>
                <c:pt idx="67">
                  <c:v>147.99999999999986</c:v>
                </c:pt>
                <c:pt idx="68">
                  <c:v>143.99999999999986</c:v>
                </c:pt>
                <c:pt idx="69">
                  <c:v>138.66666666666643</c:v>
                </c:pt>
                <c:pt idx="70">
                  <c:v>131.99999999999977</c:v>
                </c:pt>
                <c:pt idx="71">
                  <c:v>125.33333333333309</c:v>
                </c:pt>
                <c:pt idx="72">
                  <c:v>118.66666666666643</c:v>
                </c:pt>
                <c:pt idx="73">
                  <c:v>111.99999999999974</c:v>
                </c:pt>
                <c:pt idx="74">
                  <c:v>105.33333333333307</c:v>
                </c:pt>
                <c:pt idx="75">
                  <c:v>98.666666666666401</c:v>
                </c:pt>
                <c:pt idx="76">
                  <c:v>91.99999999999973</c:v>
                </c:pt>
                <c:pt idx="77">
                  <c:v>85.333333333333059</c:v>
                </c:pt>
                <c:pt idx="78">
                  <c:v>78.666666666666373</c:v>
                </c:pt>
                <c:pt idx="79">
                  <c:v>71.999999999999702</c:v>
                </c:pt>
                <c:pt idx="80">
                  <c:v>65.33333333333303</c:v>
                </c:pt>
                <c:pt idx="81">
                  <c:v>60.249999999999837</c:v>
                </c:pt>
                <c:pt idx="82">
                  <c:v>56.749999999999829</c:v>
                </c:pt>
                <c:pt idx="83">
                  <c:v>53.249999999999822</c:v>
                </c:pt>
                <c:pt idx="84">
                  <c:v>49.749999999999808</c:v>
                </c:pt>
                <c:pt idx="85">
                  <c:v>46.249999999999808</c:v>
                </c:pt>
                <c:pt idx="86">
                  <c:v>42.749999999999808</c:v>
                </c:pt>
                <c:pt idx="87">
                  <c:v>39.249999999999801</c:v>
                </c:pt>
                <c:pt idx="88">
                  <c:v>35.749999999999801</c:v>
                </c:pt>
                <c:pt idx="89">
                  <c:v>32.749999999999858</c:v>
                </c:pt>
                <c:pt idx="90">
                  <c:v>30.249999999999861</c:v>
                </c:pt>
                <c:pt idx="91">
                  <c:v>27.749999999999861</c:v>
                </c:pt>
                <c:pt idx="92">
                  <c:v>25.249999999999861</c:v>
                </c:pt>
                <c:pt idx="93">
                  <c:v>22.874999999999872</c:v>
                </c:pt>
                <c:pt idx="94">
                  <c:v>20.624999999999865</c:v>
                </c:pt>
                <c:pt idx="95">
                  <c:v>18.374999999999858</c:v>
                </c:pt>
                <c:pt idx="96">
                  <c:v>16.124999999999854</c:v>
                </c:pt>
                <c:pt idx="97">
                  <c:v>14.374999999999917</c:v>
                </c:pt>
                <c:pt idx="98">
                  <c:v>13.124999999999917</c:v>
                </c:pt>
                <c:pt idx="99">
                  <c:v>11.874999999999917</c:v>
                </c:pt>
                <c:pt idx="100">
                  <c:v>10.624999999999917</c:v>
                </c:pt>
                <c:pt idx="101">
                  <c:v>9.3749999999999023</c:v>
                </c:pt>
                <c:pt idx="102">
                  <c:v>8.1249999999999023</c:v>
                </c:pt>
                <c:pt idx="103">
                  <c:v>6.8749999999999023</c:v>
                </c:pt>
                <c:pt idx="104">
                  <c:v>5.6249999999999032</c:v>
                </c:pt>
                <c:pt idx="105">
                  <c:v>4.3749999999999032</c:v>
                </c:pt>
                <c:pt idx="106">
                  <c:v>3.1249999999999032</c:v>
                </c:pt>
                <c:pt idx="107">
                  <c:v>1.8749999999999023</c:v>
                </c:pt>
                <c:pt idx="108">
                  <c:v>0.6249999999999023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3-7045-93AD-06357D4BED02}"/>
            </c:ext>
          </c:extLst>
        </c:ser>
        <c:ser>
          <c:idx val="2"/>
          <c:order val="1"/>
          <c:tx>
            <c:strRef>
              <c:f>Courbes!$B$135</c:f>
              <c:strCache>
                <c:ptCount val="1"/>
                <c:pt idx="0">
                  <c:v>Poids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2.1000000000000014</c:v>
                </c:pt>
                <c:pt idx="202">
                  <c:v>2.2000000000000015</c:v>
                </c:pt>
                <c:pt idx="203">
                  <c:v>2.3000000000000016</c:v>
                </c:pt>
                <c:pt idx="204">
                  <c:v>2.4000000000000017</c:v>
                </c:pt>
                <c:pt idx="205">
                  <c:v>2.5000000000000018</c:v>
                </c:pt>
                <c:pt idx="206">
                  <c:v>2.6000000000000019</c:v>
                </c:pt>
                <c:pt idx="207">
                  <c:v>2.700000000000002</c:v>
                </c:pt>
                <c:pt idx="208">
                  <c:v>2.800000000000002</c:v>
                </c:pt>
                <c:pt idx="209">
                  <c:v>2.9000000000000021</c:v>
                </c:pt>
                <c:pt idx="210">
                  <c:v>3.0000000000000022</c:v>
                </c:pt>
                <c:pt idx="211">
                  <c:v>3.1000000000000023</c:v>
                </c:pt>
                <c:pt idx="212">
                  <c:v>3.2000000000000024</c:v>
                </c:pt>
                <c:pt idx="213">
                  <c:v>3.3000000000000025</c:v>
                </c:pt>
                <c:pt idx="214">
                  <c:v>3.4000000000000026</c:v>
                </c:pt>
                <c:pt idx="215">
                  <c:v>3.5000000000000027</c:v>
                </c:pt>
                <c:pt idx="216">
                  <c:v>3.6000000000000028</c:v>
                </c:pt>
                <c:pt idx="217">
                  <c:v>3.7000000000000028</c:v>
                </c:pt>
                <c:pt idx="218">
                  <c:v>3.8000000000000029</c:v>
                </c:pt>
                <c:pt idx="219">
                  <c:v>3.900000000000003</c:v>
                </c:pt>
                <c:pt idx="220">
                  <c:v>4.0000000000000027</c:v>
                </c:pt>
                <c:pt idx="221">
                  <c:v>4.1000000000000023</c:v>
                </c:pt>
                <c:pt idx="222">
                  <c:v>4.200000000000002</c:v>
                </c:pt>
                <c:pt idx="223">
                  <c:v>4.3000000000000016</c:v>
                </c:pt>
                <c:pt idx="224">
                  <c:v>4.4000000000000012</c:v>
                </c:pt>
                <c:pt idx="225">
                  <c:v>4.5000000000000009</c:v>
                </c:pt>
                <c:pt idx="226">
                  <c:v>4.6000000000000005</c:v>
                </c:pt>
                <c:pt idx="227">
                  <c:v>4.7</c:v>
                </c:pt>
                <c:pt idx="228">
                  <c:v>4.8</c:v>
                </c:pt>
                <c:pt idx="229">
                  <c:v>4.8999999999999995</c:v>
                </c:pt>
                <c:pt idx="230">
                  <c:v>4.9999999999999991</c:v>
                </c:pt>
                <c:pt idx="231">
                  <c:v>5.0999999999999988</c:v>
                </c:pt>
                <c:pt idx="232">
                  <c:v>5.1999999999999984</c:v>
                </c:pt>
                <c:pt idx="233">
                  <c:v>5.299999999999998</c:v>
                </c:pt>
                <c:pt idx="234">
                  <c:v>5.3999999999999977</c:v>
                </c:pt>
                <c:pt idx="235">
                  <c:v>5.4999999999999973</c:v>
                </c:pt>
                <c:pt idx="236">
                  <c:v>5.599999999999997</c:v>
                </c:pt>
                <c:pt idx="237">
                  <c:v>5.6999999999999966</c:v>
                </c:pt>
                <c:pt idx="238">
                  <c:v>5.7999999999999963</c:v>
                </c:pt>
                <c:pt idx="239">
                  <c:v>5.8999999999999959</c:v>
                </c:pt>
                <c:pt idx="240">
                  <c:v>5.9999999999999956</c:v>
                </c:pt>
                <c:pt idx="241">
                  <c:v>6.0999999999999952</c:v>
                </c:pt>
                <c:pt idx="242">
                  <c:v>6.1999999999999948</c:v>
                </c:pt>
                <c:pt idx="243">
                  <c:v>6.2999999999999945</c:v>
                </c:pt>
                <c:pt idx="244">
                  <c:v>6.3999999999999941</c:v>
                </c:pt>
                <c:pt idx="245">
                  <c:v>6.4999999999999938</c:v>
                </c:pt>
                <c:pt idx="246">
                  <c:v>6.5999999999999934</c:v>
                </c:pt>
                <c:pt idx="247">
                  <c:v>6.6999999999999931</c:v>
                </c:pt>
                <c:pt idx="248">
                  <c:v>6.7999999999999927</c:v>
                </c:pt>
                <c:pt idx="249">
                  <c:v>6.8999999999999924</c:v>
                </c:pt>
                <c:pt idx="250">
                  <c:v>6.999999999999992</c:v>
                </c:pt>
                <c:pt idx="251">
                  <c:v>7.0999999999999917</c:v>
                </c:pt>
                <c:pt idx="252">
                  <c:v>7.1999999999999913</c:v>
                </c:pt>
                <c:pt idx="253">
                  <c:v>7.2999999999999909</c:v>
                </c:pt>
                <c:pt idx="254">
                  <c:v>7.3999999999999906</c:v>
                </c:pt>
                <c:pt idx="255">
                  <c:v>7.4999999999999902</c:v>
                </c:pt>
                <c:pt idx="256">
                  <c:v>7.5999999999999899</c:v>
                </c:pt>
                <c:pt idx="257">
                  <c:v>7.6999999999999895</c:v>
                </c:pt>
                <c:pt idx="258">
                  <c:v>7.7999999999999892</c:v>
                </c:pt>
                <c:pt idx="259">
                  <c:v>7.8999999999999888</c:v>
                </c:pt>
                <c:pt idx="260">
                  <c:v>7.9999999999999885</c:v>
                </c:pt>
                <c:pt idx="261">
                  <c:v>8.099999999999989</c:v>
                </c:pt>
                <c:pt idx="262">
                  <c:v>8.1999999999999886</c:v>
                </c:pt>
                <c:pt idx="263">
                  <c:v>8.2999999999999883</c:v>
                </c:pt>
                <c:pt idx="264">
                  <c:v>8.3999999999999879</c:v>
                </c:pt>
                <c:pt idx="265">
                  <c:v>8.4999999999999876</c:v>
                </c:pt>
                <c:pt idx="266">
                  <c:v>8.5999999999999872</c:v>
                </c:pt>
                <c:pt idx="267">
                  <c:v>8.6999999999999869</c:v>
                </c:pt>
                <c:pt idx="268">
                  <c:v>8.7999999999999865</c:v>
                </c:pt>
                <c:pt idx="269">
                  <c:v>8.8999999999999861</c:v>
                </c:pt>
                <c:pt idx="270">
                  <c:v>8.9999999999999858</c:v>
                </c:pt>
                <c:pt idx="271">
                  <c:v>9.0999999999999854</c:v>
                </c:pt>
                <c:pt idx="272">
                  <c:v>9.1999999999999851</c:v>
                </c:pt>
                <c:pt idx="273">
                  <c:v>9.2999999999999847</c:v>
                </c:pt>
                <c:pt idx="274">
                  <c:v>9.3999999999999844</c:v>
                </c:pt>
                <c:pt idx="275">
                  <c:v>9.499999999999984</c:v>
                </c:pt>
                <c:pt idx="276">
                  <c:v>9.5999999999999837</c:v>
                </c:pt>
                <c:pt idx="277">
                  <c:v>9.6999999999999833</c:v>
                </c:pt>
                <c:pt idx="278">
                  <c:v>9.7999999999999829</c:v>
                </c:pt>
                <c:pt idx="279">
                  <c:v>9.8999999999999826</c:v>
                </c:pt>
                <c:pt idx="280">
                  <c:v>9.9999999999999822</c:v>
                </c:pt>
                <c:pt idx="281">
                  <c:v>10.099999999999982</c:v>
                </c:pt>
                <c:pt idx="282">
                  <c:v>10.199999999999982</c:v>
                </c:pt>
                <c:pt idx="283">
                  <c:v>10.299999999999981</c:v>
                </c:pt>
                <c:pt idx="284">
                  <c:v>10.399999999999981</c:v>
                </c:pt>
                <c:pt idx="285">
                  <c:v>10.49999999999998</c:v>
                </c:pt>
                <c:pt idx="286">
                  <c:v>10.59999999999998</c:v>
                </c:pt>
                <c:pt idx="287">
                  <c:v>10.69999999999998</c:v>
                </c:pt>
                <c:pt idx="288">
                  <c:v>10.799999999999979</c:v>
                </c:pt>
                <c:pt idx="289">
                  <c:v>10.899999999999979</c:v>
                </c:pt>
                <c:pt idx="290">
                  <c:v>10.999999999999979</c:v>
                </c:pt>
                <c:pt idx="291">
                  <c:v>11.099999999999978</c:v>
                </c:pt>
                <c:pt idx="292">
                  <c:v>11.199999999999978</c:v>
                </c:pt>
                <c:pt idx="293">
                  <c:v>11.299999999999978</c:v>
                </c:pt>
                <c:pt idx="294">
                  <c:v>11.399999999999977</c:v>
                </c:pt>
                <c:pt idx="295">
                  <c:v>11.499999999999977</c:v>
                </c:pt>
                <c:pt idx="296">
                  <c:v>11.599999999999977</c:v>
                </c:pt>
                <c:pt idx="297">
                  <c:v>11.699999999999976</c:v>
                </c:pt>
                <c:pt idx="298">
                  <c:v>11.799999999999976</c:v>
                </c:pt>
                <c:pt idx="299">
                  <c:v>11.899999999999975</c:v>
                </c:pt>
                <c:pt idx="300">
                  <c:v>11.999999999999975</c:v>
                </c:pt>
                <c:pt idx="301">
                  <c:v>12.000099999999975</c:v>
                </c:pt>
                <c:pt idx="302">
                  <c:v>12.000199999999975</c:v>
                </c:pt>
                <c:pt idx="303">
                  <c:v>12.000299999999974</c:v>
                </c:pt>
                <c:pt idx="304">
                  <c:v>12.000399999999974</c:v>
                </c:pt>
                <c:pt idx="305">
                  <c:v>12.000499999999974</c:v>
                </c:pt>
                <c:pt idx="306">
                  <c:v>12.000599999999974</c:v>
                </c:pt>
                <c:pt idx="307">
                  <c:v>12.000699999999973</c:v>
                </c:pt>
                <c:pt idx="308">
                  <c:v>12.000799999999973</c:v>
                </c:pt>
                <c:pt idx="309">
                  <c:v>12.000899999999973</c:v>
                </c:pt>
                <c:pt idx="310">
                  <c:v>12.000999999999973</c:v>
                </c:pt>
                <c:pt idx="311">
                  <c:v>12.001099999999973</c:v>
                </c:pt>
                <c:pt idx="312">
                  <c:v>12.001199999999972</c:v>
                </c:pt>
                <c:pt idx="313">
                  <c:v>12.001299999999972</c:v>
                </c:pt>
                <c:pt idx="314">
                  <c:v>12.001399999999972</c:v>
                </c:pt>
                <c:pt idx="315">
                  <c:v>12.001499999999972</c:v>
                </c:pt>
                <c:pt idx="316">
                  <c:v>12.001599999999971</c:v>
                </c:pt>
                <c:pt idx="317">
                  <c:v>12.001699999999971</c:v>
                </c:pt>
                <c:pt idx="318">
                  <c:v>12.001799999999971</c:v>
                </c:pt>
                <c:pt idx="319">
                  <c:v>12.001899999999971</c:v>
                </c:pt>
                <c:pt idx="320">
                  <c:v>12.00199999999997</c:v>
                </c:pt>
                <c:pt idx="321">
                  <c:v>12.00209999999997</c:v>
                </c:pt>
                <c:pt idx="322">
                  <c:v>12.00219999999997</c:v>
                </c:pt>
                <c:pt idx="323">
                  <c:v>12.00229999999997</c:v>
                </c:pt>
                <c:pt idx="324">
                  <c:v>12.00239999999997</c:v>
                </c:pt>
                <c:pt idx="325">
                  <c:v>12.002499999999969</c:v>
                </c:pt>
                <c:pt idx="326">
                  <c:v>12.002599999999969</c:v>
                </c:pt>
                <c:pt idx="327">
                  <c:v>12.002699999999969</c:v>
                </c:pt>
                <c:pt idx="328">
                  <c:v>12.002799999999969</c:v>
                </c:pt>
                <c:pt idx="329">
                  <c:v>12.002899999999968</c:v>
                </c:pt>
                <c:pt idx="330">
                  <c:v>12.002999999999968</c:v>
                </c:pt>
                <c:pt idx="331">
                  <c:v>12.003099999999968</c:v>
                </c:pt>
                <c:pt idx="332">
                  <c:v>12.003199999999968</c:v>
                </c:pt>
                <c:pt idx="333">
                  <c:v>12.003299999999967</c:v>
                </c:pt>
                <c:pt idx="334">
                  <c:v>12.003399999999967</c:v>
                </c:pt>
                <c:pt idx="335">
                  <c:v>12.003499999999967</c:v>
                </c:pt>
                <c:pt idx="336">
                  <c:v>12.003599999999967</c:v>
                </c:pt>
                <c:pt idx="337">
                  <c:v>12.003699999999967</c:v>
                </c:pt>
                <c:pt idx="338">
                  <c:v>12.003799999999966</c:v>
                </c:pt>
                <c:pt idx="339">
                  <c:v>12.003899999999966</c:v>
                </c:pt>
                <c:pt idx="340">
                  <c:v>12.003999999999966</c:v>
                </c:pt>
                <c:pt idx="341">
                  <c:v>12.004099999999966</c:v>
                </c:pt>
                <c:pt idx="342">
                  <c:v>12.004199999999965</c:v>
                </c:pt>
                <c:pt idx="343">
                  <c:v>12.004299999999965</c:v>
                </c:pt>
                <c:pt idx="344">
                  <c:v>12.004399999999965</c:v>
                </c:pt>
                <c:pt idx="345">
                  <c:v>12.004499999999965</c:v>
                </c:pt>
                <c:pt idx="346">
                  <c:v>12.004599999999964</c:v>
                </c:pt>
                <c:pt idx="347">
                  <c:v>12.004699999999964</c:v>
                </c:pt>
                <c:pt idx="348">
                  <c:v>12.004799999999964</c:v>
                </c:pt>
                <c:pt idx="349">
                  <c:v>12.004899999999964</c:v>
                </c:pt>
                <c:pt idx="350">
                  <c:v>12.004999999999963</c:v>
                </c:pt>
                <c:pt idx="351">
                  <c:v>12.005099999999963</c:v>
                </c:pt>
                <c:pt idx="352">
                  <c:v>12.005199999999963</c:v>
                </c:pt>
                <c:pt idx="353">
                  <c:v>12.005299999999963</c:v>
                </c:pt>
                <c:pt idx="354">
                  <c:v>12.005399999999963</c:v>
                </c:pt>
                <c:pt idx="355">
                  <c:v>12.005499999999962</c:v>
                </c:pt>
                <c:pt idx="356">
                  <c:v>12.005599999999962</c:v>
                </c:pt>
                <c:pt idx="357">
                  <c:v>12.005699999999962</c:v>
                </c:pt>
                <c:pt idx="358">
                  <c:v>12.005799999999962</c:v>
                </c:pt>
                <c:pt idx="359">
                  <c:v>12.005899999999961</c:v>
                </c:pt>
                <c:pt idx="360">
                  <c:v>12.005999999999961</c:v>
                </c:pt>
                <c:pt idx="361">
                  <c:v>12.006099999999961</c:v>
                </c:pt>
                <c:pt idx="362">
                  <c:v>12.006199999999961</c:v>
                </c:pt>
                <c:pt idx="363">
                  <c:v>12.00629999999996</c:v>
                </c:pt>
                <c:pt idx="364">
                  <c:v>12.00639999999996</c:v>
                </c:pt>
                <c:pt idx="365">
                  <c:v>12.00649999999996</c:v>
                </c:pt>
                <c:pt idx="366">
                  <c:v>12.00659999999996</c:v>
                </c:pt>
                <c:pt idx="367">
                  <c:v>12.00669999999996</c:v>
                </c:pt>
                <c:pt idx="368">
                  <c:v>12.006799999999959</c:v>
                </c:pt>
                <c:pt idx="369">
                  <c:v>12.006899999999959</c:v>
                </c:pt>
                <c:pt idx="370">
                  <c:v>12.006999999999959</c:v>
                </c:pt>
                <c:pt idx="371">
                  <c:v>12.007099999999959</c:v>
                </c:pt>
                <c:pt idx="372">
                  <c:v>12.007199999999958</c:v>
                </c:pt>
                <c:pt idx="373">
                  <c:v>12.007299999999958</c:v>
                </c:pt>
                <c:pt idx="374">
                  <c:v>12.007399999999958</c:v>
                </c:pt>
                <c:pt idx="375">
                  <c:v>12.007499999999958</c:v>
                </c:pt>
                <c:pt idx="376">
                  <c:v>12.007599999999957</c:v>
                </c:pt>
                <c:pt idx="377">
                  <c:v>12.007699999999957</c:v>
                </c:pt>
                <c:pt idx="378">
                  <c:v>12.007799999999957</c:v>
                </c:pt>
                <c:pt idx="379">
                  <c:v>12.007899999999957</c:v>
                </c:pt>
                <c:pt idx="380">
                  <c:v>12.007999999999956</c:v>
                </c:pt>
                <c:pt idx="381">
                  <c:v>12.008099999999956</c:v>
                </c:pt>
                <c:pt idx="382">
                  <c:v>12.008199999999956</c:v>
                </c:pt>
                <c:pt idx="383">
                  <c:v>12.008299999999956</c:v>
                </c:pt>
                <c:pt idx="384">
                  <c:v>12.008399999999956</c:v>
                </c:pt>
                <c:pt idx="385">
                  <c:v>12.008499999999955</c:v>
                </c:pt>
                <c:pt idx="386">
                  <c:v>12.008599999999955</c:v>
                </c:pt>
                <c:pt idx="387">
                  <c:v>12.008699999999955</c:v>
                </c:pt>
                <c:pt idx="388">
                  <c:v>12.008799999999955</c:v>
                </c:pt>
                <c:pt idx="389">
                  <c:v>12.008899999999954</c:v>
                </c:pt>
                <c:pt idx="390">
                  <c:v>12.008999999999954</c:v>
                </c:pt>
                <c:pt idx="391">
                  <c:v>12.009099999999954</c:v>
                </c:pt>
                <c:pt idx="392">
                  <c:v>12.009199999999954</c:v>
                </c:pt>
                <c:pt idx="393">
                  <c:v>12.009299999999953</c:v>
                </c:pt>
                <c:pt idx="394">
                  <c:v>12.009399999999953</c:v>
                </c:pt>
                <c:pt idx="395">
                  <c:v>12.009499999999953</c:v>
                </c:pt>
                <c:pt idx="396">
                  <c:v>12.009599999999953</c:v>
                </c:pt>
                <c:pt idx="397">
                  <c:v>12.009699999999953</c:v>
                </c:pt>
                <c:pt idx="398">
                  <c:v>12.009799999999952</c:v>
                </c:pt>
                <c:pt idx="399">
                  <c:v>12.009899999999952</c:v>
                </c:pt>
                <c:pt idx="400">
                  <c:v>12.009999999999952</c:v>
                </c:pt>
                <c:pt idx="401">
                  <c:v>12.010099999999952</c:v>
                </c:pt>
                <c:pt idx="402">
                  <c:v>12.010199999999951</c:v>
                </c:pt>
                <c:pt idx="403">
                  <c:v>12.010299999999951</c:v>
                </c:pt>
                <c:pt idx="404">
                  <c:v>12.010399999999951</c:v>
                </c:pt>
                <c:pt idx="405">
                  <c:v>12.010499999999951</c:v>
                </c:pt>
                <c:pt idx="406">
                  <c:v>12.01059999999995</c:v>
                </c:pt>
                <c:pt idx="407">
                  <c:v>12.01069999999995</c:v>
                </c:pt>
                <c:pt idx="408">
                  <c:v>12.01079999999995</c:v>
                </c:pt>
                <c:pt idx="409">
                  <c:v>12.01089999999995</c:v>
                </c:pt>
                <c:pt idx="410">
                  <c:v>12.010999999999949</c:v>
                </c:pt>
                <c:pt idx="411">
                  <c:v>12.011099999999949</c:v>
                </c:pt>
                <c:pt idx="412">
                  <c:v>12.011199999999949</c:v>
                </c:pt>
                <c:pt idx="413">
                  <c:v>12.011299999999949</c:v>
                </c:pt>
                <c:pt idx="414">
                  <c:v>12.011399999999949</c:v>
                </c:pt>
                <c:pt idx="415">
                  <c:v>12.011499999999948</c:v>
                </c:pt>
                <c:pt idx="416">
                  <c:v>12.011599999999948</c:v>
                </c:pt>
                <c:pt idx="417">
                  <c:v>12.011699999999948</c:v>
                </c:pt>
                <c:pt idx="418">
                  <c:v>12.011799999999948</c:v>
                </c:pt>
                <c:pt idx="419">
                  <c:v>12.011899999999947</c:v>
                </c:pt>
                <c:pt idx="420">
                  <c:v>12.011999999999947</c:v>
                </c:pt>
                <c:pt idx="421">
                  <c:v>12.012099999999947</c:v>
                </c:pt>
                <c:pt idx="422">
                  <c:v>12.012199999999947</c:v>
                </c:pt>
                <c:pt idx="423">
                  <c:v>12.012299999999946</c:v>
                </c:pt>
                <c:pt idx="424">
                  <c:v>12.012399999999946</c:v>
                </c:pt>
                <c:pt idx="425">
                  <c:v>12.012499999999946</c:v>
                </c:pt>
                <c:pt idx="426">
                  <c:v>12.012599999999946</c:v>
                </c:pt>
                <c:pt idx="427">
                  <c:v>12.012699999999946</c:v>
                </c:pt>
                <c:pt idx="428">
                  <c:v>12.012799999999945</c:v>
                </c:pt>
                <c:pt idx="429">
                  <c:v>12.012899999999945</c:v>
                </c:pt>
                <c:pt idx="430">
                  <c:v>12.012999999999945</c:v>
                </c:pt>
                <c:pt idx="431">
                  <c:v>12.013099999999945</c:v>
                </c:pt>
                <c:pt idx="432">
                  <c:v>12.013199999999944</c:v>
                </c:pt>
                <c:pt idx="433">
                  <c:v>12.013299999999944</c:v>
                </c:pt>
                <c:pt idx="434">
                  <c:v>12.013399999999944</c:v>
                </c:pt>
                <c:pt idx="435">
                  <c:v>12.013499999999944</c:v>
                </c:pt>
                <c:pt idx="436">
                  <c:v>12.013599999999943</c:v>
                </c:pt>
                <c:pt idx="437">
                  <c:v>12.013699999999943</c:v>
                </c:pt>
                <c:pt idx="438">
                  <c:v>12.013799999999943</c:v>
                </c:pt>
                <c:pt idx="439">
                  <c:v>12.013899999999943</c:v>
                </c:pt>
                <c:pt idx="440">
                  <c:v>12.013999999999943</c:v>
                </c:pt>
                <c:pt idx="441">
                  <c:v>12.014099999999942</c:v>
                </c:pt>
                <c:pt idx="442">
                  <c:v>12.014199999999942</c:v>
                </c:pt>
                <c:pt idx="443">
                  <c:v>12.014299999999942</c:v>
                </c:pt>
                <c:pt idx="444">
                  <c:v>12.014399999999942</c:v>
                </c:pt>
                <c:pt idx="445">
                  <c:v>12.014499999999941</c:v>
                </c:pt>
                <c:pt idx="446">
                  <c:v>12.014599999999941</c:v>
                </c:pt>
                <c:pt idx="447">
                  <c:v>12.014699999999941</c:v>
                </c:pt>
                <c:pt idx="448">
                  <c:v>12.014799999999941</c:v>
                </c:pt>
                <c:pt idx="449">
                  <c:v>12.01489999999994</c:v>
                </c:pt>
                <c:pt idx="450">
                  <c:v>12.01499999999994</c:v>
                </c:pt>
                <c:pt idx="451">
                  <c:v>12.01509999999994</c:v>
                </c:pt>
                <c:pt idx="452">
                  <c:v>12.01519999999994</c:v>
                </c:pt>
                <c:pt idx="453">
                  <c:v>12.015299999999939</c:v>
                </c:pt>
                <c:pt idx="454">
                  <c:v>12.015399999999939</c:v>
                </c:pt>
                <c:pt idx="455">
                  <c:v>12.015499999999939</c:v>
                </c:pt>
                <c:pt idx="456">
                  <c:v>12.015599999999939</c:v>
                </c:pt>
                <c:pt idx="457">
                  <c:v>12.015699999999939</c:v>
                </c:pt>
                <c:pt idx="458">
                  <c:v>12.015799999999938</c:v>
                </c:pt>
                <c:pt idx="459">
                  <c:v>12.015899999999938</c:v>
                </c:pt>
                <c:pt idx="460">
                  <c:v>12.015999999999938</c:v>
                </c:pt>
                <c:pt idx="461">
                  <c:v>12.016099999999938</c:v>
                </c:pt>
                <c:pt idx="462">
                  <c:v>12.016199999999937</c:v>
                </c:pt>
                <c:pt idx="463">
                  <c:v>12.016299999999937</c:v>
                </c:pt>
                <c:pt idx="464">
                  <c:v>12.016399999999937</c:v>
                </c:pt>
                <c:pt idx="465">
                  <c:v>12.016499999999937</c:v>
                </c:pt>
                <c:pt idx="466">
                  <c:v>12.016599999999936</c:v>
                </c:pt>
                <c:pt idx="467">
                  <c:v>12.016699999999936</c:v>
                </c:pt>
                <c:pt idx="468">
                  <c:v>12.016799999999936</c:v>
                </c:pt>
                <c:pt idx="469">
                  <c:v>12.016899999999936</c:v>
                </c:pt>
                <c:pt idx="470">
                  <c:v>12.016999999999936</c:v>
                </c:pt>
                <c:pt idx="471">
                  <c:v>12.017099999999935</c:v>
                </c:pt>
                <c:pt idx="472">
                  <c:v>12.017199999999935</c:v>
                </c:pt>
                <c:pt idx="473">
                  <c:v>12.017299999999935</c:v>
                </c:pt>
                <c:pt idx="474">
                  <c:v>12.017399999999935</c:v>
                </c:pt>
                <c:pt idx="475">
                  <c:v>12.017499999999934</c:v>
                </c:pt>
                <c:pt idx="476">
                  <c:v>12.017599999999934</c:v>
                </c:pt>
                <c:pt idx="477">
                  <c:v>12.017699999999934</c:v>
                </c:pt>
                <c:pt idx="478">
                  <c:v>12.017799999999934</c:v>
                </c:pt>
                <c:pt idx="479">
                  <c:v>12.017899999999933</c:v>
                </c:pt>
                <c:pt idx="480">
                  <c:v>12.017999999999933</c:v>
                </c:pt>
                <c:pt idx="481">
                  <c:v>12.018099999999933</c:v>
                </c:pt>
                <c:pt idx="482">
                  <c:v>12.018199999999933</c:v>
                </c:pt>
                <c:pt idx="483">
                  <c:v>12.018299999999932</c:v>
                </c:pt>
                <c:pt idx="484">
                  <c:v>12.018399999999932</c:v>
                </c:pt>
                <c:pt idx="485">
                  <c:v>12.018499999999932</c:v>
                </c:pt>
                <c:pt idx="486">
                  <c:v>12.018599999999932</c:v>
                </c:pt>
                <c:pt idx="487">
                  <c:v>12.018699999999932</c:v>
                </c:pt>
                <c:pt idx="488">
                  <c:v>12.018799999999931</c:v>
                </c:pt>
                <c:pt idx="489">
                  <c:v>12.018899999999931</c:v>
                </c:pt>
                <c:pt idx="490">
                  <c:v>12.018999999999931</c:v>
                </c:pt>
                <c:pt idx="491">
                  <c:v>12.019099999999931</c:v>
                </c:pt>
                <c:pt idx="492">
                  <c:v>12.01919999999993</c:v>
                </c:pt>
                <c:pt idx="493">
                  <c:v>12.01929999999993</c:v>
                </c:pt>
                <c:pt idx="494">
                  <c:v>12.01939999999993</c:v>
                </c:pt>
                <c:pt idx="495">
                  <c:v>12.01949999999993</c:v>
                </c:pt>
                <c:pt idx="496">
                  <c:v>12.019599999999929</c:v>
                </c:pt>
                <c:pt idx="497">
                  <c:v>12.019699999999929</c:v>
                </c:pt>
                <c:pt idx="498">
                  <c:v>12.019799999999929</c:v>
                </c:pt>
                <c:pt idx="499">
                  <c:v>12.019899999999929</c:v>
                </c:pt>
                <c:pt idx="500">
                  <c:v>12.019999999999929</c:v>
                </c:pt>
                <c:pt idx="501">
                  <c:v>12.020099999999928</c:v>
                </c:pt>
                <c:pt idx="502">
                  <c:v>12.020199999999928</c:v>
                </c:pt>
                <c:pt idx="503">
                  <c:v>12.020299999999928</c:v>
                </c:pt>
                <c:pt idx="504">
                  <c:v>12.020399999999928</c:v>
                </c:pt>
                <c:pt idx="505">
                  <c:v>12.020499999999927</c:v>
                </c:pt>
                <c:pt idx="506">
                  <c:v>12.020599999999927</c:v>
                </c:pt>
                <c:pt idx="507">
                  <c:v>12.020699999999927</c:v>
                </c:pt>
                <c:pt idx="508">
                  <c:v>12.020799999999927</c:v>
                </c:pt>
                <c:pt idx="509">
                  <c:v>12.020899999999926</c:v>
                </c:pt>
                <c:pt idx="510">
                  <c:v>12.020999999999926</c:v>
                </c:pt>
                <c:pt idx="511">
                  <c:v>12.021099999999926</c:v>
                </c:pt>
                <c:pt idx="512">
                  <c:v>12.021199999999926</c:v>
                </c:pt>
                <c:pt idx="513">
                  <c:v>12.021299999999925</c:v>
                </c:pt>
                <c:pt idx="514">
                  <c:v>12.021399999999925</c:v>
                </c:pt>
                <c:pt idx="515">
                  <c:v>12.021499999999925</c:v>
                </c:pt>
                <c:pt idx="516">
                  <c:v>12.021599999999925</c:v>
                </c:pt>
                <c:pt idx="517">
                  <c:v>12.021699999999925</c:v>
                </c:pt>
                <c:pt idx="518">
                  <c:v>12.021799999999924</c:v>
                </c:pt>
                <c:pt idx="519">
                  <c:v>12.021899999999924</c:v>
                </c:pt>
                <c:pt idx="520">
                  <c:v>12.021999999999924</c:v>
                </c:pt>
                <c:pt idx="521">
                  <c:v>12.022099999999924</c:v>
                </c:pt>
                <c:pt idx="522">
                  <c:v>12.022199999999923</c:v>
                </c:pt>
                <c:pt idx="523">
                  <c:v>12.022299999999923</c:v>
                </c:pt>
                <c:pt idx="524">
                  <c:v>12.022399999999923</c:v>
                </c:pt>
                <c:pt idx="525">
                  <c:v>12.022499999999923</c:v>
                </c:pt>
                <c:pt idx="526">
                  <c:v>12.022599999999922</c:v>
                </c:pt>
                <c:pt idx="527">
                  <c:v>12.022699999999922</c:v>
                </c:pt>
                <c:pt idx="528">
                  <c:v>12.022799999999922</c:v>
                </c:pt>
                <c:pt idx="529">
                  <c:v>12.022899999999922</c:v>
                </c:pt>
                <c:pt idx="530">
                  <c:v>12.022999999999922</c:v>
                </c:pt>
                <c:pt idx="531">
                  <c:v>12.023099999999921</c:v>
                </c:pt>
                <c:pt idx="532">
                  <c:v>12.023199999999921</c:v>
                </c:pt>
                <c:pt idx="533">
                  <c:v>12.023299999999921</c:v>
                </c:pt>
                <c:pt idx="534">
                  <c:v>12.023399999999921</c:v>
                </c:pt>
                <c:pt idx="535">
                  <c:v>12.02349999999992</c:v>
                </c:pt>
                <c:pt idx="536">
                  <c:v>12.02359999999992</c:v>
                </c:pt>
                <c:pt idx="537">
                  <c:v>12.02369999999992</c:v>
                </c:pt>
                <c:pt idx="538">
                  <c:v>12.02379999999992</c:v>
                </c:pt>
                <c:pt idx="539">
                  <c:v>12.023899999999919</c:v>
                </c:pt>
                <c:pt idx="540">
                  <c:v>12.023999999999919</c:v>
                </c:pt>
                <c:pt idx="541">
                  <c:v>12.024099999999919</c:v>
                </c:pt>
                <c:pt idx="542">
                  <c:v>12.024199999999919</c:v>
                </c:pt>
                <c:pt idx="543">
                  <c:v>12.024299999999918</c:v>
                </c:pt>
                <c:pt idx="544">
                  <c:v>12.024399999999918</c:v>
                </c:pt>
                <c:pt idx="545">
                  <c:v>12.024499999999918</c:v>
                </c:pt>
                <c:pt idx="546">
                  <c:v>12.024599999999918</c:v>
                </c:pt>
                <c:pt idx="547">
                  <c:v>12.024699999999918</c:v>
                </c:pt>
                <c:pt idx="548">
                  <c:v>12.024799999999917</c:v>
                </c:pt>
                <c:pt idx="549">
                  <c:v>12.024899999999917</c:v>
                </c:pt>
                <c:pt idx="550">
                  <c:v>12.024999999999917</c:v>
                </c:pt>
                <c:pt idx="551">
                  <c:v>12.025099999999917</c:v>
                </c:pt>
                <c:pt idx="552">
                  <c:v>12.025199999999916</c:v>
                </c:pt>
                <c:pt idx="553">
                  <c:v>12.025299999999916</c:v>
                </c:pt>
                <c:pt idx="554">
                  <c:v>12.025399999999916</c:v>
                </c:pt>
                <c:pt idx="555">
                  <c:v>12.025499999999916</c:v>
                </c:pt>
                <c:pt idx="556">
                  <c:v>12.025599999999915</c:v>
                </c:pt>
                <c:pt idx="557">
                  <c:v>12.025699999999915</c:v>
                </c:pt>
                <c:pt idx="558">
                  <c:v>12.025799999999915</c:v>
                </c:pt>
                <c:pt idx="559">
                  <c:v>12.025899999999915</c:v>
                </c:pt>
                <c:pt idx="560">
                  <c:v>12.025999999999915</c:v>
                </c:pt>
                <c:pt idx="561">
                  <c:v>12.026099999999914</c:v>
                </c:pt>
                <c:pt idx="562">
                  <c:v>12.026199999999914</c:v>
                </c:pt>
                <c:pt idx="563">
                  <c:v>12.026299999999914</c:v>
                </c:pt>
                <c:pt idx="564">
                  <c:v>12.026399999999914</c:v>
                </c:pt>
                <c:pt idx="565">
                  <c:v>12.026499999999913</c:v>
                </c:pt>
                <c:pt idx="566">
                  <c:v>12.026599999999913</c:v>
                </c:pt>
                <c:pt idx="567">
                  <c:v>12.026699999999913</c:v>
                </c:pt>
                <c:pt idx="568">
                  <c:v>12.026799999999913</c:v>
                </c:pt>
                <c:pt idx="569">
                  <c:v>12.026899999999912</c:v>
                </c:pt>
                <c:pt idx="570">
                  <c:v>12.026999999999912</c:v>
                </c:pt>
                <c:pt idx="571">
                  <c:v>12.027099999999912</c:v>
                </c:pt>
                <c:pt idx="572">
                  <c:v>12.027199999999912</c:v>
                </c:pt>
                <c:pt idx="573">
                  <c:v>12.027299999999912</c:v>
                </c:pt>
                <c:pt idx="574">
                  <c:v>12.027399999999911</c:v>
                </c:pt>
                <c:pt idx="575">
                  <c:v>12.027499999999911</c:v>
                </c:pt>
                <c:pt idx="576">
                  <c:v>12.027599999999911</c:v>
                </c:pt>
                <c:pt idx="577">
                  <c:v>12.027699999999911</c:v>
                </c:pt>
                <c:pt idx="578">
                  <c:v>12.02779999999991</c:v>
                </c:pt>
                <c:pt idx="579">
                  <c:v>12.02789999999991</c:v>
                </c:pt>
                <c:pt idx="580">
                  <c:v>12.02799999999991</c:v>
                </c:pt>
                <c:pt idx="581">
                  <c:v>12.02809999999991</c:v>
                </c:pt>
                <c:pt idx="582">
                  <c:v>12.028199999999909</c:v>
                </c:pt>
                <c:pt idx="583">
                  <c:v>12.028299999999909</c:v>
                </c:pt>
                <c:pt idx="584">
                  <c:v>12.028399999999909</c:v>
                </c:pt>
                <c:pt idx="585">
                  <c:v>12.028499999999909</c:v>
                </c:pt>
                <c:pt idx="586">
                  <c:v>12.028599999999908</c:v>
                </c:pt>
                <c:pt idx="587">
                  <c:v>12.028699999999908</c:v>
                </c:pt>
                <c:pt idx="588">
                  <c:v>12.028799999999908</c:v>
                </c:pt>
                <c:pt idx="589">
                  <c:v>12.028899999999908</c:v>
                </c:pt>
                <c:pt idx="590">
                  <c:v>12.028999999999908</c:v>
                </c:pt>
                <c:pt idx="591">
                  <c:v>12.029099999999907</c:v>
                </c:pt>
                <c:pt idx="592">
                  <c:v>12.029199999999907</c:v>
                </c:pt>
                <c:pt idx="593">
                  <c:v>12.029299999999907</c:v>
                </c:pt>
                <c:pt idx="594">
                  <c:v>12.029399999999907</c:v>
                </c:pt>
                <c:pt idx="595">
                  <c:v>12.029499999999906</c:v>
                </c:pt>
                <c:pt idx="596">
                  <c:v>12.029599999999906</c:v>
                </c:pt>
                <c:pt idx="597">
                  <c:v>12.029699999999906</c:v>
                </c:pt>
                <c:pt idx="598">
                  <c:v>12.029799999999906</c:v>
                </c:pt>
                <c:pt idx="599">
                  <c:v>12.029899999999905</c:v>
                </c:pt>
                <c:pt idx="600">
                  <c:v>12.029999999999905</c:v>
                </c:pt>
                <c:pt idx="601">
                  <c:v>12.030099999999905</c:v>
                </c:pt>
                <c:pt idx="602">
                  <c:v>12.030199999999905</c:v>
                </c:pt>
                <c:pt idx="603">
                  <c:v>12.030299999999905</c:v>
                </c:pt>
                <c:pt idx="604">
                  <c:v>12.030399999999904</c:v>
                </c:pt>
                <c:pt idx="605">
                  <c:v>12.030499999999904</c:v>
                </c:pt>
                <c:pt idx="606">
                  <c:v>12.030599999999904</c:v>
                </c:pt>
                <c:pt idx="607">
                  <c:v>12.030699999999904</c:v>
                </c:pt>
                <c:pt idx="608">
                  <c:v>12.030799999999903</c:v>
                </c:pt>
                <c:pt idx="609">
                  <c:v>12.030899999999903</c:v>
                </c:pt>
                <c:pt idx="610">
                  <c:v>12.030999999999903</c:v>
                </c:pt>
                <c:pt idx="611">
                  <c:v>12.031099999999903</c:v>
                </c:pt>
                <c:pt idx="612">
                  <c:v>12.031199999999902</c:v>
                </c:pt>
                <c:pt idx="613">
                  <c:v>12.031299999999902</c:v>
                </c:pt>
                <c:pt idx="614">
                  <c:v>12.031399999999902</c:v>
                </c:pt>
                <c:pt idx="615">
                  <c:v>12.031499999999902</c:v>
                </c:pt>
                <c:pt idx="616">
                  <c:v>12.031599999999901</c:v>
                </c:pt>
                <c:pt idx="617">
                  <c:v>12.031699999999901</c:v>
                </c:pt>
                <c:pt idx="618">
                  <c:v>12.031799999999901</c:v>
                </c:pt>
                <c:pt idx="619">
                  <c:v>12.031899999999901</c:v>
                </c:pt>
                <c:pt idx="620">
                  <c:v>12.031999999999901</c:v>
                </c:pt>
                <c:pt idx="621">
                  <c:v>12.0320999999999</c:v>
                </c:pt>
                <c:pt idx="622">
                  <c:v>12.0321999999999</c:v>
                </c:pt>
                <c:pt idx="623">
                  <c:v>12.0322999999999</c:v>
                </c:pt>
                <c:pt idx="624">
                  <c:v>12.0323999999999</c:v>
                </c:pt>
                <c:pt idx="625">
                  <c:v>12.032499999999899</c:v>
                </c:pt>
                <c:pt idx="626">
                  <c:v>12.032599999999899</c:v>
                </c:pt>
                <c:pt idx="627">
                  <c:v>12.032699999999899</c:v>
                </c:pt>
                <c:pt idx="628">
                  <c:v>12.032799999999899</c:v>
                </c:pt>
                <c:pt idx="629">
                  <c:v>12.032899999999898</c:v>
                </c:pt>
                <c:pt idx="630">
                  <c:v>12.032999999999898</c:v>
                </c:pt>
                <c:pt idx="631">
                  <c:v>12.033099999999898</c:v>
                </c:pt>
                <c:pt idx="632">
                  <c:v>12.033199999999898</c:v>
                </c:pt>
                <c:pt idx="633">
                  <c:v>12.033299999999898</c:v>
                </c:pt>
                <c:pt idx="634">
                  <c:v>12.033399999999897</c:v>
                </c:pt>
                <c:pt idx="635">
                  <c:v>12.033499999999897</c:v>
                </c:pt>
                <c:pt idx="636">
                  <c:v>12.033599999999897</c:v>
                </c:pt>
                <c:pt idx="637">
                  <c:v>12.033699999999897</c:v>
                </c:pt>
                <c:pt idx="638">
                  <c:v>12.033799999999896</c:v>
                </c:pt>
                <c:pt idx="639">
                  <c:v>12.033899999999896</c:v>
                </c:pt>
                <c:pt idx="640">
                  <c:v>12.033999999999896</c:v>
                </c:pt>
                <c:pt idx="641">
                  <c:v>12.034099999999896</c:v>
                </c:pt>
                <c:pt idx="642">
                  <c:v>12.034199999999895</c:v>
                </c:pt>
                <c:pt idx="643">
                  <c:v>12.034299999999895</c:v>
                </c:pt>
                <c:pt idx="644">
                  <c:v>12.034399999999895</c:v>
                </c:pt>
                <c:pt idx="645">
                  <c:v>12.034499999999895</c:v>
                </c:pt>
                <c:pt idx="646">
                  <c:v>12.034599999999894</c:v>
                </c:pt>
                <c:pt idx="647">
                  <c:v>12.034699999999894</c:v>
                </c:pt>
                <c:pt idx="648">
                  <c:v>12.034799999999894</c:v>
                </c:pt>
                <c:pt idx="649">
                  <c:v>12.034899999999894</c:v>
                </c:pt>
                <c:pt idx="650">
                  <c:v>12.034999999999894</c:v>
                </c:pt>
                <c:pt idx="651">
                  <c:v>12.035099999999893</c:v>
                </c:pt>
                <c:pt idx="652">
                  <c:v>12.035199999999893</c:v>
                </c:pt>
                <c:pt idx="653">
                  <c:v>12.035299999999893</c:v>
                </c:pt>
                <c:pt idx="654">
                  <c:v>12.035399999999893</c:v>
                </c:pt>
                <c:pt idx="655">
                  <c:v>12.035499999999892</c:v>
                </c:pt>
                <c:pt idx="656">
                  <c:v>12.035599999999892</c:v>
                </c:pt>
                <c:pt idx="657">
                  <c:v>12.035699999999892</c:v>
                </c:pt>
                <c:pt idx="658">
                  <c:v>12.035799999999892</c:v>
                </c:pt>
                <c:pt idx="659">
                  <c:v>12.035899999999891</c:v>
                </c:pt>
                <c:pt idx="660">
                  <c:v>12.035999999999891</c:v>
                </c:pt>
                <c:pt idx="661">
                  <c:v>12.036099999999891</c:v>
                </c:pt>
                <c:pt idx="662">
                  <c:v>12.036199999999891</c:v>
                </c:pt>
                <c:pt idx="663">
                  <c:v>12.036299999999891</c:v>
                </c:pt>
                <c:pt idx="664">
                  <c:v>12.03639999999989</c:v>
                </c:pt>
                <c:pt idx="665">
                  <c:v>12.03649999999989</c:v>
                </c:pt>
                <c:pt idx="666">
                  <c:v>12.03659999999989</c:v>
                </c:pt>
                <c:pt idx="667">
                  <c:v>12.03669999999989</c:v>
                </c:pt>
                <c:pt idx="668">
                  <c:v>12.036799999999889</c:v>
                </c:pt>
                <c:pt idx="669">
                  <c:v>12.036899999999889</c:v>
                </c:pt>
                <c:pt idx="670">
                  <c:v>12.036999999999889</c:v>
                </c:pt>
                <c:pt idx="671">
                  <c:v>12.037099999999889</c:v>
                </c:pt>
                <c:pt idx="672">
                  <c:v>12.037199999999888</c:v>
                </c:pt>
                <c:pt idx="673">
                  <c:v>12.037299999999888</c:v>
                </c:pt>
                <c:pt idx="674">
                  <c:v>12.037399999999888</c:v>
                </c:pt>
                <c:pt idx="675">
                  <c:v>12.037499999999888</c:v>
                </c:pt>
                <c:pt idx="676">
                  <c:v>12.037599999999888</c:v>
                </c:pt>
                <c:pt idx="677">
                  <c:v>12.037699999999887</c:v>
                </c:pt>
                <c:pt idx="678">
                  <c:v>12.037799999999887</c:v>
                </c:pt>
                <c:pt idx="679">
                  <c:v>12.037899999999887</c:v>
                </c:pt>
                <c:pt idx="680">
                  <c:v>12.037999999999887</c:v>
                </c:pt>
                <c:pt idx="681">
                  <c:v>12.038099999999886</c:v>
                </c:pt>
                <c:pt idx="682">
                  <c:v>12.038199999999886</c:v>
                </c:pt>
                <c:pt idx="683">
                  <c:v>12.038299999999886</c:v>
                </c:pt>
                <c:pt idx="684">
                  <c:v>12.038399999999886</c:v>
                </c:pt>
                <c:pt idx="685">
                  <c:v>12.038499999999885</c:v>
                </c:pt>
                <c:pt idx="686">
                  <c:v>12.038599999999885</c:v>
                </c:pt>
                <c:pt idx="687">
                  <c:v>12.038699999999885</c:v>
                </c:pt>
                <c:pt idx="688">
                  <c:v>12.038799999999885</c:v>
                </c:pt>
                <c:pt idx="689">
                  <c:v>12.038899999999884</c:v>
                </c:pt>
                <c:pt idx="690">
                  <c:v>12.038999999999884</c:v>
                </c:pt>
                <c:pt idx="691">
                  <c:v>12.039099999999884</c:v>
                </c:pt>
                <c:pt idx="692">
                  <c:v>12.039199999999884</c:v>
                </c:pt>
                <c:pt idx="693">
                  <c:v>12.039299999999884</c:v>
                </c:pt>
                <c:pt idx="694">
                  <c:v>12.039399999999883</c:v>
                </c:pt>
                <c:pt idx="695">
                  <c:v>12.039499999999883</c:v>
                </c:pt>
                <c:pt idx="696">
                  <c:v>12.039599999999883</c:v>
                </c:pt>
                <c:pt idx="697">
                  <c:v>12.039699999999883</c:v>
                </c:pt>
                <c:pt idx="698">
                  <c:v>12.039799999999882</c:v>
                </c:pt>
                <c:pt idx="699">
                  <c:v>12.039899999999882</c:v>
                </c:pt>
                <c:pt idx="700">
                  <c:v>12.039999999999882</c:v>
                </c:pt>
                <c:pt idx="701">
                  <c:v>12.040099999999882</c:v>
                </c:pt>
                <c:pt idx="702">
                  <c:v>12.040199999999881</c:v>
                </c:pt>
                <c:pt idx="703">
                  <c:v>12.040299999999881</c:v>
                </c:pt>
                <c:pt idx="704">
                  <c:v>12.040399999999881</c:v>
                </c:pt>
                <c:pt idx="705">
                  <c:v>12.040499999999881</c:v>
                </c:pt>
                <c:pt idx="706">
                  <c:v>12.040599999999881</c:v>
                </c:pt>
                <c:pt idx="707">
                  <c:v>12.04069999999988</c:v>
                </c:pt>
                <c:pt idx="708">
                  <c:v>12.04079999999988</c:v>
                </c:pt>
                <c:pt idx="709">
                  <c:v>12.04089999999988</c:v>
                </c:pt>
                <c:pt idx="710">
                  <c:v>12.04099999999988</c:v>
                </c:pt>
                <c:pt idx="711">
                  <c:v>12.041099999999879</c:v>
                </c:pt>
                <c:pt idx="712">
                  <c:v>12.041199999999879</c:v>
                </c:pt>
                <c:pt idx="713">
                  <c:v>12.041299999999879</c:v>
                </c:pt>
                <c:pt idx="714">
                  <c:v>12.041399999999879</c:v>
                </c:pt>
                <c:pt idx="715">
                  <c:v>12.041499999999878</c:v>
                </c:pt>
                <c:pt idx="716">
                  <c:v>12.041599999999878</c:v>
                </c:pt>
                <c:pt idx="717">
                  <c:v>12.041699999999878</c:v>
                </c:pt>
                <c:pt idx="718">
                  <c:v>12.041799999999878</c:v>
                </c:pt>
                <c:pt idx="719">
                  <c:v>12.041899999999877</c:v>
                </c:pt>
                <c:pt idx="720">
                  <c:v>12.041999999999877</c:v>
                </c:pt>
                <c:pt idx="721">
                  <c:v>12.042099999999877</c:v>
                </c:pt>
                <c:pt idx="722">
                  <c:v>12.042199999999877</c:v>
                </c:pt>
                <c:pt idx="723">
                  <c:v>12.042299999999877</c:v>
                </c:pt>
                <c:pt idx="724">
                  <c:v>12.042399999999876</c:v>
                </c:pt>
                <c:pt idx="725">
                  <c:v>12.042499999999876</c:v>
                </c:pt>
                <c:pt idx="726">
                  <c:v>12.042599999999876</c:v>
                </c:pt>
                <c:pt idx="727">
                  <c:v>12.042699999999876</c:v>
                </c:pt>
                <c:pt idx="728">
                  <c:v>12.042799999999875</c:v>
                </c:pt>
                <c:pt idx="729">
                  <c:v>12.042899999999875</c:v>
                </c:pt>
                <c:pt idx="730">
                  <c:v>12.042999999999875</c:v>
                </c:pt>
                <c:pt idx="731">
                  <c:v>12.043099999999875</c:v>
                </c:pt>
                <c:pt idx="732">
                  <c:v>12.043199999999874</c:v>
                </c:pt>
                <c:pt idx="733">
                  <c:v>12.043299999999874</c:v>
                </c:pt>
                <c:pt idx="734">
                  <c:v>12.043399999999874</c:v>
                </c:pt>
                <c:pt idx="735">
                  <c:v>12.043499999999874</c:v>
                </c:pt>
                <c:pt idx="736">
                  <c:v>12.043599999999874</c:v>
                </c:pt>
                <c:pt idx="737">
                  <c:v>12.043699999999873</c:v>
                </c:pt>
                <c:pt idx="738">
                  <c:v>12.043799999999873</c:v>
                </c:pt>
                <c:pt idx="739">
                  <c:v>12.043899999999873</c:v>
                </c:pt>
                <c:pt idx="740">
                  <c:v>12.043999999999873</c:v>
                </c:pt>
                <c:pt idx="741">
                  <c:v>12.044099999999872</c:v>
                </c:pt>
                <c:pt idx="742">
                  <c:v>12.044199999999872</c:v>
                </c:pt>
                <c:pt idx="743">
                  <c:v>12.044299999999872</c:v>
                </c:pt>
                <c:pt idx="744">
                  <c:v>12.044399999999872</c:v>
                </c:pt>
                <c:pt idx="745">
                  <c:v>12.044499999999871</c:v>
                </c:pt>
                <c:pt idx="746">
                  <c:v>12.044599999999871</c:v>
                </c:pt>
                <c:pt idx="747">
                  <c:v>12.044699999999871</c:v>
                </c:pt>
                <c:pt idx="748">
                  <c:v>12.044799999999871</c:v>
                </c:pt>
                <c:pt idx="749">
                  <c:v>12.04489999999987</c:v>
                </c:pt>
                <c:pt idx="750">
                  <c:v>12.04499999999987</c:v>
                </c:pt>
                <c:pt idx="751">
                  <c:v>12.04509999999987</c:v>
                </c:pt>
                <c:pt idx="752">
                  <c:v>12.04519999999987</c:v>
                </c:pt>
                <c:pt idx="753">
                  <c:v>12.04529999999987</c:v>
                </c:pt>
                <c:pt idx="754">
                  <c:v>12.045399999999869</c:v>
                </c:pt>
                <c:pt idx="755">
                  <c:v>12.045499999999869</c:v>
                </c:pt>
                <c:pt idx="756">
                  <c:v>12.045599999999869</c:v>
                </c:pt>
                <c:pt idx="757">
                  <c:v>12.045699999999869</c:v>
                </c:pt>
                <c:pt idx="758">
                  <c:v>12.045799999999868</c:v>
                </c:pt>
                <c:pt idx="759">
                  <c:v>12.045899999999868</c:v>
                </c:pt>
                <c:pt idx="760">
                  <c:v>12.045999999999868</c:v>
                </c:pt>
                <c:pt idx="761">
                  <c:v>12.046099999999868</c:v>
                </c:pt>
                <c:pt idx="762">
                  <c:v>12.046199999999867</c:v>
                </c:pt>
                <c:pt idx="763">
                  <c:v>12.046299999999867</c:v>
                </c:pt>
                <c:pt idx="764">
                  <c:v>12.046399999999867</c:v>
                </c:pt>
                <c:pt idx="765">
                  <c:v>12.046499999999867</c:v>
                </c:pt>
                <c:pt idx="766">
                  <c:v>12.046599999999867</c:v>
                </c:pt>
                <c:pt idx="767">
                  <c:v>12.046699999999866</c:v>
                </c:pt>
                <c:pt idx="768">
                  <c:v>12.046799999999866</c:v>
                </c:pt>
                <c:pt idx="769">
                  <c:v>12.046899999999866</c:v>
                </c:pt>
                <c:pt idx="770">
                  <c:v>12.046999999999866</c:v>
                </c:pt>
                <c:pt idx="771">
                  <c:v>12.047099999999865</c:v>
                </c:pt>
                <c:pt idx="772">
                  <c:v>12.047199999999865</c:v>
                </c:pt>
                <c:pt idx="773">
                  <c:v>12.047299999999865</c:v>
                </c:pt>
                <c:pt idx="774">
                  <c:v>12.047399999999865</c:v>
                </c:pt>
                <c:pt idx="775">
                  <c:v>12.047499999999864</c:v>
                </c:pt>
                <c:pt idx="776">
                  <c:v>12.047599999999864</c:v>
                </c:pt>
                <c:pt idx="777">
                  <c:v>12.047699999999864</c:v>
                </c:pt>
                <c:pt idx="778">
                  <c:v>12.047799999999864</c:v>
                </c:pt>
                <c:pt idx="779">
                  <c:v>12.047899999999863</c:v>
                </c:pt>
                <c:pt idx="780">
                  <c:v>12.047999999999863</c:v>
                </c:pt>
                <c:pt idx="781">
                  <c:v>12.048099999999863</c:v>
                </c:pt>
                <c:pt idx="782">
                  <c:v>12.048199999999863</c:v>
                </c:pt>
                <c:pt idx="783">
                  <c:v>12.048299999999863</c:v>
                </c:pt>
                <c:pt idx="784">
                  <c:v>12.048399999999862</c:v>
                </c:pt>
                <c:pt idx="785">
                  <c:v>12.048499999999862</c:v>
                </c:pt>
                <c:pt idx="786">
                  <c:v>12.048599999999862</c:v>
                </c:pt>
                <c:pt idx="787">
                  <c:v>12.048699999999862</c:v>
                </c:pt>
                <c:pt idx="788">
                  <c:v>12.048799999999861</c:v>
                </c:pt>
                <c:pt idx="789">
                  <c:v>12.048899999999861</c:v>
                </c:pt>
                <c:pt idx="790">
                  <c:v>12.048999999999861</c:v>
                </c:pt>
                <c:pt idx="791">
                  <c:v>12.049099999999861</c:v>
                </c:pt>
                <c:pt idx="792">
                  <c:v>12.04919999999986</c:v>
                </c:pt>
                <c:pt idx="793">
                  <c:v>12.04929999999986</c:v>
                </c:pt>
                <c:pt idx="794">
                  <c:v>12.04939999999986</c:v>
                </c:pt>
                <c:pt idx="795">
                  <c:v>12.04949999999986</c:v>
                </c:pt>
                <c:pt idx="796">
                  <c:v>12.04959999999986</c:v>
                </c:pt>
                <c:pt idx="797">
                  <c:v>12.049699999999859</c:v>
                </c:pt>
                <c:pt idx="798">
                  <c:v>12.049799999999859</c:v>
                </c:pt>
                <c:pt idx="799">
                  <c:v>12.049899999999859</c:v>
                </c:pt>
                <c:pt idx="800">
                  <c:v>12.049999999999859</c:v>
                </c:pt>
                <c:pt idx="801">
                  <c:v>12.050099999999858</c:v>
                </c:pt>
                <c:pt idx="802">
                  <c:v>12.050199999999858</c:v>
                </c:pt>
                <c:pt idx="803">
                  <c:v>12.050299999999858</c:v>
                </c:pt>
                <c:pt idx="804">
                  <c:v>12.050399999999858</c:v>
                </c:pt>
                <c:pt idx="805">
                  <c:v>12.050499999999857</c:v>
                </c:pt>
                <c:pt idx="806">
                  <c:v>12.050599999999857</c:v>
                </c:pt>
                <c:pt idx="807">
                  <c:v>12.050699999999857</c:v>
                </c:pt>
                <c:pt idx="808">
                  <c:v>12.050799999999857</c:v>
                </c:pt>
                <c:pt idx="809">
                  <c:v>12.050899999999857</c:v>
                </c:pt>
                <c:pt idx="810">
                  <c:v>12.050999999999856</c:v>
                </c:pt>
                <c:pt idx="811">
                  <c:v>12.051099999999856</c:v>
                </c:pt>
                <c:pt idx="812">
                  <c:v>12.051199999999856</c:v>
                </c:pt>
                <c:pt idx="813">
                  <c:v>12.051299999999856</c:v>
                </c:pt>
                <c:pt idx="814">
                  <c:v>12.051399999999855</c:v>
                </c:pt>
                <c:pt idx="815">
                  <c:v>12.051499999999855</c:v>
                </c:pt>
                <c:pt idx="816">
                  <c:v>12.051599999999855</c:v>
                </c:pt>
                <c:pt idx="817">
                  <c:v>12.051699999999855</c:v>
                </c:pt>
                <c:pt idx="818">
                  <c:v>12.051799999999854</c:v>
                </c:pt>
                <c:pt idx="819">
                  <c:v>12.051899999999854</c:v>
                </c:pt>
                <c:pt idx="820">
                  <c:v>12.051999999999854</c:v>
                </c:pt>
                <c:pt idx="821">
                  <c:v>12.052099999999854</c:v>
                </c:pt>
                <c:pt idx="822">
                  <c:v>12.052199999999853</c:v>
                </c:pt>
                <c:pt idx="823">
                  <c:v>12.052299999999853</c:v>
                </c:pt>
                <c:pt idx="824">
                  <c:v>12.052399999999853</c:v>
                </c:pt>
                <c:pt idx="825">
                  <c:v>12.052499999999853</c:v>
                </c:pt>
                <c:pt idx="826">
                  <c:v>12.052599999999853</c:v>
                </c:pt>
                <c:pt idx="827">
                  <c:v>12.052699999999852</c:v>
                </c:pt>
                <c:pt idx="828">
                  <c:v>12.052799999999852</c:v>
                </c:pt>
                <c:pt idx="829">
                  <c:v>12.052899999999852</c:v>
                </c:pt>
                <c:pt idx="830">
                  <c:v>12.052999999999852</c:v>
                </c:pt>
                <c:pt idx="831">
                  <c:v>12.053099999999851</c:v>
                </c:pt>
                <c:pt idx="832">
                  <c:v>12.053199999999851</c:v>
                </c:pt>
                <c:pt idx="833">
                  <c:v>12.053299999999851</c:v>
                </c:pt>
                <c:pt idx="834">
                  <c:v>12.053399999999851</c:v>
                </c:pt>
                <c:pt idx="835">
                  <c:v>12.05349999999985</c:v>
                </c:pt>
                <c:pt idx="836">
                  <c:v>12.05359999999985</c:v>
                </c:pt>
                <c:pt idx="837">
                  <c:v>12.05369999999985</c:v>
                </c:pt>
                <c:pt idx="838">
                  <c:v>12.05379999999985</c:v>
                </c:pt>
                <c:pt idx="839">
                  <c:v>12.05389999999985</c:v>
                </c:pt>
                <c:pt idx="840">
                  <c:v>12.053999999999849</c:v>
                </c:pt>
                <c:pt idx="841">
                  <c:v>12.054099999999849</c:v>
                </c:pt>
                <c:pt idx="842">
                  <c:v>12.054199999999849</c:v>
                </c:pt>
                <c:pt idx="843">
                  <c:v>12.054299999999849</c:v>
                </c:pt>
                <c:pt idx="844">
                  <c:v>12.054399999999848</c:v>
                </c:pt>
                <c:pt idx="845">
                  <c:v>12.054499999999848</c:v>
                </c:pt>
                <c:pt idx="846">
                  <c:v>12.054599999999848</c:v>
                </c:pt>
                <c:pt idx="847">
                  <c:v>12.054699999999848</c:v>
                </c:pt>
                <c:pt idx="848">
                  <c:v>12.054799999999847</c:v>
                </c:pt>
                <c:pt idx="849">
                  <c:v>12.054899999999847</c:v>
                </c:pt>
                <c:pt idx="850">
                  <c:v>12.054999999999847</c:v>
                </c:pt>
                <c:pt idx="851">
                  <c:v>12.055099999999847</c:v>
                </c:pt>
                <c:pt idx="852">
                  <c:v>12.055199999999846</c:v>
                </c:pt>
                <c:pt idx="853">
                  <c:v>12.055299999999846</c:v>
                </c:pt>
                <c:pt idx="854">
                  <c:v>12.055399999999846</c:v>
                </c:pt>
                <c:pt idx="855">
                  <c:v>12.055499999999846</c:v>
                </c:pt>
                <c:pt idx="856">
                  <c:v>12.055599999999846</c:v>
                </c:pt>
                <c:pt idx="857">
                  <c:v>12.055699999999845</c:v>
                </c:pt>
                <c:pt idx="858">
                  <c:v>12.055799999999845</c:v>
                </c:pt>
                <c:pt idx="859">
                  <c:v>12.055899999999845</c:v>
                </c:pt>
                <c:pt idx="860">
                  <c:v>12.055999999999845</c:v>
                </c:pt>
                <c:pt idx="861">
                  <c:v>12.056099999999844</c:v>
                </c:pt>
                <c:pt idx="862">
                  <c:v>12.056199999999844</c:v>
                </c:pt>
                <c:pt idx="863">
                  <c:v>12.056299999999844</c:v>
                </c:pt>
                <c:pt idx="864">
                  <c:v>12.056399999999844</c:v>
                </c:pt>
                <c:pt idx="865">
                  <c:v>12.056499999999843</c:v>
                </c:pt>
                <c:pt idx="866">
                  <c:v>12.056599999999843</c:v>
                </c:pt>
                <c:pt idx="867">
                  <c:v>12.056699999999843</c:v>
                </c:pt>
                <c:pt idx="868">
                  <c:v>12.056799999999843</c:v>
                </c:pt>
                <c:pt idx="869">
                  <c:v>12.056899999999843</c:v>
                </c:pt>
                <c:pt idx="870">
                  <c:v>12.056999999999842</c:v>
                </c:pt>
                <c:pt idx="871">
                  <c:v>12.057099999999842</c:v>
                </c:pt>
                <c:pt idx="872">
                  <c:v>12.057199999999842</c:v>
                </c:pt>
                <c:pt idx="873">
                  <c:v>12.057299999999842</c:v>
                </c:pt>
                <c:pt idx="874">
                  <c:v>12.057399999999841</c:v>
                </c:pt>
                <c:pt idx="875">
                  <c:v>12.057499999999841</c:v>
                </c:pt>
                <c:pt idx="876">
                  <c:v>12.057599999999841</c:v>
                </c:pt>
                <c:pt idx="877">
                  <c:v>12.057699999999841</c:v>
                </c:pt>
                <c:pt idx="878">
                  <c:v>12.05779999999984</c:v>
                </c:pt>
                <c:pt idx="879">
                  <c:v>12.05789999999984</c:v>
                </c:pt>
                <c:pt idx="880">
                  <c:v>12.05799999999984</c:v>
                </c:pt>
                <c:pt idx="881">
                  <c:v>12.05809999999984</c:v>
                </c:pt>
                <c:pt idx="882">
                  <c:v>12.058199999999839</c:v>
                </c:pt>
                <c:pt idx="883">
                  <c:v>12.058299999999839</c:v>
                </c:pt>
                <c:pt idx="884">
                  <c:v>12.058399999999839</c:v>
                </c:pt>
                <c:pt idx="885">
                  <c:v>12.058499999999839</c:v>
                </c:pt>
                <c:pt idx="886">
                  <c:v>12.058599999999839</c:v>
                </c:pt>
                <c:pt idx="887">
                  <c:v>12.058699999999838</c:v>
                </c:pt>
                <c:pt idx="888">
                  <c:v>12.058799999999838</c:v>
                </c:pt>
                <c:pt idx="889">
                  <c:v>12.058899999999838</c:v>
                </c:pt>
                <c:pt idx="890">
                  <c:v>12.058999999999838</c:v>
                </c:pt>
                <c:pt idx="891">
                  <c:v>12.059099999999837</c:v>
                </c:pt>
                <c:pt idx="892">
                  <c:v>12.059199999999837</c:v>
                </c:pt>
                <c:pt idx="893">
                  <c:v>12.059299999999837</c:v>
                </c:pt>
                <c:pt idx="894">
                  <c:v>12.059399999999837</c:v>
                </c:pt>
                <c:pt idx="895">
                  <c:v>12.059499999999836</c:v>
                </c:pt>
                <c:pt idx="896">
                  <c:v>12.059599999999836</c:v>
                </c:pt>
                <c:pt idx="897">
                  <c:v>12.059699999999836</c:v>
                </c:pt>
                <c:pt idx="898">
                  <c:v>12.059799999999836</c:v>
                </c:pt>
                <c:pt idx="899">
                  <c:v>12.059899999999836</c:v>
                </c:pt>
                <c:pt idx="900">
                  <c:v>12.059999999999835</c:v>
                </c:pt>
                <c:pt idx="901">
                  <c:v>12.060099999999835</c:v>
                </c:pt>
                <c:pt idx="902">
                  <c:v>12.060199999999835</c:v>
                </c:pt>
                <c:pt idx="903">
                  <c:v>12.060299999999835</c:v>
                </c:pt>
                <c:pt idx="904">
                  <c:v>12.060399999999834</c:v>
                </c:pt>
                <c:pt idx="905">
                  <c:v>12.060499999999834</c:v>
                </c:pt>
                <c:pt idx="906">
                  <c:v>12.060599999999834</c:v>
                </c:pt>
                <c:pt idx="907">
                  <c:v>12.060699999999834</c:v>
                </c:pt>
                <c:pt idx="908">
                  <c:v>12.060799999999833</c:v>
                </c:pt>
                <c:pt idx="909">
                  <c:v>12.060899999999833</c:v>
                </c:pt>
                <c:pt idx="910">
                  <c:v>12.060999999999833</c:v>
                </c:pt>
                <c:pt idx="911">
                  <c:v>12.061099999999833</c:v>
                </c:pt>
                <c:pt idx="912">
                  <c:v>12.061199999999832</c:v>
                </c:pt>
                <c:pt idx="913">
                  <c:v>12.061299999999832</c:v>
                </c:pt>
                <c:pt idx="914">
                  <c:v>12.061399999999832</c:v>
                </c:pt>
                <c:pt idx="915">
                  <c:v>12.061499999999832</c:v>
                </c:pt>
                <c:pt idx="916">
                  <c:v>12.061599999999832</c:v>
                </c:pt>
                <c:pt idx="917">
                  <c:v>12.061699999999831</c:v>
                </c:pt>
                <c:pt idx="918">
                  <c:v>12.061799999999831</c:v>
                </c:pt>
                <c:pt idx="919">
                  <c:v>12.061899999999831</c:v>
                </c:pt>
                <c:pt idx="920">
                  <c:v>12.061999999999831</c:v>
                </c:pt>
                <c:pt idx="921">
                  <c:v>12.06209999999983</c:v>
                </c:pt>
                <c:pt idx="922">
                  <c:v>12.06219999999983</c:v>
                </c:pt>
                <c:pt idx="923">
                  <c:v>12.06229999999983</c:v>
                </c:pt>
                <c:pt idx="924">
                  <c:v>12.06239999999983</c:v>
                </c:pt>
                <c:pt idx="925">
                  <c:v>12.062499999999829</c:v>
                </c:pt>
                <c:pt idx="926">
                  <c:v>12.062599999999829</c:v>
                </c:pt>
                <c:pt idx="927">
                  <c:v>12.062699999999829</c:v>
                </c:pt>
                <c:pt idx="928">
                  <c:v>12.062799999999829</c:v>
                </c:pt>
                <c:pt idx="929">
                  <c:v>12.062899999999829</c:v>
                </c:pt>
                <c:pt idx="930">
                  <c:v>12.062999999999828</c:v>
                </c:pt>
                <c:pt idx="931">
                  <c:v>12.063099999999828</c:v>
                </c:pt>
                <c:pt idx="932">
                  <c:v>12.063199999999828</c:v>
                </c:pt>
                <c:pt idx="933">
                  <c:v>12.063299999999828</c:v>
                </c:pt>
                <c:pt idx="934">
                  <c:v>12.063399999999827</c:v>
                </c:pt>
                <c:pt idx="935">
                  <c:v>12.063499999999827</c:v>
                </c:pt>
                <c:pt idx="936">
                  <c:v>12.063599999999827</c:v>
                </c:pt>
                <c:pt idx="937">
                  <c:v>12.063699999999827</c:v>
                </c:pt>
                <c:pt idx="938">
                  <c:v>12.063799999999826</c:v>
                </c:pt>
                <c:pt idx="939">
                  <c:v>12.063899999999826</c:v>
                </c:pt>
                <c:pt idx="940">
                  <c:v>12.063999999999826</c:v>
                </c:pt>
                <c:pt idx="941">
                  <c:v>12.064099999999826</c:v>
                </c:pt>
                <c:pt idx="942">
                  <c:v>12.064199999999826</c:v>
                </c:pt>
                <c:pt idx="943">
                  <c:v>12.064299999999825</c:v>
                </c:pt>
                <c:pt idx="944">
                  <c:v>12.064399999999825</c:v>
                </c:pt>
                <c:pt idx="945">
                  <c:v>12.064499999999825</c:v>
                </c:pt>
                <c:pt idx="946">
                  <c:v>12.064599999999825</c:v>
                </c:pt>
                <c:pt idx="947">
                  <c:v>12.064699999999824</c:v>
                </c:pt>
                <c:pt idx="948">
                  <c:v>12.064799999999824</c:v>
                </c:pt>
                <c:pt idx="949">
                  <c:v>12.064899999999824</c:v>
                </c:pt>
                <c:pt idx="950">
                  <c:v>12.064999999999824</c:v>
                </c:pt>
                <c:pt idx="951">
                  <c:v>12.065099999999823</c:v>
                </c:pt>
                <c:pt idx="952">
                  <c:v>12.065199999999823</c:v>
                </c:pt>
                <c:pt idx="953">
                  <c:v>12.065299999999823</c:v>
                </c:pt>
                <c:pt idx="954">
                  <c:v>12.065399999999823</c:v>
                </c:pt>
                <c:pt idx="955">
                  <c:v>12.065499999999822</c:v>
                </c:pt>
                <c:pt idx="956">
                  <c:v>12.065599999999822</c:v>
                </c:pt>
                <c:pt idx="957">
                  <c:v>12.065699999999822</c:v>
                </c:pt>
                <c:pt idx="958">
                  <c:v>12.065799999999822</c:v>
                </c:pt>
                <c:pt idx="959">
                  <c:v>12.065899999999822</c:v>
                </c:pt>
                <c:pt idx="960">
                  <c:v>12.065999999999821</c:v>
                </c:pt>
                <c:pt idx="961">
                  <c:v>12.066099999999821</c:v>
                </c:pt>
                <c:pt idx="962">
                  <c:v>12.066199999999821</c:v>
                </c:pt>
                <c:pt idx="963">
                  <c:v>12.066299999999821</c:v>
                </c:pt>
                <c:pt idx="964">
                  <c:v>12.06639999999982</c:v>
                </c:pt>
                <c:pt idx="965">
                  <c:v>12.06649999999982</c:v>
                </c:pt>
                <c:pt idx="966">
                  <c:v>12.06659999999982</c:v>
                </c:pt>
                <c:pt idx="967">
                  <c:v>12.06669999999982</c:v>
                </c:pt>
                <c:pt idx="968">
                  <c:v>12.066799999999819</c:v>
                </c:pt>
                <c:pt idx="969">
                  <c:v>12.066899999999819</c:v>
                </c:pt>
                <c:pt idx="970">
                  <c:v>12.066999999999819</c:v>
                </c:pt>
                <c:pt idx="971">
                  <c:v>12.067099999999819</c:v>
                </c:pt>
                <c:pt idx="972">
                  <c:v>12.067199999999819</c:v>
                </c:pt>
                <c:pt idx="973">
                  <c:v>12.067299999999818</c:v>
                </c:pt>
                <c:pt idx="974">
                  <c:v>12.067399999999818</c:v>
                </c:pt>
                <c:pt idx="975">
                  <c:v>12.067499999999818</c:v>
                </c:pt>
                <c:pt idx="976">
                  <c:v>12.067599999999818</c:v>
                </c:pt>
                <c:pt idx="977">
                  <c:v>12.067699999999817</c:v>
                </c:pt>
                <c:pt idx="978">
                  <c:v>12.067799999999817</c:v>
                </c:pt>
                <c:pt idx="979">
                  <c:v>12.067899999999817</c:v>
                </c:pt>
                <c:pt idx="980">
                  <c:v>12.067999999999817</c:v>
                </c:pt>
                <c:pt idx="981">
                  <c:v>12.068099999999816</c:v>
                </c:pt>
                <c:pt idx="982">
                  <c:v>12.068199999999816</c:v>
                </c:pt>
                <c:pt idx="983">
                  <c:v>12.068299999999816</c:v>
                </c:pt>
                <c:pt idx="984">
                  <c:v>12.068399999999816</c:v>
                </c:pt>
                <c:pt idx="985">
                  <c:v>12.068499999999815</c:v>
                </c:pt>
                <c:pt idx="986">
                  <c:v>12.068599999999815</c:v>
                </c:pt>
                <c:pt idx="987">
                  <c:v>12.068699999999815</c:v>
                </c:pt>
                <c:pt idx="988">
                  <c:v>12.068799999999815</c:v>
                </c:pt>
                <c:pt idx="989">
                  <c:v>12.068899999999815</c:v>
                </c:pt>
                <c:pt idx="990">
                  <c:v>12.068999999999814</c:v>
                </c:pt>
                <c:pt idx="991">
                  <c:v>12.069099999999814</c:v>
                </c:pt>
                <c:pt idx="992">
                  <c:v>12.069199999999814</c:v>
                </c:pt>
                <c:pt idx="993">
                  <c:v>12.069299999999814</c:v>
                </c:pt>
                <c:pt idx="994">
                  <c:v>12.069399999999813</c:v>
                </c:pt>
                <c:pt idx="995">
                  <c:v>12.069499999999813</c:v>
                </c:pt>
                <c:pt idx="996">
                  <c:v>12.069599999999813</c:v>
                </c:pt>
                <c:pt idx="997">
                  <c:v>12.069699999999813</c:v>
                </c:pt>
                <c:pt idx="998">
                  <c:v>12.069799999999812</c:v>
                </c:pt>
                <c:pt idx="999">
                  <c:v>12.069899999999812</c:v>
                </c:pt>
                <c:pt idx="1000">
                  <c:v>12.069999999999812</c:v>
                </c:pt>
              </c:numCache>
            </c:numRef>
          </c:xVal>
          <c:yVal>
            <c:numRef>
              <c:f>Calculs!$T$4:$T$1004</c:f>
              <c:numCache>
                <c:formatCode>0.00</c:formatCode>
                <c:ptCount val="1001"/>
                <c:pt idx="0">
                  <c:v>21.188618999999999</c:v>
                </c:pt>
                <c:pt idx="1">
                  <c:v>21.185364840353831</c:v>
                </c:pt>
                <c:pt idx="2">
                  <c:v>21.175602361415333</c:v>
                </c:pt>
                <c:pt idx="3">
                  <c:v>21.16310638837405</c:v>
                </c:pt>
                <c:pt idx="4">
                  <c:v>21.151651746419542</c:v>
                </c:pt>
                <c:pt idx="5">
                  <c:v>21.14074021248874</c:v>
                </c:pt>
                <c:pt idx="6">
                  <c:v>21.129873563518576</c:v>
                </c:pt>
                <c:pt idx="7">
                  <c:v>21.119051799509048</c:v>
                </c:pt>
                <c:pt idx="8">
                  <c:v>21.108274920460154</c:v>
                </c:pt>
                <c:pt idx="9">
                  <c:v>21.097542926371897</c:v>
                </c:pt>
                <c:pt idx="10">
                  <c:v>21.086855817244277</c:v>
                </c:pt>
                <c:pt idx="11">
                  <c:v>21.076213593077298</c:v>
                </c:pt>
                <c:pt idx="12">
                  <c:v>21.065616253870949</c:v>
                </c:pt>
                <c:pt idx="13">
                  <c:v>21.055063799625241</c:v>
                </c:pt>
                <c:pt idx="14">
                  <c:v>21.04455623034017</c:v>
                </c:pt>
                <c:pt idx="15">
                  <c:v>21.034093546015736</c:v>
                </c:pt>
                <c:pt idx="16">
                  <c:v>21.023675746651936</c:v>
                </c:pt>
                <c:pt idx="17">
                  <c:v>21.013302832248776</c:v>
                </c:pt>
                <c:pt idx="18">
                  <c:v>21.00297480280625</c:v>
                </c:pt>
                <c:pt idx="19">
                  <c:v>20.992691658324361</c:v>
                </c:pt>
                <c:pt idx="20">
                  <c:v>20.982453398803109</c:v>
                </c:pt>
                <c:pt idx="21">
                  <c:v>20.972260024242495</c:v>
                </c:pt>
                <c:pt idx="22">
                  <c:v>20.962111534642521</c:v>
                </c:pt>
                <c:pt idx="23">
                  <c:v>20.95200793000318</c:v>
                </c:pt>
                <c:pt idx="24">
                  <c:v>20.941949210324481</c:v>
                </c:pt>
                <c:pt idx="25">
                  <c:v>20.931935375606415</c:v>
                </c:pt>
                <c:pt idx="26">
                  <c:v>20.921966425848986</c:v>
                </c:pt>
                <c:pt idx="27">
                  <c:v>20.912042361052194</c:v>
                </c:pt>
                <c:pt idx="28">
                  <c:v>20.902163181216039</c:v>
                </c:pt>
                <c:pt idx="29">
                  <c:v>20.892328886340518</c:v>
                </c:pt>
                <c:pt idx="30">
                  <c:v>20.882539476425638</c:v>
                </c:pt>
                <c:pt idx="31">
                  <c:v>20.872794951471395</c:v>
                </c:pt>
                <c:pt idx="32">
                  <c:v>20.863095311477785</c:v>
                </c:pt>
                <c:pt idx="33">
                  <c:v>20.853440556444813</c:v>
                </c:pt>
                <c:pt idx="34">
                  <c:v>20.843830686372481</c:v>
                </c:pt>
                <c:pt idx="35">
                  <c:v>20.834265701260783</c:v>
                </c:pt>
                <c:pt idx="36">
                  <c:v>20.824745601109722</c:v>
                </c:pt>
                <c:pt idx="37">
                  <c:v>20.815270385919295</c:v>
                </c:pt>
                <c:pt idx="38">
                  <c:v>20.805840055689508</c:v>
                </c:pt>
                <c:pt idx="39">
                  <c:v>20.796454610420358</c:v>
                </c:pt>
                <c:pt idx="40">
                  <c:v>20.787114050111846</c:v>
                </c:pt>
                <c:pt idx="41">
                  <c:v>20.777818374763967</c:v>
                </c:pt>
                <c:pt idx="42">
                  <c:v>20.768567584376726</c:v>
                </c:pt>
                <c:pt idx="43">
                  <c:v>20.759361678950121</c:v>
                </c:pt>
                <c:pt idx="44">
                  <c:v>20.750200658484157</c:v>
                </c:pt>
                <c:pt idx="45">
                  <c:v>20.741084522978824</c:v>
                </c:pt>
                <c:pt idx="46">
                  <c:v>20.732013272434134</c:v>
                </c:pt>
                <c:pt idx="47">
                  <c:v>20.722986906850075</c:v>
                </c:pt>
                <c:pt idx="48">
                  <c:v>20.714005426226656</c:v>
                </c:pt>
                <c:pt idx="49">
                  <c:v>20.705068830563871</c:v>
                </c:pt>
                <c:pt idx="50">
                  <c:v>20.696177119861726</c:v>
                </c:pt>
                <c:pt idx="51">
                  <c:v>20.687330294120216</c:v>
                </c:pt>
                <c:pt idx="52">
                  <c:v>20.678528353339345</c:v>
                </c:pt>
                <c:pt idx="53">
                  <c:v>20.669771297519105</c:v>
                </c:pt>
                <c:pt idx="54">
                  <c:v>20.661059126659509</c:v>
                </c:pt>
                <c:pt idx="55">
                  <c:v>20.652391840760544</c:v>
                </c:pt>
                <c:pt idx="56">
                  <c:v>20.643769439822218</c:v>
                </c:pt>
                <c:pt idx="57">
                  <c:v>20.63519192384453</c:v>
                </c:pt>
                <c:pt idx="58">
                  <c:v>20.62665929282748</c:v>
                </c:pt>
                <c:pt idx="59">
                  <c:v>20.618171546771062</c:v>
                </c:pt>
                <c:pt idx="60">
                  <c:v>20.609728685675282</c:v>
                </c:pt>
                <c:pt idx="61">
                  <c:v>20.601330709540139</c:v>
                </c:pt>
                <c:pt idx="62">
                  <c:v>20.592977618365637</c:v>
                </c:pt>
                <c:pt idx="63">
                  <c:v>20.584712052864376</c:v>
                </c:pt>
                <c:pt idx="64">
                  <c:v>20.576576653748958</c:v>
                </c:pt>
                <c:pt idx="65">
                  <c:v>20.568571421019385</c:v>
                </c:pt>
                <c:pt idx="66">
                  <c:v>20.56069635467566</c:v>
                </c:pt>
                <c:pt idx="67">
                  <c:v>20.552990504633538</c:v>
                </c:pt>
                <c:pt idx="68">
                  <c:v>20.545492920808769</c:v>
                </c:pt>
                <c:pt idx="69">
                  <c:v>20.538273025273806</c:v>
                </c:pt>
                <c:pt idx="70">
                  <c:v>20.531400240101103</c:v>
                </c:pt>
                <c:pt idx="71">
                  <c:v>20.524874565290656</c:v>
                </c:pt>
                <c:pt idx="72">
                  <c:v>20.518696000842464</c:v>
                </c:pt>
                <c:pt idx="73">
                  <c:v>20.512864546756532</c:v>
                </c:pt>
                <c:pt idx="74">
                  <c:v>20.507380203032859</c:v>
                </c:pt>
                <c:pt idx="75">
                  <c:v>20.502242969671443</c:v>
                </c:pt>
                <c:pt idx="76">
                  <c:v>20.497452846672282</c:v>
                </c:pt>
                <c:pt idx="77">
                  <c:v>20.49300983403538</c:v>
                </c:pt>
                <c:pt idx="78">
                  <c:v>20.488913931760742</c:v>
                </c:pt>
                <c:pt idx="79">
                  <c:v>20.485165139848359</c:v>
                </c:pt>
                <c:pt idx="80">
                  <c:v>20.481763458298232</c:v>
                </c:pt>
                <c:pt idx="81">
                  <c:v>20.478626448399325</c:v>
                </c:pt>
                <c:pt idx="82">
                  <c:v>20.475671671440605</c:v>
                </c:pt>
                <c:pt idx="83">
                  <c:v>20.472899127422071</c:v>
                </c:pt>
                <c:pt idx="84">
                  <c:v>20.470308816343724</c:v>
                </c:pt>
                <c:pt idx="85">
                  <c:v>20.467900738205561</c:v>
                </c:pt>
                <c:pt idx="86">
                  <c:v>20.465674893007581</c:v>
                </c:pt>
                <c:pt idx="87">
                  <c:v>20.463631280749787</c:v>
                </c:pt>
                <c:pt idx="88">
                  <c:v>20.461769901432181</c:v>
                </c:pt>
                <c:pt idx="89">
                  <c:v>20.460064721777588</c:v>
                </c:pt>
                <c:pt idx="90">
                  <c:v>20.458489708508846</c:v>
                </c:pt>
                <c:pt idx="91">
                  <c:v>20.457044861625949</c:v>
                </c:pt>
                <c:pt idx="92">
                  <c:v>20.455730181128896</c:v>
                </c:pt>
                <c:pt idx="93">
                  <c:v>20.454539158698395</c:v>
                </c:pt>
                <c:pt idx="94">
                  <c:v>20.453465286015163</c:v>
                </c:pt>
                <c:pt idx="95">
                  <c:v>20.452508563079192</c:v>
                </c:pt>
                <c:pt idx="96">
                  <c:v>20.451668989890482</c:v>
                </c:pt>
                <c:pt idx="97">
                  <c:v>20.450920533171864</c:v>
                </c:pt>
                <c:pt idx="98">
                  <c:v>20.450237159646168</c:v>
                </c:pt>
                <c:pt idx="99">
                  <c:v>20.449618869313397</c:v>
                </c:pt>
                <c:pt idx="100">
                  <c:v>20.449065662173549</c:v>
                </c:pt>
                <c:pt idx="101">
                  <c:v>20.448577538226623</c:v>
                </c:pt>
                <c:pt idx="102">
                  <c:v>20.448154497472622</c:v>
                </c:pt>
                <c:pt idx="103">
                  <c:v>20.447796539911547</c:v>
                </c:pt>
                <c:pt idx="104">
                  <c:v>20.44750366554339</c:v>
                </c:pt>
                <c:pt idx="105">
                  <c:v>20.44727587436816</c:v>
                </c:pt>
                <c:pt idx="106">
                  <c:v>20.447113166385851</c:v>
                </c:pt>
                <c:pt idx="107">
                  <c:v>20.447015541596464</c:v>
                </c:pt>
                <c:pt idx="108">
                  <c:v>20.446983000000003</c:v>
                </c:pt>
                <c:pt idx="109">
                  <c:v>20.446983000000003</c:v>
                </c:pt>
                <c:pt idx="110">
                  <c:v>20.446983000000003</c:v>
                </c:pt>
                <c:pt idx="111">
                  <c:v>20.446983000000003</c:v>
                </c:pt>
                <c:pt idx="112">
                  <c:v>20.446983000000003</c:v>
                </c:pt>
                <c:pt idx="113">
                  <c:v>20.446983000000003</c:v>
                </c:pt>
                <c:pt idx="114">
                  <c:v>20.446983000000003</c:v>
                </c:pt>
                <c:pt idx="115">
                  <c:v>20.446983000000003</c:v>
                </c:pt>
                <c:pt idx="116">
                  <c:v>20.446983000000003</c:v>
                </c:pt>
                <c:pt idx="117">
                  <c:v>20.446983000000003</c:v>
                </c:pt>
                <c:pt idx="118">
                  <c:v>20.446983000000003</c:v>
                </c:pt>
                <c:pt idx="119">
                  <c:v>20.446983000000003</c:v>
                </c:pt>
                <c:pt idx="120">
                  <c:v>20.446983000000003</c:v>
                </c:pt>
                <c:pt idx="121">
                  <c:v>20.446983000000003</c:v>
                </c:pt>
                <c:pt idx="122">
                  <c:v>20.446983000000003</c:v>
                </c:pt>
                <c:pt idx="123">
                  <c:v>20.446983000000003</c:v>
                </c:pt>
                <c:pt idx="124">
                  <c:v>20.446983000000003</c:v>
                </c:pt>
                <c:pt idx="125">
                  <c:v>20.446983000000003</c:v>
                </c:pt>
                <c:pt idx="126">
                  <c:v>20.446983000000003</c:v>
                </c:pt>
                <c:pt idx="127">
                  <c:v>20.446983000000003</c:v>
                </c:pt>
                <c:pt idx="128">
                  <c:v>20.446983000000003</c:v>
                </c:pt>
                <c:pt idx="129">
                  <c:v>20.446983000000003</c:v>
                </c:pt>
                <c:pt idx="130">
                  <c:v>20.446983000000003</c:v>
                </c:pt>
                <c:pt idx="131">
                  <c:v>20.446983000000003</c:v>
                </c:pt>
                <c:pt idx="132">
                  <c:v>20.446983000000003</c:v>
                </c:pt>
                <c:pt idx="133">
                  <c:v>20.446983000000003</c:v>
                </c:pt>
                <c:pt idx="134">
                  <c:v>20.446983000000003</c:v>
                </c:pt>
                <c:pt idx="135">
                  <c:v>20.446983000000003</c:v>
                </c:pt>
                <c:pt idx="136">
                  <c:v>20.446983000000003</c:v>
                </c:pt>
                <c:pt idx="137">
                  <c:v>20.446983000000003</c:v>
                </c:pt>
                <c:pt idx="138">
                  <c:v>20.446983000000003</c:v>
                </c:pt>
                <c:pt idx="139">
                  <c:v>20.446983000000003</c:v>
                </c:pt>
                <c:pt idx="140">
                  <c:v>20.446983000000003</c:v>
                </c:pt>
                <c:pt idx="141">
                  <c:v>20.446983000000003</c:v>
                </c:pt>
                <c:pt idx="142">
                  <c:v>20.446983000000003</c:v>
                </c:pt>
                <c:pt idx="143">
                  <c:v>20.446983000000003</c:v>
                </c:pt>
                <c:pt idx="144">
                  <c:v>20.446983000000003</c:v>
                </c:pt>
                <c:pt idx="145">
                  <c:v>20.446983000000003</c:v>
                </c:pt>
                <c:pt idx="146">
                  <c:v>20.446983000000003</c:v>
                </c:pt>
                <c:pt idx="147">
                  <c:v>20.446983000000003</c:v>
                </c:pt>
                <c:pt idx="148">
                  <c:v>20.446983000000003</c:v>
                </c:pt>
                <c:pt idx="149">
                  <c:v>20.446983000000003</c:v>
                </c:pt>
                <c:pt idx="150">
                  <c:v>20.446983000000003</c:v>
                </c:pt>
                <c:pt idx="151">
                  <c:v>20.446983000000003</c:v>
                </c:pt>
                <c:pt idx="152">
                  <c:v>20.446983000000003</c:v>
                </c:pt>
                <c:pt idx="153">
                  <c:v>20.446983000000003</c:v>
                </c:pt>
                <c:pt idx="154">
                  <c:v>20.446983000000003</c:v>
                </c:pt>
                <c:pt idx="155">
                  <c:v>20.446983000000003</c:v>
                </c:pt>
                <c:pt idx="156">
                  <c:v>20.446983000000003</c:v>
                </c:pt>
                <c:pt idx="157">
                  <c:v>20.446983000000003</c:v>
                </c:pt>
                <c:pt idx="158">
                  <c:v>20.446983000000003</c:v>
                </c:pt>
                <c:pt idx="159">
                  <c:v>20.446983000000003</c:v>
                </c:pt>
                <c:pt idx="160">
                  <c:v>20.446983000000003</c:v>
                </c:pt>
                <c:pt idx="161">
                  <c:v>20.446983000000003</c:v>
                </c:pt>
                <c:pt idx="162">
                  <c:v>20.446983000000003</c:v>
                </c:pt>
                <c:pt idx="163">
                  <c:v>20.446983000000003</c:v>
                </c:pt>
                <c:pt idx="164">
                  <c:v>20.446983000000003</c:v>
                </c:pt>
                <c:pt idx="165">
                  <c:v>20.446983000000003</c:v>
                </c:pt>
                <c:pt idx="166">
                  <c:v>20.446983000000003</c:v>
                </c:pt>
                <c:pt idx="167">
                  <c:v>20.446983000000003</c:v>
                </c:pt>
                <c:pt idx="168">
                  <c:v>20.446983000000003</c:v>
                </c:pt>
                <c:pt idx="169">
                  <c:v>20.446983000000003</c:v>
                </c:pt>
                <c:pt idx="170">
                  <c:v>20.446983000000003</c:v>
                </c:pt>
                <c:pt idx="171">
                  <c:v>20.446983000000003</c:v>
                </c:pt>
                <c:pt idx="172">
                  <c:v>20.446983000000003</c:v>
                </c:pt>
                <c:pt idx="173">
                  <c:v>20.446983000000003</c:v>
                </c:pt>
                <c:pt idx="174">
                  <c:v>20.446983000000003</c:v>
                </c:pt>
                <c:pt idx="175">
                  <c:v>20.446983000000003</c:v>
                </c:pt>
                <c:pt idx="176">
                  <c:v>20.446983000000003</c:v>
                </c:pt>
                <c:pt idx="177">
                  <c:v>20.446983000000003</c:v>
                </c:pt>
                <c:pt idx="178">
                  <c:v>20.446983000000003</c:v>
                </c:pt>
                <c:pt idx="179">
                  <c:v>20.446983000000003</c:v>
                </c:pt>
                <c:pt idx="180">
                  <c:v>20.446983000000003</c:v>
                </c:pt>
                <c:pt idx="181">
                  <c:v>20.446983000000003</c:v>
                </c:pt>
                <c:pt idx="182">
                  <c:v>20.446983000000003</c:v>
                </c:pt>
                <c:pt idx="183">
                  <c:v>20.446983000000003</c:v>
                </c:pt>
                <c:pt idx="184">
                  <c:v>20.446983000000003</c:v>
                </c:pt>
                <c:pt idx="185">
                  <c:v>20.446983000000003</c:v>
                </c:pt>
                <c:pt idx="186">
                  <c:v>20.446983000000003</c:v>
                </c:pt>
                <c:pt idx="187">
                  <c:v>20.446983000000003</c:v>
                </c:pt>
                <c:pt idx="188">
                  <c:v>20.446983000000003</c:v>
                </c:pt>
                <c:pt idx="189">
                  <c:v>20.446983000000003</c:v>
                </c:pt>
                <c:pt idx="190">
                  <c:v>20.446983000000003</c:v>
                </c:pt>
                <c:pt idx="191">
                  <c:v>20.446983000000003</c:v>
                </c:pt>
                <c:pt idx="192">
                  <c:v>20.446983000000003</c:v>
                </c:pt>
                <c:pt idx="193">
                  <c:v>20.446983000000003</c:v>
                </c:pt>
                <c:pt idx="194">
                  <c:v>20.446983000000003</c:v>
                </c:pt>
                <c:pt idx="195">
                  <c:v>20.446983000000003</c:v>
                </c:pt>
                <c:pt idx="196">
                  <c:v>20.446983000000003</c:v>
                </c:pt>
                <c:pt idx="197">
                  <c:v>20.446983000000003</c:v>
                </c:pt>
                <c:pt idx="198">
                  <c:v>20.446983000000003</c:v>
                </c:pt>
                <c:pt idx="199">
                  <c:v>20.446983000000003</c:v>
                </c:pt>
                <c:pt idx="200">
                  <c:v>20.446983000000003</c:v>
                </c:pt>
                <c:pt idx="201">
                  <c:v>20.446983000000003</c:v>
                </c:pt>
                <c:pt idx="202">
                  <c:v>20.446983000000003</c:v>
                </c:pt>
                <c:pt idx="203">
                  <c:v>20.446983000000003</c:v>
                </c:pt>
                <c:pt idx="204">
                  <c:v>20.446983000000003</c:v>
                </c:pt>
                <c:pt idx="205">
                  <c:v>20.446983000000003</c:v>
                </c:pt>
                <c:pt idx="206">
                  <c:v>20.446983000000003</c:v>
                </c:pt>
                <c:pt idx="207">
                  <c:v>20.446983000000003</c:v>
                </c:pt>
                <c:pt idx="208">
                  <c:v>20.446983000000003</c:v>
                </c:pt>
                <c:pt idx="209">
                  <c:v>20.446983000000003</c:v>
                </c:pt>
                <c:pt idx="210">
                  <c:v>20.446983000000003</c:v>
                </c:pt>
                <c:pt idx="211">
                  <c:v>20.446983000000003</c:v>
                </c:pt>
                <c:pt idx="212">
                  <c:v>20.446983000000003</c:v>
                </c:pt>
                <c:pt idx="213">
                  <c:v>20.446983000000003</c:v>
                </c:pt>
                <c:pt idx="214">
                  <c:v>20.446983000000003</c:v>
                </c:pt>
                <c:pt idx="215">
                  <c:v>20.446983000000003</c:v>
                </c:pt>
                <c:pt idx="216">
                  <c:v>20.446983000000003</c:v>
                </c:pt>
                <c:pt idx="217">
                  <c:v>20.446983000000003</c:v>
                </c:pt>
                <c:pt idx="218">
                  <c:v>20.446983000000003</c:v>
                </c:pt>
                <c:pt idx="219">
                  <c:v>20.446983000000003</c:v>
                </c:pt>
                <c:pt idx="220">
                  <c:v>20.446983000000003</c:v>
                </c:pt>
                <c:pt idx="221">
                  <c:v>20.446983000000003</c:v>
                </c:pt>
                <c:pt idx="222">
                  <c:v>20.446983000000003</c:v>
                </c:pt>
                <c:pt idx="223">
                  <c:v>20.446983000000003</c:v>
                </c:pt>
                <c:pt idx="224">
                  <c:v>20.446983000000003</c:v>
                </c:pt>
                <c:pt idx="225">
                  <c:v>20.446983000000003</c:v>
                </c:pt>
                <c:pt idx="226">
                  <c:v>20.446983000000003</c:v>
                </c:pt>
                <c:pt idx="227">
                  <c:v>20.446983000000003</c:v>
                </c:pt>
                <c:pt idx="228">
                  <c:v>20.446983000000003</c:v>
                </c:pt>
                <c:pt idx="229">
                  <c:v>20.446983000000003</c:v>
                </c:pt>
                <c:pt idx="230">
                  <c:v>20.446983000000003</c:v>
                </c:pt>
                <c:pt idx="231">
                  <c:v>20.446983000000003</c:v>
                </c:pt>
                <c:pt idx="232">
                  <c:v>20.446983000000003</c:v>
                </c:pt>
                <c:pt idx="233">
                  <c:v>20.446983000000003</c:v>
                </c:pt>
                <c:pt idx="234">
                  <c:v>20.446983000000003</c:v>
                </c:pt>
                <c:pt idx="235">
                  <c:v>20.446983000000003</c:v>
                </c:pt>
                <c:pt idx="236">
                  <c:v>20.446983000000003</c:v>
                </c:pt>
                <c:pt idx="237">
                  <c:v>20.446983000000003</c:v>
                </c:pt>
                <c:pt idx="238">
                  <c:v>20.446983000000003</c:v>
                </c:pt>
                <c:pt idx="239">
                  <c:v>20.446983000000003</c:v>
                </c:pt>
                <c:pt idx="240">
                  <c:v>20.446983000000003</c:v>
                </c:pt>
                <c:pt idx="241">
                  <c:v>20.446983000000003</c:v>
                </c:pt>
                <c:pt idx="242">
                  <c:v>20.446983000000003</c:v>
                </c:pt>
                <c:pt idx="243">
                  <c:v>20.446983000000003</c:v>
                </c:pt>
                <c:pt idx="244">
                  <c:v>20.446983000000003</c:v>
                </c:pt>
                <c:pt idx="245">
                  <c:v>20.446983000000003</c:v>
                </c:pt>
                <c:pt idx="246">
                  <c:v>20.446983000000003</c:v>
                </c:pt>
                <c:pt idx="247">
                  <c:v>20.446983000000003</c:v>
                </c:pt>
                <c:pt idx="248">
                  <c:v>20.446983000000003</c:v>
                </c:pt>
                <c:pt idx="249">
                  <c:v>20.446983000000003</c:v>
                </c:pt>
                <c:pt idx="250">
                  <c:v>20.446983000000003</c:v>
                </c:pt>
                <c:pt idx="251">
                  <c:v>20.446983000000003</c:v>
                </c:pt>
                <c:pt idx="252">
                  <c:v>20.446983000000003</c:v>
                </c:pt>
                <c:pt idx="253">
                  <c:v>20.446983000000003</c:v>
                </c:pt>
                <c:pt idx="254">
                  <c:v>20.446983000000003</c:v>
                </c:pt>
                <c:pt idx="255">
                  <c:v>20.446983000000003</c:v>
                </c:pt>
                <c:pt idx="256">
                  <c:v>20.446983000000003</c:v>
                </c:pt>
                <c:pt idx="257">
                  <c:v>20.446983000000003</c:v>
                </c:pt>
                <c:pt idx="258">
                  <c:v>20.446983000000003</c:v>
                </c:pt>
                <c:pt idx="259">
                  <c:v>20.446983000000003</c:v>
                </c:pt>
                <c:pt idx="260">
                  <c:v>20.446983000000003</c:v>
                </c:pt>
                <c:pt idx="261">
                  <c:v>20.446983000000003</c:v>
                </c:pt>
                <c:pt idx="262">
                  <c:v>20.446983000000003</c:v>
                </c:pt>
                <c:pt idx="263">
                  <c:v>20.446983000000003</c:v>
                </c:pt>
                <c:pt idx="264">
                  <c:v>20.446983000000003</c:v>
                </c:pt>
                <c:pt idx="265">
                  <c:v>20.446983000000003</c:v>
                </c:pt>
                <c:pt idx="266">
                  <c:v>20.446983000000003</c:v>
                </c:pt>
                <c:pt idx="267">
                  <c:v>20.446983000000003</c:v>
                </c:pt>
                <c:pt idx="268">
                  <c:v>20.446983000000003</c:v>
                </c:pt>
                <c:pt idx="269">
                  <c:v>20.446983000000003</c:v>
                </c:pt>
                <c:pt idx="270">
                  <c:v>20.446983000000003</c:v>
                </c:pt>
                <c:pt idx="271">
                  <c:v>20.446983000000003</c:v>
                </c:pt>
                <c:pt idx="272">
                  <c:v>20.446983000000003</c:v>
                </c:pt>
                <c:pt idx="273">
                  <c:v>20.446983000000003</c:v>
                </c:pt>
                <c:pt idx="274">
                  <c:v>20.446983000000003</c:v>
                </c:pt>
                <c:pt idx="275">
                  <c:v>20.446983000000003</c:v>
                </c:pt>
                <c:pt idx="276">
                  <c:v>20.446983000000003</c:v>
                </c:pt>
                <c:pt idx="277">
                  <c:v>20.446983000000003</c:v>
                </c:pt>
                <c:pt idx="278">
                  <c:v>20.446983000000003</c:v>
                </c:pt>
                <c:pt idx="279">
                  <c:v>20.446983000000003</c:v>
                </c:pt>
                <c:pt idx="280">
                  <c:v>20.446983000000003</c:v>
                </c:pt>
                <c:pt idx="281">
                  <c:v>20.446983000000003</c:v>
                </c:pt>
                <c:pt idx="282">
                  <c:v>20.446983000000003</c:v>
                </c:pt>
                <c:pt idx="283">
                  <c:v>20.446983000000003</c:v>
                </c:pt>
                <c:pt idx="284">
                  <c:v>20.446983000000003</c:v>
                </c:pt>
                <c:pt idx="285">
                  <c:v>20.446983000000003</c:v>
                </c:pt>
                <c:pt idx="286">
                  <c:v>20.446983000000003</c:v>
                </c:pt>
                <c:pt idx="287">
                  <c:v>20.446983000000003</c:v>
                </c:pt>
                <c:pt idx="288">
                  <c:v>20.446983000000003</c:v>
                </c:pt>
                <c:pt idx="289">
                  <c:v>20.446983000000003</c:v>
                </c:pt>
                <c:pt idx="290">
                  <c:v>20.446983000000003</c:v>
                </c:pt>
                <c:pt idx="291">
                  <c:v>20.446983000000003</c:v>
                </c:pt>
                <c:pt idx="292">
                  <c:v>20.446983000000003</c:v>
                </c:pt>
                <c:pt idx="293">
                  <c:v>20.446983000000003</c:v>
                </c:pt>
                <c:pt idx="294">
                  <c:v>20.446983000000003</c:v>
                </c:pt>
                <c:pt idx="295">
                  <c:v>20.446983000000003</c:v>
                </c:pt>
                <c:pt idx="296">
                  <c:v>20.446983000000003</c:v>
                </c:pt>
                <c:pt idx="297">
                  <c:v>20.446983000000003</c:v>
                </c:pt>
                <c:pt idx="298">
                  <c:v>20.446983000000003</c:v>
                </c:pt>
                <c:pt idx="299">
                  <c:v>20.446983000000003</c:v>
                </c:pt>
                <c:pt idx="300">
                  <c:v>20.446983000000003</c:v>
                </c:pt>
                <c:pt idx="301">
                  <c:v>20.446983000000003</c:v>
                </c:pt>
                <c:pt idx="302">
                  <c:v>20.446983000000003</c:v>
                </c:pt>
                <c:pt idx="303">
                  <c:v>20.446983000000003</c:v>
                </c:pt>
                <c:pt idx="304">
                  <c:v>20.446983000000003</c:v>
                </c:pt>
                <c:pt idx="305">
                  <c:v>20.446983000000003</c:v>
                </c:pt>
                <c:pt idx="306">
                  <c:v>20.446983000000003</c:v>
                </c:pt>
                <c:pt idx="307">
                  <c:v>20.446983000000003</c:v>
                </c:pt>
                <c:pt idx="308">
                  <c:v>20.446983000000003</c:v>
                </c:pt>
                <c:pt idx="309">
                  <c:v>20.446983000000003</c:v>
                </c:pt>
                <c:pt idx="310">
                  <c:v>20.446983000000003</c:v>
                </c:pt>
                <c:pt idx="311">
                  <c:v>20.446983000000003</c:v>
                </c:pt>
                <c:pt idx="312">
                  <c:v>20.446983000000003</c:v>
                </c:pt>
                <c:pt idx="313">
                  <c:v>20.446983000000003</c:v>
                </c:pt>
                <c:pt idx="314">
                  <c:v>20.446983000000003</c:v>
                </c:pt>
                <c:pt idx="315">
                  <c:v>20.446983000000003</c:v>
                </c:pt>
                <c:pt idx="316">
                  <c:v>20.446983000000003</c:v>
                </c:pt>
                <c:pt idx="317">
                  <c:v>20.446983000000003</c:v>
                </c:pt>
                <c:pt idx="318">
                  <c:v>20.446983000000003</c:v>
                </c:pt>
                <c:pt idx="319">
                  <c:v>20.446983000000003</c:v>
                </c:pt>
                <c:pt idx="320">
                  <c:v>20.446983000000003</c:v>
                </c:pt>
                <c:pt idx="321">
                  <c:v>20.446983000000003</c:v>
                </c:pt>
                <c:pt idx="322">
                  <c:v>20.446983000000003</c:v>
                </c:pt>
                <c:pt idx="323">
                  <c:v>20.446983000000003</c:v>
                </c:pt>
                <c:pt idx="324">
                  <c:v>20.446983000000003</c:v>
                </c:pt>
                <c:pt idx="325">
                  <c:v>20.446983000000003</c:v>
                </c:pt>
                <c:pt idx="326">
                  <c:v>20.446983000000003</c:v>
                </c:pt>
                <c:pt idx="327">
                  <c:v>20.446983000000003</c:v>
                </c:pt>
                <c:pt idx="328">
                  <c:v>20.446983000000003</c:v>
                </c:pt>
                <c:pt idx="329">
                  <c:v>20.446983000000003</c:v>
                </c:pt>
                <c:pt idx="330">
                  <c:v>20.446983000000003</c:v>
                </c:pt>
                <c:pt idx="331">
                  <c:v>20.446983000000003</c:v>
                </c:pt>
                <c:pt idx="332">
                  <c:v>20.446983000000003</c:v>
                </c:pt>
                <c:pt idx="333">
                  <c:v>20.446983000000003</c:v>
                </c:pt>
                <c:pt idx="334">
                  <c:v>20.446983000000003</c:v>
                </c:pt>
                <c:pt idx="335">
                  <c:v>20.446983000000003</c:v>
                </c:pt>
                <c:pt idx="336">
                  <c:v>20.446983000000003</c:v>
                </c:pt>
                <c:pt idx="337">
                  <c:v>20.446983000000003</c:v>
                </c:pt>
                <c:pt idx="338">
                  <c:v>20.446983000000003</c:v>
                </c:pt>
                <c:pt idx="339">
                  <c:v>20.446983000000003</c:v>
                </c:pt>
                <c:pt idx="340">
                  <c:v>20.446983000000003</c:v>
                </c:pt>
                <c:pt idx="341">
                  <c:v>20.446983000000003</c:v>
                </c:pt>
                <c:pt idx="342">
                  <c:v>20.446983000000003</c:v>
                </c:pt>
                <c:pt idx="343">
                  <c:v>20.446983000000003</c:v>
                </c:pt>
                <c:pt idx="344">
                  <c:v>20.446983000000003</c:v>
                </c:pt>
                <c:pt idx="345">
                  <c:v>20.446983000000003</c:v>
                </c:pt>
                <c:pt idx="346">
                  <c:v>20.446983000000003</c:v>
                </c:pt>
                <c:pt idx="347">
                  <c:v>20.446983000000003</c:v>
                </c:pt>
                <c:pt idx="348">
                  <c:v>20.446983000000003</c:v>
                </c:pt>
                <c:pt idx="349">
                  <c:v>20.446983000000003</c:v>
                </c:pt>
                <c:pt idx="350">
                  <c:v>20.446983000000003</c:v>
                </c:pt>
                <c:pt idx="351">
                  <c:v>20.446983000000003</c:v>
                </c:pt>
                <c:pt idx="352">
                  <c:v>20.446983000000003</c:v>
                </c:pt>
                <c:pt idx="353">
                  <c:v>20.446983000000003</c:v>
                </c:pt>
                <c:pt idx="354">
                  <c:v>20.446983000000003</c:v>
                </c:pt>
                <c:pt idx="355">
                  <c:v>20.446983000000003</c:v>
                </c:pt>
                <c:pt idx="356">
                  <c:v>20.446983000000003</c:v>
                </c:pt>
                <c:pt idx="357">
                  <c:v>20.446983000000003</c:v>
                </c:pt>
                <c:pt idx="358">
                  <c:v>20.446983000000003</c:v>
                </c:pt>
                <c:pt idx="359">
                  <c:v>20.446983000000003</c:v>
                </c:pt>
                <c:pt idx="360">
                  <c:v>20.446983000000003</c:v>
                </c:pt>
                <c:pt idx="361">
                  <c:v>20.446983000000003</c:v>
                </c:pt>
                <c:pt idx="362">
                  <c:v>20.446983000000003</c:v>
                </c:pt>
                <c:pt idx="363">
                  <c:v>20.446983000000003</c:v>
                </c:pt>
                <c:pt idx="364">
                  <c:v>20.446983000000003</c:v>
                </c:pt>
                <c:pt idx="365">
                  <c:v>20.446983000000003</c:v>
                </c:pt>
                <c:pt idx="366">
                  <c:v>20.446983000000003</c:v>
                </c:pt>
                <c:pt idx="367">
                  <c:v>20.446983000000003</c:v>
                </c:pt>
                <c:pt idx="368">
                  <c:v>20.446983000000003</c:v>
                </c:pt>
                <c:pt idx="369">
                  <c:v>20.446983000000003</c:v>
                </c:pt>
                <c:pt idx="370">
                  <c:v>20.446983000000003</c:v>
                </c:pt>
                <c:pt idx="371">
                  <c:v>20.446983000000003</c:v>
                </c:pt>
                <c:pt idx="372">
                  <c:v>20.446983000000003</c:v>
                </c:pt>
                <c:pt idx="373">
                  <c:v>20.446983000000003</c:v>
                </c:pt>
                <c:pt idx="374">
                  <c:v>20.446983000000003</c:v>
                </c:pt>
                <c:pt idx="375">
                  <c:v>20.446983000000003</c:v>
                </c:pt>
                <c:pt idx="376">
                  <c:v>20.446983000000003</c:v>
                </c:pt>
                <c:pt idx="377">
                  <c:v>20.446983000000003</c:v>
                </c:pt>
                <c:pt idx="378">
                  <c:v>20.446983000000003</c:v>
                </c:pt>
                <c:pt idx="379">
                  <c:v>20.446983000000003</c:v>
                </c:pt>
                <c:pt idx="380">
                  <c:v>20.446983000000003</c:v>
                </c:pt>
                <c:pt idx="381">
                  <c:v>20.446983000000003</c:v>
                </c:pt>
                <c:pt idx="382">
                  <c:v>20.446983000000003</c:v>
                </c:pt>
                <c:pt idx="383">
                  <c:v>20.446983000000003</c:v>
                </c:pt>
                <c:pt idx="384">
                  <c:v>20.446983000000003</c:v>
                </c:pt>
                <c:pt idx="385">
                  <c:v>20.446983000000003</c:v>
                </c:pt>
                <c:pt idx="386">
                  <c:v>20.446983000000003</c:v>
                </c:pt>
                <c:pt idx="387">
                  <c:v>20.446983000000003</c:v>
                </c:pt>
                <c:pt idx="388">
                  <c:v>20.446983000000003</c:v>
                </c:pt>
                <c:pt idx="389">
                  <c:v>20.446983000000003</c:v>
                </c:pt>
                <c:pt idx="390">
                  <c:v>20.446983000000003</c:v>
                </c:pt>
                <c:pt idx="391">
                  <c:v>20.446983000000003</c:v>
                </c:pt>
                <c:pt idx="392">
                  <c:v>20.446983000000003</c:v>
                </c:pt>
                <c:pt idx="393">
                  <c:v>20.446983000000003</c:v>
                </c:pt>
                <c:pt idx="394">
                  <c:v>20.446983000000003</c:v>
                </c:pt>
                <c:pt idx="395">
                  <c:v>20.446983000000003</c:v>
                </c:pt>
                <c:pt idx="396">
                  <c:v>20.446983000000003</c:v>
                </c:pt>
                <c:pt idx="397">
                  <c:v>20.446983000000003</c:v>
                </c:pt>
                <c:pt idx="398">
                  <c:v>20.446983000000003</c:v>
                </c:pt>
                <c:pt idx="399">
                  <c:v>20.446983000000003</c:v>
                </c:pt>
                <c:pt idx="400">
                  <c:v>20.446983000000003</c:v>
                </c:pt>
                <c:pt idx="401">
                  <c:v>20.446983000000003</c:v>
                </c:pt>
                <c:pt idx="402">
                  <c:v>20.446983000000003</c:v>
                </c:pt>
                <c:pt idx="403">
                  <c:v>20.446983000000003</c:v>
                </c:pt>
                <c:pt idx="404">
                  <c:v>20.446983000000003</c:v>
                </c:pt>
                <c:pt idx="405">
                  <c:v>20.446983000000003</c:v>
                </c:pt>
                <c:pt idx="406">
                  <c:v>20.446983000000003</c:v>
                </c:pt>
                <c:pt idx="407">
                  <c:v>20.446983000000003</c:v>
                </c:pt>
                <c:pt idx="408">
                  <c:v>20.446983000000003</c:v>
                </c:pt>
                <c:pt idx="409">
                  <c:v>20.446983000000003</c:v>
                </c:pt>
                <c:pt idx="410">
                  <c:v>20.446983000000003</c:v>
                </c:pt>
                <c:pt idx="411">
                  <c:v>20.446983000000003</c:v>
                </c:pt>
                <c:pt idx="412">
                  <c:v>20.446983000000003</c:v>
                </c:pt>
                <c:pt idx="413">
                  <c:v>20.446983000000003</c:v>
                </c:pt>
                <c:pt idx="414">
                  <c:v>20.446983000000003</c:v>
                </c:pt>
                <c:pt idx="415">
                  <c:v>20.446983000000003</c:v>
                </c:pt>
                <c:pt idx="416">
                  <c:v>20.446983000000003</c:v>
                </c:pt>
                <c:pt idx="417">
                  <c:v>20.446983000000003</c:v>
                </c:pt>
                <c:pt idx="418">
                  <c:v>20.446983000000003</c:v>
                </c:pt>
                <c:pt idx="419">
                  <c:v>20.446983000000003</c:v>
                </c:pt>
                <c:pt idx="420">
                  <c:v>20.446983000000003</c:v>
                </c:pt>
                <c:pt idx="421">
                  <c:v>20.446983000000003</c:v>
                </c:pt>
                <c:pt idx="422">
                  <c:v>20.446983000000003</c:v>
                </c:pt>
                <c:pt idx="423">
                  <c:v>20.446983000000003</c:v>
                </c:pt>
                <c:pt idx="424">
                  <c:v>20.446983000000003</c:v>
                </c:pt>
                <c:pt idx="425">
                  <c:v>20.446983000000003</c:v>
                </c:pt>
                <c:pt idx="426">
                  <c:v>20.446983000000003</c:v>
                </c:pt>
                <c:pt idx="427">
                  <c:v>20.446983000000003</c:v>
                </c:pt>
                <c:pt idx="428">
                  <c:v>20.446983000000003</c:v>
                </c:pt>
                <c:pt idx="429">
                  <c:v>20.446983000000003</c:v>
                </c:pt>
                <c:pt idx="430">
                  <c:v>20.446983000000003</c:v>
                </c:pt>
                <c:pt idx="431">
                  <c:v>20.446983000000003</c:v>
                </c:pt>
                <c:pt idx="432">
                  <c:v>20.446983000000003</c:v>
                </c:pt>
                <c:pt idx="433">
                  <c:v>20.446983000000003</c:v>
                </c:pt>
                <c:pt idx="434">
                  <c:v>20.446983000000003</c:v>
                </c:pt>
                <c:pt idx="435">
                  <c:v>20.446983000000003</c:v>
                </c:pt>
                <c:pt idx="436">
                  <c:v>20.446983000000003</c:v>
                </c:pt>
                <c:pt idx="437">
                  <c:v>20.446983000000003</c:v>
                </c:pt>
                <c:pt idx="438">
                  <c:v>20.446983000000003</c:v>
                </c:pt>
                <c:pt idx="439">
                  <c:v>20.446983000000003</c:v>
                </c:pt>
                <c:pt idx="440">
                  <c:v>20.446983000000003</c:v>
                </c:pt>
                <c:pt idx="441">
                  <c:v>20.446983000000003</c:v>
                </c:pt>
                <c:pt idx="442">
                  <c:v>20.446983000000003</c:v>
                </c:pt>
                <c:pt idx="443">
                  <c:v>20.446983000000003</c:v>
                </c:pt>
                <c:pt idx="444">
                  <c:v>20.446983000000003</c:v>
                </c:pt>
                <c:pt idx="445">
                  <c:v>20.446983000000003</c:v>
                </c:pt>
                <c:pt idx="446">
                  <c:v>20.446983000000003</c:v>
                </c:pt>
                <c:pt idx="447">
                  <c:v>20.446983000000003</c:v>
                </c:pt>
                <c:pt idx="448">
                  <c:v>20.446983000000003</c:v>
                </c:pt>
                <c:pt idx="449">
                  <c:v>20.446983000000003</c:v>
                </c:pt>
                <c:pt idx="450">
                  <c:v>20.446983000000003</c:v>
                </c:pt>
                <c:pt idx="451">
                  <c:v>20.446983000000003</c:v>
                </c:pt>
                <c:pt idx="452">
                  <c:v>20.446983000000003</c:v>
                </c:pt>
                <c:pt idx="453">
                  <c:v>20.446983000000003</c:v>
                </c:pt>
                <c:pt idx="454">
                  <c:v>20.446983000000003</c:v>
                </c:pt>
                <c:pt idx="455">
                  <c:v>20.446983000000003</c:v>
                </c:pt>
                <c:pt idx="456">
                  <c:v>20.446983000000003</c:v>
                </c:pt>
                <c:pt idx="457">
                  <c:v>20.446983000000003</c:v>
                </c:pt>
                <c:pt idx="458">
                  <c:v>20.446983000000003</c:v>
                </c:pt>
                <c:pt idx="459">
                  <c:v>20.446983000000003</c:v>
                </c:pt>
                <c:pt idx="460">
                  <c:v>20.446983000000003</c:v>
                </c:pt>
                <c:pt idx="461">
                  <c:v>20.446983000000003</c:v>
                </c:pt>
                <c:pt idx="462">
                  <c:v>20.446983000000003</c:v>
                </c:pt>
                <c:pt idx="463">
                  <c:v>20.446983000000003</c:v>
                </c:pt>
                <c:pt idx="464">
                  <c:v>20.446983000000003</c:v>
                </c:pt>
                <c:pt idx="465">
                  <c:v>20.446983000000003</c:v>
                </c:pt>
                <c:pt idx="466">
                  <c:v>20.446983000000003</c:v>
                </c:pt>
                <c:pt idx="467">
                  <c:v>20.446983000000003</c:v>
                </c:pt>
                <c:pt idx="468">
                  <c:v>20.446983000000003</c:v>
                </c:pt>
                <c:pt idx="469">
                  <c:v>20.446983000000003</c:v>
                </c:pt>
                <c:pt idx="470">
                  <c:v>20.446983000000003</c:v>
                </c:pt>
                <c:pt idx="471">
                  <c:v>20.446983000000003</c:v>
                </c:pt>
                <c:pt idx="472">
                  <c:v>20.446983000000003</c:v>
                </c:pt>
                <c:pt idx="473">
                  <c:v>20.446983000000003</c:v>
                </c:pt>
                <c:pt idx="474">
                  <c:v>20.446983000000003</c:v>
                </c:pt>
                <c:pt idx="475">
                  <c:v>20.446983000000003</c:v>
                </c:pt>
                <c:pt idx="476">
                  <c:v>20.446983000000003</c:v>
                </c:pt>
                <c:pt idx="477">
                  <c:v>20.446983000000003</c:v>
                </c:pt>
                <c:pt idx="478">
                  <c:v>20.446983000000003</c:v>
                </c:pt>
                <c:pt idx="479">
                  <c:v>20.446983000000003</c:v>
                </c:pt>
                <c:pt idx="480">
                  <c:v>20.446983000000003</c:v>
                </c:pt>
                <c:pt idx="481">
                  <c:v>20.446983000000003</c:v>
                </c:pt>
                <c:pt idx="482">
                  <c:v>20.446983000000003</c:v>
                </c:pt>
                <c:pt idx="483">
                  <c:v>20.446983000000003</c:v>
                </c:pt>
                <c:pt idx="484">
                  <c:v>20.446983000000003</c:v>
                </c:pt>
                <c:pt idx="485">
                  <c:v>20.446983000000003</c:v>
                </c:pt>
                <c:pt idx="486">
                  <c:v>20.446983000000003</c:v>
                </c:pt>
                <c:pt idx="487">
                  <c:v>20.446983000000003</c:v>
                </c:pt>
                <c:pt idx="488">
                  <c:v>20.446983000000003</c:v>
                </c:pt>
                <c:pt idx="489">
                  <c:v>20.446983000000003</c:v>
                </c:pt>
                <c:pt idx="490">
                  <c:v>20.446983000000003</c:v>
                </c:pt>
                <c:pt idx="491">
                  <c:v>20.446983000000003</c:v>
                </c:pt>
                <c:pt idx="492">
                  <c:v>20.446983000000003</c:v>
                </c:pt>
                <c:pt idx="493">
                  <c:v>20.446983000000003</c:v>
                </c:pt>
                <c:pt idx="494">
                  <c:v>20.446983000000003</c:v>
                </c:pt>
                <c:pt idx="495">
                  <c:v>20.446983000000003</c:v>
                </c:pt>
                <c:pt idx="496">
                  <c:v>20.446983000000003</c:v>
                </c:pt>
                <c:pt idx="497">
                  <c:v>20.446983000000003</c:v>
                </c:pt>
                <c:pt idx="498">
                  <c:v>20.446983000000003</c:v>
                </c:pt>
                <c:pt idx="499">
                  <c:v>20.446983000000003</c:v>
                </c:pt>
                <c:pt idx="500">
                  <c:v>20.446983000000003</c:v>
                </c:pt>
                <c:pt idx="501">
                  <c:v>20.446983000000003</c:v>
                </c:pt>
                <c:pt idx="502">
                  <c:v>20.446983000000003</c:v>
                </c:pt>
                <c:pt idx="503">
                  <c:v>20.446983000000003</c:v>
                </c:pt>
                <c:pt idx="504">
                  <c:v>20.446983000000003</c:v>
                </c:pt>
                <c:pt idx="505">
                  <c:v>20.446983000000003</c:v>
                </c:pt>
                <c:pt idx="506">
                  <c:v>20.446983000000003</c:v>
                </c:pt>
                <c:pt idx="507">
                  <c:v>20.446983000000003</c:v>
                </c:pt>
                <c:pt idx="508">
                  <c:v>20.446983000000003</c:v>
                </c:pt>
                <c:pt idx="509">
                  <c:v>20.446983000000003</c:v>
                </c:pt>
                <c:pt idx="510">
                  <c:v>20.446983000000003</c:v>
                </c:pt>
                <c:pt idx="511">
                  <c:v>20.446983000000003</c:v>
                </c:pt>
                <c:pt idx="512">
                  <c:v>20.446983000000003</c:v>
                </c:pt>
                <c:pt idx="513">
                  <c:v>20.446983000000003</c:v>
                </c:pt>
                <c:pt idx="514">
                  <c:v>20.446983000000003</c:v>
                </c:pt>
                <c:pt idx="515">
                  <c:v>20.446983000000003</c:v>
                </c:pt>
                <c:pt idx="516">
                  <c:v>20.446983000000003</c:v>
                </c:pt>
                <c:pt idx="517">
                  <c:v>20.446983000000003</c:v>
                </c:pt>
                <c:pt idx="518">
                  <c:v>20.446983000000003</c:v>
                </c:pt>
                <c:pt idx="519">
                  <c:v>20.446983000000003</c:v>
                </c:pt>
                <c:pt idx="520">
                  <c:v>20.446983000000003</c:v>
                </c:pt>
                <c:pt idx="521">
                  <c:v>20.446983000000003</c:v>
                </c:pt>
                <c:pt idx="522">
                  <c:v>20.446983000000003</c:v>
                </c:pt>
                <c:pt idx="523">
                  <c:v>20.446983000000003</c:v>
                </c:pt>
                <c:pt idx="524">
                  <c:v>20.446983000000003</c:v>
                </c:pt>
                <c:pt idx="525">
                  <c:v>20.446983000000003</c:v>
                </c:pt>
                <c:pt idx="526">
                  <c:v>20.446983000000003</c:v>
                </c:pt>
                <c:pt idx="527">
                  <c:v>20.446983000000003</c:v>
                </c:pt>
                <c:pt idx="528">
                  <c:v>20.446983000000003</c:v>
                </c:pt>
                <c:pt idx="529">
                  <c:v>20.446983000000003</c:v>
                </c:pt>
                <c:pt idx="530">
                  <c:v>20.446983000000003</c:v>
                </c:pt>
                <c:pt idx="531">
                  <c:v>20.446983000000003</c:v>
                </c:pt>
                <c:pt idx="532">
                  <c:v>20.446983000000003</c:v>
                </c:pt>
                <c:pt idx="533">
                  <c:v>20.446983000000003</c:v>
                </c:pt>
                <c:pt idx="534">
                  <c:v>20.446983000000003</c:v>
                </c:pt>
                <c:pt idx="535">
                  <c:v>20.446983000000003</c:v>
                </c:pt>
                <c:pt idx="536">
                  <c:v>20.446983000000003</c:v>
                </c:pt>
                <c:pt idx="537">
                  <c:v>20.446983000000003</c:v>
                </c:pt>
                <c:pt idx="538">
                  <c:v>20.446983000000003</c:v>
                </c:pt>
                <c:pt idx="539">
                  <c:v>20.446983000000003</c:v>
                </c:pt>
                <c:pt idx="540">
                  <c:v>20.446983000000003</c:v>
                </c:pt>
                <c:pt idx="541">
                  <c:v>20.446983000000003</c:v>
                </c:pt>
                <c:pt idx="542">
                  <c:v>20.446983000000003</c:v>
                </c:pt>
                <c:pt idx="543">
                  <c:v>20.446983000000003</c:v>
                </c:pt>
                <c:pt idx="544">
                  <c:v>20.446983000000003</c:v>
                </c:pt>
                <c:pt idx="545">
                  <c:v>20.446983000000003</c:v>
                </c:pt>
                <c:pt idx="546">
                  <c:v>20.446983000000003</c:v>
                </c:pt>
                <c:pt idx="547">
                  <c:v>20.446983000000003</c:v>
                </c:pt>
                <c:pt idx="548">
                  <c:v>20.446983000000003</c:v>
                </c:pt>
                <c:pt idx="549">
                  <c:v>20.446983000000003</c:v>
                </c:pt>
                <c:pt idx="550">
                  <c:v>20.446983000000003</c:v>
                </c:pt>
                <c:pt idx="551">
                  <c:v>20.446983000000003</c:v>
                </c:pt>
                <c:pt idx="552">
                  <c:v>20.446983000000003</c:v>
                </c:pt>
                <c:pt idx="553">
                  <c:v>20.446983000000003</c:v>
                </c:pt>
                <c:pt idx="554">
                  <c:v>20.446983000000003</c:v>
                </c:pt>
                <c:pt idx="555">
                  <c:v>20.446983000000003</c:v>
                </c:pt>
                <c:pt idx="556">
                  <c:v>20.446983000000003</c:v>
                </c:pt>
                <c:pt idx="557">
                  <c:v>20.446983000000003</c:v>
                </c:pt>
                <c:pt idx="558">
                  <c:v>20.446983000000003</c:v>
                </c:pt>
                <c:pt idx="559">
                  <c:v>20.446983000000003</c:v>
                </c:pt>
                <c:pt idx="560">
                  <c:v>20.446983000000003</c:v>
                </c:pt>
                <c:pt idx="561">
                  <c:v>20.446983000000003</c:v>
                </c:pt>
                <c:pt idx="562">
                  <c:v>20.446983000000003</c:v>
                </c:pt>
                <c:pt idx="563">
                  <c:v>20.446983000000003</c:v>
                </c:pt>
                <c:pt idx="564">
                  <c:v>20.446983000000003</c:v>
                </c:pt>
                <c:pt idx="565">
                  <c:v>20.446983000000003</c:v>
                </c:pt>
                <c:pt idx="566">
                  <c:v>20.446983000000003</c:v>
                </c:pt>
                <c:pt idx="567">
                  <c:v>20.446983000000003</c:v>
                </c:pt>
                <c:pt idx="568">
                  <c:v>20.446983000000003</c:v>
                </c:pt>
                <c:pt idx="569">
                  <c:v>20.446983000000003</c:v>
                </c:pt>
                <c:pt idx="570">
                  <c:v>20.446983000000003</c:v>
                </c:pt>
                <c:pt idx="571">
                  <c:v>20.446983000000003</c:v>
                </c:pt>
                <c:pt idx="572">
                  <c:v>20.446983000000003</c:v>
                </c:pt>
                <c:pt idx="573">
                  <c:v>20.446983000000003</c:v>
                </c:pt>
                <c:pt idx="574">
                  <c:v>20.446983000000003</c:v>
                </c:pt>
                <c:pt idx="575">
                  <c:v>20.446983000000003</c:v>
                </c:pt>
                <c:pt idx="576">
                  <c:v>20.446983000000003</c:v>
                </c:pt>
                <c:pt idx="577">
                  <c:v>20.446983000000003</c:v>
                </c:pt>
                <c:pt idx="578">
                  <c:v>20.446983000000003</c:v>
                </c:pt>
                <c:pt idx="579">
                  <c:v>20.446983000000003</c:v>
                </c:pt>
                <c:pt idx="580">
                  <c:v>20.446983000000003</c:v>
                </c:pt>
                <c:pt idx="581">
                  <c:v>20.446983000000003</c:v>
                </c:pt>
                <c:pt idx="582">
                  <c:v>20.446983000000003</c:v>
                </c:pt>
                <c:pt idx="583">
                  <c:v>20.446983000000003</c:v>
                </c:pt>
                <c:pt idx="584">
                  <c:v>20.446983000000003</c:v>
                </c:pt>
                <c:pt idx="585">
                  <c:v>20.446983000000003</c:v>
                </c:pt>
                <c:pt idx="586">
                  <c:v>20.446983000000003</c:v>
                </c:pt>
                <c:pt idx="587">
                  <c:v>20.446983000000003</c:v>
                </c:pt>
                <c:pt idx="588">
                  <c:v>20.446983000000003</c:v>
                </c:pt>
                <c:pt idx="589">
                  <c:v>20.446983000000003</c:v>
                </c:pt>
                <c:pt idx="590">
                  <c:v>20.446983000000003</c:v>
                </c:pt>
                <c:pt idx="591">
                  <c:v>20.446983000000003</c:v>
                </c:pt>
                <c:pt idx="592">
                  <c:v>20.446983000000003</c:v>
                </c:pt>
                <c:pt idx="593">
                  <c:v>20.446983000000003</c:v>
                </c:pt>
                <c:pt idx="594">
                  <c:v>20.446983000000003</c:v>
                </c:pt>
                <c:pt idx="595">
                  <c:v>20.446983000000003</c:v>
                </c:pt>
                <c:pt idx="596">
                  <c:v>20.446983000000003</c:v>
                </c:pt>
                <c:pt idx="597">
                  <c:v>20.446983000000003</c:v>
                </c:pt>
                <c:pt idx="598">
                  <c:v>20.446983000000003</c:v>
                </c:pt>
                <c:pt idx="599">
                  <c:v>20.446983000000003</c:v>
                </c:pt>
                <c:pt idx="600">
                  <c:v>20.446983000000003</c:v>
                </c:pt>
                <c:pt idx="601">
                  <c:v>20.446983000000003</c:v>
                </c:pt>
                <c:pt idx="602">
                  <c:v>20.446983000000003</c:v>
                </c:pt>
                <c:pt idx="603">
                  <c:v>20.446983000000003</c:v>
                </c:pt>
                <c:pt idx="604">
                  <c:v>20.446983000000003</c:v>
                </c:pt>
                <c:pt idx="605">
                  <c:v>20.446983000000003</c:v>
                </c:pt>
                <c:pt idx="606">
                  <c:v>20.446983000000003</c:v>
                </c:pt>
                <c:pt idx="607">
                  <c:v>20.446983000000003</c:v>
                </c:pt>
                <c:pt idx="608">
                  <c:v>20.446983000000003</c:v>
                </c:pt>
                <c:pt idx="609">
                  <c:v>20.446983000000003</c:v>
                </c:pt>
                <c:pt idx="610">
                  <c:v>20.446983000000003</c:v>
                </c:pt>
                <c:pt idx="611">
                  <c:v>20.446983000000003</c:v>
                </c:pt>
                <c:pt idx="612">
                  <c:v>20.446983000000003</c:v>
                </c:pt>
                <c:pt idx="613">
                  <c:v>20.446983000000003</c:v>
                </c:pt>
                <c:pt idx="614">
                  <c:v>20.446983000000003</c:v>
                </c:pt>
                <c:pt idx="615">
                  <c:v>20.446983000000003</c:v>
                </c:pt>
                <c:pt idx="616">
                  <c:v>20.446983000000003</c:v>
                </c:pt>
                <c:pt idx="617">
                  <c:v>20.446983000000003</c:v>
                </c:pt>
                <c:pt idx="618">
                  <c:v>20.446983000000003</c:v>
                </c:pt>
                <c:pt idx="619">
                  <c:v>20.446983000000003</c:v>
                </c:pt>
                <c:pt idx="620">
                  <c:v>20.446983000000003</c:v>
                </c:pt>
                <c:pt idx="621">
                  <c:v>20.446983000000003</c:v>
                </c:pt>
                <c:pt idx="622">
                  <c:v>20.446983000000003</c:v>
                </c:pt>
                <c:pt idx="623">
                  <c:v>20.446983000000003</c:v>
                </c:pt>
                <c:pt idx="624">
                  <c:v>20.446983000000003</c:v>
                </c:pt>
                <c:pt idx="625">
                  <c:v>20.446983000000003</c:v>
                </c:pt>
                <c:pt idx="626">
                  <c:v>20.446983000000003</c:v>
                </c:pt>
                <c:pt idx="627">
                  <c:v>20.446983000000003</c:v>
                </c:pt>
                <c:pt idx="628">
                  <c:v>20.446983000000003</c:v>
                </c:pt>
                <c:pt idx="629">
                  <c:v>20.446983000000003</c:v>
                </c:pt>
                <c:pt idx="630">
                  <c:v>20.446983000000003</c:v>
                </c:pt>
                <c:pt idx="631">
                  <c:v>20.446983000000003</c:v>
                </c:pt>
                <c:pt idx="632">
                  <c:v>20.446983000000003</c:v>
                </c:pt>
                <c:pt idx="633">
                  <c:v>20.446983000000003</c:v>
                </c:pt>
                <c:pt idx="634">
                  <c:v>20.446983000000003</c:v>
                </c:pt>
                <c:pt idx="635">
                  <c:v>20.446983000000003</c:v>
                </c:pt>
                <c:pt idx="636">
                  <c:v>20.446983000000003</c:v>
                </c:pt>
                <c:pt idx="637">
                  <c:v>20.446983000000003</c:v>
                </c:pt>
                <c:pt idx="638">
                  <c:v>20.446983000000003</c:v>
                </c:pt>
                <c:pt idx="639">
                  <c:v>20.446983000000003</c:v>
                </c:pt>
                <c:pt idx="640">
                  <c:v>20.446983000000003</c:v>
                </c:pt>
                <c:pt idx="641">
                  <c:v>20.446983000000003</c:v>
                </c:pt>
                <c:pt idx="642">
                  <c:v>20.446983000000003</c:v>
                </c:pt>
                <c:pt idx="643">
                  <c:v>20.446983000000003</c:v>
                </c:pt>
                <c:pt idx="644">
                  <c:v>20.446983000000003</c:v>
                </c:pt>
                <c:pt idx="645">
                  <c:v>20.446983000000003</c:v>
                </c:pt>
                <c:pt idx="646">
                  <c:v>20.446983000000003</c:v>
                </c:pt>
                <c:pt idx="647">
                  <c:v>20.446983000000003</c:v>
                </c:pt>
                <c:pt idx="648">
                  <c:v>20.446983000000003</c:v>
                </c:pt>
                <c:pt idx="649">
                  <c:v>20.446983000000003</c:v>
                </c:pt>
                <c:pt idx="650">
                  <c:v>20.446983000000003</c:v>
                </c:pt>
                <c:pt idx="651">
                  <c:v>20.446983000000003</c:v>
                </c:pt>
                <c:pt idx="652">
                  <c:v>20.446983000000003</c:v>
                </c:pt>
                <c:pt idx="653">
                  <c:v>20.446983000000003</c:v>
                </c:pt>
                <c:pt idx="654">
                  <c:v>20.446983000000003</c:v>
                </c:pt>
                <c:pt idx="655">
                  <c:v>20.446983000000003</c:v>
                </c:pt>
                <c:pt idx="656">
                  <c:v>20.446983000000003</c:v>
                </c:pt>
                <c:pt idx="657">
                  <c:v>20.446983000000003</c:v>
                </c:pt>
                <c:pt idx="658">
                  <c:v>20.446983000000003</c:v>
                </c:pt>
                <c:pt idx="659">
                  <c:v>20.446983000000003</c:v>
                </c:pt>
                <c:pt idx="660">
                  <c:v>20.446983000000003</c:v>
                </c:pt>
                <c:pt idx="661">
                  <c:v>20.446983000000003</c:v>
                </c:pt>
                <c:pt idx="662">
                  <c:v>20.446983000000003</c:v>
                </c:pt>
                <c:pt idx="663">
                  <c:v>20.446983000000003</c:v>
                </c:pt>
                <c:pt idx="664">
                  <c:v>20.446983000000003</c:v>
                </c:pt>
                <c:pt idx="665">
                  <c:v>20.446983000000003</c:v>
                </c:pt>
                <c:pt idx="666">
                  <c:v>20.446983000000003</c:v>
                </c:pt>
                <c:pt idx="667">
                  <c:v>20.446983000000003</c:v>
                </c:pt>
                <c:pt idx="668">
                  <c:v>20.446983000000003</c:v>
                </c:pt>
                <c:pt idx="669">
                  <c:v>20.446983000000003</c:v>
                </c:pt>
                <c:pt idx="670">
                  <c:v>20.446983000000003</c:v>
                </c:pt>
                <c:pt idx="671">
                  <c:v>20.446983000000003</c:v>
                </c:pt>
                <c:pt idx="672">
                  <c:v>20.446983000000003</c:v>
                </c:pt>
                <c:pt idx="673">
                  <c:v>20.446983000000003</c:v>
                </c:pt>
                <c:pt idx="674">
                  <c:v>20.446983000000003</c:v>
                </c:pt>
                <c:pt idx="675">
                  <c:v>20.446983000000003</c:v>
                </c:pt>
                <c:pt idx="676">
                  <c:v>20.446983000000003</c:v>
                </c:pt>
                <c:pt idx="677">
                  <c:v>20.446983000000003</c:v>
                </c:pt>
                <c:pt idx="678">
                  <c:v>20.446983000000003</c:v>
                </c:pt>
                <c:pt idx="679">
                  <c:v>20.446983000000003</c:v>
                </c:pt>
                <c:pt idx="680">
                  <c:v>20.446983000000003</c:v>
                </c:pt>
                <c:pt idx="681">
                  <c:v>20.446983000000003</c:v>
                </c:pt>
                <c:pt idx="682">
                  <c:v>20.446983000000003</c:v>
                </c:pt>
                <c:pt idx="683">
                  <c:v>20.446983000000003</c:v>
                </c:pt>
                <c:pt idx="684">
                  <c:v>20.446983000000003</c:v>
                </c:pt>
                <c:pt idx="685">
                  <c:v>20.446983000000003</c:v>
                </c:pt>
                <c:pt idx="686">
                  <c:v>20.446983000000003</c:v>
                </c:pt>
                <c:pt idx="687">
                  <c:v>20.446983000000003</c:v>
                </c:pt>
                <c:pt idx="688">
                  <c:v>20.446983000000003</c:v>
                </c:pt>
                <c:pt idx="689">
                  <c:v>20.446983000000003</c:v>
                </c:pt>
                <c:pt idx="690">
                  <c:v>20.446983000000003</c:v>
                </c:pt>
                <c:pt idx="691">
                  <c:v>20.446983000000003</c:v>
                </c:pt>
                <c:pt idx="692">
                  <c:v>20.446983000000003</c:v>
                </c:pt>
                <c:pt idx="693">
                  <c:v>20.446983000000003</c:v>
                </c:pt>
                <c:pt idx="694">
                  <c:v>20.446983000000003</c:v>
                </c:pt>
                <c:pt idx="695">
                  <c:v>20.446983000000003</c:v>
                </c:pt>
                <c:pt idx="696">
                  <c:v>20.446983000000003</c:v>
                </c:pt>
                <c:pt idx="697">
                  <c:v>20.446983000000003</c:v>
                </c:pt>
                <c:pt idx="698">
                  <c:v>20.446983000000003</c:v>
                </c:pt>
                <c:pt idx="699">
                  <c:v>20.446983000000003</c:v>
                </c:pt>
                <c:pt idx="700">
                  <c:v>20.446983000000003</c:v>
                </c:pt>
                <c:pt idx="701">
                  <c:v>20.446983000000003</c:v>
                </c:pt>
                <c:pt idx="702">
                  <c:v>20.446983000000003</c:v>
                </c:pt>
                <c:pt idx="703">
                  <c:v>20.446983000000003</c:v>
                </c:pt>
                <c:pt idx="704">
                  <c:v>20.446983000000003</c:v>
                </c:pt>
                <c:pt idx="705">
                  <c:v>20.446983000000003</c:v>
                </c:pt>
                <c:pt idx="706">
                  <c:v>20.446983000000003</c:v>
                </c:pt>
                <c:pt idx="707">
                  <c:v>20.446983000000003</c:v>
                </c:pt>
                <c:pt idx="708">
                  <c:v>20.446983000000003</c:v>
                </c:pt>
                <c:pt idx="709">
                  <c:v>20.446983000000003</c:v>
                </c:pt>
                <c:pt idx="710">
                  <c:v>20.446983000000003</c:v>
                </c:pt>
                <c:pt idx="711">
                  <c:v>20.446983000000003</c:v>
                </c:pt>
                <c:pt idx="712">
                  <c:v>20.446983000000003</c:v>
                </c:pt>
                <c:pt idx="713">
                  <c:v>20.446983000000003</c:v>
                </c:pt>
                <c:pt idx="714">
                  <c:v>20.446983000000003</c:v>
                </c:pt>
                <c:pt idx="715">
                  <c:v>20.446983000000003</c:v>
                </c:pt>
                <c:pt idx="716">
                  <c:v>20.446983000000003</c:v>
                </c:pt>
                <c:pt idx="717">
                  <c:v>20.446983000000003</c:v>
                </c:pt>
                <c:pt idx="718">
                  <c:v>20.446983000000003</c:v>
                </c:pt>
                <c:pt idx="719">
                  <c:v>20.446983000000003</c:v>
                </c:pt>
                <c:pt idx="720">
                  <c:v>20.446983000000003</c:v>
                </c:pt>
                <c:pt idx="721">
                  <c:v>20.446983000000003</c:v>
                </c:pt>
                <c:pt idx="722">
                  <c:v>20.446983000000003</c:v>
                </c:pt>
                <c:pt idx="723">
                  <c:v>20.446983000000003</c:v>
                </c:pt>
                <c:pt idx="724">
                  <c:v>20.446983000000003</c:v>
                </c:pt>
                <c:pt idx="725">
                  <c:v>20.446983000000003</c:v>
                </c:pt>
                <c:pt idx="726">
                  <c:v>20.446983000000003</c:v>
                </c:pt>
                <c:pt idx="727">
                  <c:v>20.446983000000003</c:v>
                </c:pt>
                <c:pt idx="728">
                  <c:v>20.446983000000003</c:v>
                </c:pt>
                <c:pt idx="729">
                  <c:v>20.446983000000003</c:v>
                </c:pt>
                <c:pt idx="730">
                  <c:v>20.446983000000003</c:v>
                </c:pt>
                <c:pt idx="731">
                  <c:v>20.446983000000003</c:v>
                </c:pt>
                <c:pt idx="732">
                  <c:v>20.446983000000003</c:v>
                </c:pt>
                <c:pt idx="733">
                  <c:v>20.446983000000003</c:v>
                </c:pt>
                <c:pt idx="734">
                  <c:v>20.446983000000003</c:v>
                </c:pt>
                <c:pt idx="735">
                  <c:v>20.446983000000003</c:v>
                </c:pt>
                <c:pt idx="736">
                  <c:v>20.446983000000003</c:v>
                </c:pt>
                <c:pt idx="737">
                  <c:v>20.446983000000003</c:v>
                </c:pt>
                <c:pt idx="738">
                  <c:v>20.446983000000003</c:v>
                </c:pt>
                <c:pt idx="739">
                  <c:v>20.446983000000003</c:v>
                </c:pt>
                <c:pt idx="740">
                  <c:v>20.446983000000003</c:v>
                </c:pt>
                <c:pt idx="741">
                  <c:v>20.446983000000003</c:v>
                </c:pt>
                <c:pt idx="742">
                  <c:v>20.446983000000003</c:v>
                </c:pt>
                <c:pt idx="743">
                  <c:v>20.446983000000003</c:v>
                </c:pt>
                <c:pt idx="744">
                  <c:v>20.446983000000003</c:v>
                </c:pt>
                <c:pt idx="745">
                  <c:v>20.446983000000003</c:v>
                </c:pt>
                <c:pt idx="746">
                  <c:v>20.446983000000003</c:v>
                </c:pt>
                <c:pt idx="747">
                  <c:v>20.446983000000003</c:v>
                </c:pt>
                <c:pt idx="748">
                  <c:v>20.446983000000003</c:v>
                </c:pt>
                <c:pt idx="749">
                  <c:v>20.446983000000003</c:v>
                </c:pt>
                <c:pt idx="750">
                  <c:v>20.446983000000003</c:v>
                </c:pt>
                <c:pt idx="751">
                  <c:v>20.446983000000003</c:v>
                </c:pt>
                <c:pt idx="752">
                  <c:v>20.446983000000003</c:v>
                </c:pt>
                <c:pt idx="753">
                  <c:v>20.446983000000003</c:v>
                </c:pt>
                <c:pt idx="754">
                  <c:v>20.446983000000003</c:v>
                </c:pt>
                <c:pt idx="755">
                  <c:v>20.446983000000003</c:v>
                </c:pt>
                <c:pt idx="756">
                  <c:v>20.446983000000003</c:v>
                </c:pt>
                <c:pt idx="757">
                  <c:v>20.446983000000003</c:v>
                </c:pt>
                <c:pt idx="758">
                  <c:v>20.446983000000003</c:v>
                </c:pt>
                <c:pt idx="759">
                  <c:v>20.446983000000003</c:v>
                </c:pt>
                <c:pt idx="760">
                  <c:v>20.446983000000003</c:v>
                </c:pt>
                <c:pt idx="761">
                  <c:v>20.446983000000003</c:v>
                </c:pt>
                <c:pt idx="762">
                  <c:v>20.446983000000003</c:v>
                </c:pt>
                <c:pt idx="763">
                  <c:v>20.446983000000003</c:v>
                </c:pt>
                <c:pt idx="764">
                  <c:v>20.446983000000003</c:v>
                </c:pt>
                <c:pt idx="765">
                  <c:v>20.446983000000003</c:v>
                </c:pt>
                <c:pt idx="766">
                  <c:v>20.446983000000003</c:v>
                </c:pt>
                <c:pt idx="767">
                  <c:v>20.446983000000003</c:v>
                </c:pt>
                <c:pt idx="768">
                  <c:v>20.446983000000003</c:v>
                </c:pt>
                <c:pt idx="769">
                  <c:v>20.446983000000003</c:v>
                </c:pt>
                <c:pt idx="770">
                  <c:v>20.446983000000003</c:v>
                </c:pt>
                <c:pt idx="771">
                  <c:v>20.446983000000003</c:v>
                </c:pt>
                <c:pt idx="772">
                  <c:v>20.446983000000003</c:v>
                </c:pt>
                <c:pt idx="773">
                  <c:v>20.446983000000003</c:v>
                </c:pt>
                <c:pt idx="774">
                  <c:v>20.446983000000003</c:v>
                </c:pt>
                <c:pt idx="775">
                  <c:v>20.446983000000003</c:v>
                </c:pt>
                <c:pt idx="776">
                  <c:v>20.446983000000003</c:v>
                </c:pt>
                <c:pt idx="777">
                  <c:v>20.446983000000003</c:v>
                </c:pt>
                <c:pt idx="778">
                  <c:v>20.446983000000003</c:v>
                </c:pt>
                <c:pt idx="779">
                  <c:v>20.446983000000003</c:v>
                </c:pt>
                <c:pt idx="780">
                  <c:v>20.446983000000003</c:v>
                </c:pt>
                <c:pt idx="781">
                  <c:v>20.446983000000003</c:v>
                </c:pt>
                <c:pt idx="782">
                  <c:v>20.446983000000003</c:v>
                </c:pt>
                <c:pt idx="783">
                  <c:v>20.446983000000003</c:v>
                </c:pt>
                <c:pt idx="784">
                  <c:v>20.446983000000003</c:v>
                </c:pt>
                <c:pt idx="785">
                  <c:v>20.446983000000003</c:v>
                </c:pt>
                <c:pt idx="786">
                  <c:v>20.446983000000003</c:v>
                </c:pt>
                <c:pt idx="787">
                  <c:v>20.446983000000003</c:v>
                </c:pt>
                <c:pt idx="788">
                  <c:v>20.446983000000003</c:v>
                </c:pt>
                <c:pt idx="789">
                  <c:v>20.446983000000003</c:v>
                </c:pt>
                <c:pt idx="790">
                  <c:v>20.446983000000003</c:v>
                </c:pt>
                <c:pt idx="791">
                  <c:v>20.446983000000003</c:v>
                </c:pt>
                <c:pt idx="792">
                  <c:v>20.446983000000003</c:v>
                </c:pt>
                <c:pt idx="793">
                  <c:v>20.446983000000003</c:v>
                </c:pt>
                <c:pt idx="794">
                  <c:v>20.446983000000003</c:v>
                </c:pt>
                <c:pt idx="795">
                  <c:v>20.446983000000003</c:v>
                </c:pt>
                <c:pt idx="796">
                  <c:v>20.446983000000003</c:v>
                </c:pt>
                <c:pt idx="797">
                  <c:v>20.446983000000003</c:v>
                </c:pt>
                <c:pt idx="798">
                  <c:v>20.446983000000003</c:v>
                </c:pt>
                <c:pt idx="799">
                  <c:v>20.446983000000003</c:v>
                </c:pt>
                <c:pt idx="800">
                  <c:v>20.446983000000003</c:v>
                </c:pt>
                <c:pt idx="801">
                  <c:v>20.446983000000003</c:v>
                </c:pt>
                <c:pt idx="802">
                  <c:v>20.446983000000003</c:v>
                </c:pt>
                <c:pt idx="803">
                  <c:v>20.446983000000003</c:v>
                </c:pt>
                <c:pt idx="804">
                  <c:v>20.446983000000003</c:v>
                </c:pt>
                <c:pt idx="805">
                  <c:v>20.446983000000003</c:v>
                </c:pt>
                <c:pt idx="806">
                  <c:v>20.446983000000003</c:v>
                </c:pt>
                <c:pt idx="807">
                  <c:v>20.446983000000003</c:v>
                </c:pt>
                <c:pt idx="808">
                  <c:v>20.446983000000003</c:v>
                </c:pt>
                <c:pt idx="809">
                  <c:v>20.446983000000003</c:v>
                </c:pt>
                <c:pt idx="810">
                  <c:v>20.446983000000003</c:v>
                </c:pt>
                <c:pt idx="811">
                  <c:v>20.446983000000003</c:v>
                </c:pt>
                <c:pt idx="812">
                  <c:v>20.446983000000003</c:v>
                </c:pt>
                <c:pt idx="813">
                  <c:v>20.446983000000003</c:v>
                </c:pt>
                <c:pt idx="814">
                  <c:v>20.446983000000003</c:v>
                </c:pt>
                <c:pt idx="815">
                  <c:v>20.446983000000003</c:v>
                </c:pt>
                <c:pt idx="816">
                  <c:v>20.446983000000003</c:v>
                </c:pt>
                <c:pt idx="817">
                  <c:v>20.446983000000003</c:v>
                </c:pt>
                <c:pt idx="818">
                  <c:v>20.446983000000003</c:v>
                </c:pt>
                <c:pt idx="819">
                  <c:v>20.446983000000003</c:v>
                </c:pt>
                <c:pt idx="820">
                  <c:v>20.446983000000003</c:v>
                </c:pt>
                <c:pt idx="821">
                  <c:v>20.446983000000003</c:v>
                </c:pt>
                <c:pt idx="822">
                  <c:v>20.446983000000003</c:v>
                </c:pt>
                <c:pt idx="823">
                  <c:v>20.446983000000003</c:v>
                </c:pt>
                <c:pt idx="824">
                  <c:v>20.446983000000003</c:v>
                </c:pt>
                <c:pt idx="825">
                  <c:v>20.446983000000003</c:v>
                </c:pt>
                <c:pt idx="826">
                  <c:v>20.446983000000003</c:v>
                </c:pt>
                <c:pt idx="827">
                  <c:v>20.446983000000003</c:v>
                </c:pt>
                <c:pt idx="828">
                  <c:v>20.446983000000003</c:v>
                </c:pt>
                <c:pt idx="829">
                  <c:v>20.446983000000003</c:v>
                </c:pt>
                <c:pt idx="830">
                  <c:v>20.446983000000003</c:v>
                </c:pt>
                <c:pt idx="831">
                  <c:v>20.446983000000003</c:v>
                </c:pt>
                <c:pt idx="832">
                  <c:v>20.446983000000003</c:v>
                </c:pt>
                <c:pt idx="833">
                  <c:v>20.446983000000003</c:v>
                </c:pt>
                <c:pt idx="834">
                  <c:v>20.446983000000003</c:v>
                </c:pt>
                <c:pt idx="835">
                  <c:v>20.446983000000003</c:v>
                </c:pt>
                <c:pt idx="836">
                  <c:v>20.446983000000003</c:v>
                </c:pt>
                <c:pt idx="837">
                  <c:v>20.446983000000003</c:v>
                </c:pt>
                <c:pt idx="838">
                  <c:v>20.446983000000003</c:v>
                </c:pt>
                <c:pt idx="839">
                  <c:v>20.446983000000003</c:v>
                </c:pt>
                <c:pt idx="840">
                  <c:v>20.446983000000003</c:v>
                </c:pt>
                <c:pt idx="841">
                  <c:v>20.446983000000003</c:v>
                </c:pt>
                <c:pt idx="842">
                  <c:v>20.446983000000003</c:v>
                </c:pt>
                <c:pt idx="843">
                  <c:v>20.446983000000003</c:v>
                </c:pt>
                <c:pt idx="844">
                  <c:v>20.446983000000003</c:v>
                </c:pt>
                <c:pt idx="845">
                  <c:v>20.446983000000003</c:v>
                </c:pt>
                <c:pt idx="846">
                  <c:v>20.446983000000003</c:v>
                </c:pt>
                <c:pt idx="847">
                  <c:v>20.446983000000003</c:v>
                </c:pt>
                <c:pt idx="848">
                  <c:v>20.446983000000003</c:v>
                </c:pt>
                <c:pt idx="849">
                  <c:v>20.446983000000003</c:v>
                </c:pt>
                <c:pt idx="850">
                  <c:v>20.446983000000003</c:v>
                </c:pt>
                <c:pt idx="851">
                  <c:v>20.446983000000003</c:v>
                </c:pt>
                <c:pt idx="852">
                  <c:v>20.446983000000003</c:v>
                </c:pt>
                <c:pt idx="853">
                  <c:v>20.446983000000003</c:v>
                </c:pt>
                <c:pt idx="854">
                  <c:v>20.446983000000003</c:v>
                </c:pt>
                <c:pt idx="855">
                  <c:v>20.446983000000003</c:v>
                </c:pt>
                <c:pt idx="856">
                  <c:v>20.446983000000003</c:v>
                </c:pt>
                <c:pt idx="857">
                  <c:v>20.446983000000003</c:v>
                </c:pt>
                <c:pt idx="858">
                  <c:v>20.446983000000003</c:v>
                </c:pt>
                <c:pt idx="859">
                  <c:v>20.446983000000003</c:v>
                </c:pt>
                <c:pt idx="860">
                  <c:v>20.446983000000003</c:v>
                </c:pt>
                <c:pt idx="861">
                  <c:v>20.446983000000003</c:v>
                </c:pt>
                <c:pt idx="862">
                  <c:v>20.446983000000003</c:v>
                </c:pt>
                <c:pt idx="863">
                  <c:v>20.446983000000003</c:v>
                </c:pt>
                <c:pt idx="864">
                  <c:v>20.446983000000003</c:v>
                </c:pt>
                <c:pt idx="865">
                  <c:v>20.446983000000003</c:v>
                </c:pt>
                <c:pt idx="866">
                  <c:v>20.446983000000003</c:v>
                </c:pt>
                <c:pt idx="867">
                  <c:v>20.446983000000003</c:v>
                </c:pt>
                <c:pt idx="868">
                  <c:v>20.446983000000003</c:v>
                </c:pt>
                <c:pt idx="869">
                  <c:v>20.446983000000003</c:v>
                </c:pt>
                <c:pt idx="870">
                  <c:v>20.446983000000003</c:v>
                </c:pt>
                <c:pt idx="871">
                  <c:v>20.446983000000003</c:v>
                </c:pt>
                <c:pt idx="872">
                  <c:v>20.446983000000003</c:v>
                </c:pt>
                <c:pt idx="873">
                  <c:v>20.446983000000003</c:v>
                </c:pt>
                <c:pt idx="874">
                  <c:v>20.446983000000003</c:v>
                </c:pt>
                <c:pt idx="875">
                  <c:v>20.446983000000003</c:v>
                </c:pt>
                <c:pt idx="876">
                  <c:v>20.446983000000003</c:v>
                </c:pt>
                <c:pt idx="877">
                  <c:v>20.446983000000003</c:v>
                </c:pt>
                <c:pt idx="878">
                  <c:v>20.446983000000003</c:v>
                </c:pt>
                <c:pt idx="879">
                  <c:v>20.446983000000003</c:v>
                </c:pt>
                <c:pt idx="880">
                  <c:v>20.446983000000003</c:v>
                </c:pt>
                <c:pt idx="881">
                  <c:v>20.446983000000003</c:v>
                </c:pt>
                <c:pt idx="882">
                  <c:v>20.446983000000003</c:v>
                </c:pt>
                <c:pt idx="883">
                  <c:v>20.446983000000003</c:v>
                </c:pt>
                <c:pt idx="884">
                  <c:v>20.446983000000003</c:v>
                </c:pt>
                <c:pt idx="885">
                  <c:v>20.446983000000003</c:v>
                </c:pt>
                <c:pt idx="886">
                  <c:v>20.446983000000003</c:v>
                </c:pt>
                <c:pt idx="887">
                  <c:v>20.446983000000003</c:v>
                </c:pt>
                <c:pt idx="888">
                  <c:v>20.446983000000003</c:v>
                </c:pt>
                <c:pt idx="889">
                  <c:v>20.446983000000003</c:v>
                </c:pt>
                <c:pt idx="890">
                  <c:v>20.446983000000003</c:v>
                </c:pt>
                <c:pt idx="891">
                  <c:v>20.446983000000003</c:v>
                </c:pt>
                <c:pt idx="892">
                  <c:v>20.446983000000003</c:v>
                </c:pt>
                <c:pt idx="893">
                  <c:v>20.446983000000003</c:v>
                </c:pt>
                <c:pt idx="894">
                  <c:v>20.446983000000003</c:v>
                </c:pt>
                <c:pt idx="895">
                  <c:v>20.446983000000003</c:v>
                </c:pt>
                <c:pt idx="896">
                  <c:v>20.446983000000003</c:v>
                </c:pt>
                <c:pt idx="897">
                  <c:v>20.446983000000003</c:v>
                </c:pt>
                <c:pt idx="898">
                  <c:v>20.446983000000003</c:v>
                </c:pt>
                <c:pt idx="899">
                  <c:v>20.446983000000003</c:v>
                </c:pt>
                <c:pt idx="900">
                  <c:v>20.446983000000003</c:v>
                </c:pt>
                <c:pt idx="901">
                  <c:v>20.446983000000003</c:v>
                </c:pt>
                <c:pt idx="902">
                  <c:v>20.446983000000003</c:v>
                </c:pt>
                <c:pt idx="903">
                  <c:v>20.446983000000003</c:v>
                </c:pt>
                <c:pt idx="904">
                  <c:v>20.446983000000003</c:v>
                </c:pt>
                <c:pt idx="905">
                  <c:v>20.446983000000003</c:v>
                </c:pt>
                <c:pt idx="906">
                  <c:v>20.446983000000003</c:v>
                </c:pt>
                <c:pt idx="907">
                  <c:v>20.446983000000003</c:v>
                </c:pt>
                <c:pt idx="908">
                  <c:v>20.446983000000003</c:v>
                </c:pt>
                <c:pt idx="909">
                  <c:v>20.446983000000003</c:v>
                </c:pt>
                <c:pt idx="910">
                  <c:v>20.446983000000003</c:v>
                </c:pt>
                <c:pt idx="911">
                  <c:v>20.446983000000003</c:v>
                </c:pt>
                <c:pt idx="912">
                  <c:v>20.446983000000003</c:v>
                </c:pt>
                <c:pt idx="913">
                  <c:v>20.446983000000003</c:v>
                </c:pt>
                <c:pt idx="914">
                  <c:v>20.446983000000003</c:v>
                </c:pt>
                <c:pt idx="915">
                  <c:v>20.446983000000003</c:v>
                </c:pt>
                <c:pt idx="916">
                  <c:v>20.446983000000003</c:v>
                </c:pt>
                <c:pt idx="917">
                  <c:v>20.446983000000003</c:v>
                </c:pt>
                <c:pt idx="918">
                  <c:v>20.446983000000003</c:v>
                </c:pt>
                <c:pt idx="919">
                  <c:v>20.446983000000003</c:v>
                </c:pt>
                <c:pt idx="920">
                  <c:v>20.446983000000003</c:v>
                </c:pt>
                <c:pt idx="921">
                  <c:v>20.446983000000003</c:v>
                </c:pt>
                <c:pt idx="922">
                  <c:v>20.446983000000003</c:v>
                </c:pt>
                <c:pt idx="923">
                  <c:v>20.446983000000003</c:v>
                </c:pt>
                <c:pt idx="924">
                  <c:v>20.446983000000003</c:v>
                </c:pt>
                <c:pt idx="925">
                  <c:v>20.446983000000003</c:v>
                </c:pt>
                <c:pt idx="926">
                  <c:v>20.446983000000003</c:v>
                </c:pt>
                <c:pt idx="927">
                  <c:v>20.446983000000003</c:v>
                </c:pt>
                <c:pt idx="928">
                  <c:v>20.446983000000003</c:v>
                </c:pt>
                <c:pt idx="929">
                  <c:v>20.446983000000003</c:v>
                </c:pt>
                <c:pt idx="930">
                  <c:v>20.446983000000003</c:v>
                </c:pt>
                <c:pt idx="931">
                  <c:v>20.446983000000003</c:v>
                </c:pt>
                <c:pt idx="932">
                  <c:v>20.446983000000003</c:v>
                </c:pt>
                <c:pt idx="933">
                  <c:v>20.446983000000003</c:v>
                </c:pt>
                <c:pt idx="934">
                  <c:v>20.446983000000003</c:v>
                </c:pt>
                <c:pt idx="935">
                  <c:v>20.446983000000003</c:v>
                </c:pt>
                <c:pt idx="936">
                  <c:v>20.446983000000003</c:v>
                </c:pt>
                <c:pt idx="937">
                  <c:v>20.446983000000003</c:v>
                </c:pt>
                <c:pt idx="938">
                  <c:v>20.446983000000003</c:v>
                </c:pt>
                <c:pt idx="939">
                  <c:v>20.446983000000003</c:v>
                </c:pt>
                <c:pt idx="940">
                  <c:v>20.446983000000003</c:v>
                </c:pt>
                <c:pt idx="941">
                  <c:v>20.446983000000003</c:v>
                </c:pt>
                <c:pt idx="942">
                  <c:v>20.446983000000003</c:v>
                </c:pt>
                <c:pt idx="943">
                  <c:v>20.446983000000003</c:v>
                </c:pt>
                <c:pt idx="944">
                  <c:v>20.446983000000003</c:v>
                </c:pt>
                <c:pt idx="945">
                  <c:v>20.446983000000003</c:v>
                </c:pt>
                <c:pt idx="946">
                  <c:v>20.446983000000003</c:v>
                </c:pt>
                <c:pt idx="947">
                  <c:v>20.446983000000003</c:v>
                </c:pt>
                <c:pt idx="948">
                  <c:v>20.446983000000003</c:v>
                </c:pt>
                <c:pt idx="949">
                  <c:v>20.446983000000003</c:v>
                </c:pt>
                <c:pt idx="950">
                  <c:v>20.446983000000003</c:v>
                </c:pt>
                <c:pt idx="951">
                  <c:v>20.446983000000003</c:v>
                </c:pt>
                <c:pt idx="952">
                  <c:v>20.446983000000003</c:v>
                </c:pt>
                <c:pt idx="953">
                  <c:v>20.446983000000003</c:v>
                </c:pt>
                <c:pt idx="954">
                  <c:v>20.446983000000003</c:v>
                </c:pt>
                <c:pt idx="955">
                  <c:v>20.446983000000003</c:v>
                </c:pt>
                <c:pt idx="956">
                  <c:v>20.446983000000003</c:v>
                </c:pt>
                <c:pt idx="957">
                  <c:v>20.446983000000003</c:v>
                </c:pt>
                <c:pt idx="958">
                  <c:v>20.446983000000003</c:v>
                </c:pt>
                <c:pt idx="959">
                  <c:v>20.446983000000003</c:v>
                </c:pt>
                <c:pt idx="960">
                  <c:v>20.446983000000003</c:v>
                </c:pt>
                <c:pt idx="961">
                  <c:v>20.446983000000003</c:v>
                </c:pt>
                <c:pt idx="962">
                  <c:v>20.446983000000003</c:v>
                </c:pt>
                <c:pt idx="963">
                  <c:v>20.446983000000003</c:v>
                </c:pt>
                <c:pt idx="964">
                  <c:v>20.446983000000003</c:v>
                </c:pt>
                <c:pt idx="965">
                  <c:v>20.446983000000003</c:v>
                </c:pt>
                <c:pt idx="966">
                  <c:v>20.446983000000003</c:v>
                </c:pt>
                <c:pt idx="967">
                  <c:v>20.446983000000003</c:v>
                </c:pt>
                <c:pt idx="968">
                  <c:v>20.446983000000003</c:v>
                </c:pt>
                <c:pt idx="969">
                  <c:v>20.446983000000003</c:v>
                </c:pt>
                <c:pt idx="970">
                  <c:v>20.446983000000003</c:v>
                </c:pt>
                <c:pt idx="971">
                  <c:v>20.446983000000003</c:v>
                </c:pt>
                <c:pt idx="972">
                  <c:v>20.446983000000003</c:v>
                </c:pt>
                <c:pt idx="973">
                  <c:v>20.446983000000003</c:v>
                </c:pt>
                <c:pt idx="974">
                  <c:v>20.446983000000003</c:v>
                </c:pt>
                <c:pt idx="975">
                  <c:v>20.446983000000003</c:v>
                </c:pt>
                <c:pt idx="976">
                  <c:v>20.446983000000003</c:v>
                </c:pt>
                <c:pt idx="977">
                  <c:v>20.446983000000003</c:v>
                </c:pt>
                <c:pt idx="978">
                  <c:v>20.446983000000003</c:v>
                </c:pt>
                <c:pt idx="979">
                  <c:v>20.446983000000003</c:v>
                </c:pt>
                <c:pt idx="980">
                  <c:v>20.446983000000003</c:v>
                </c:pt>
                <c:pt idx="981">
                  <c:v>20.446983000000003</c:v>
                </c:pt>
                <c:pt idx="982">
                  <c:v>20.446983000000003</c:v>
                </c:pt>
                <c:pt idx="983">
                  <c:v>20.446983000000003</c:v>
                </c:pt>
                <c:pt idx="984">
                  <c:v>20.446983000000003</c:v>
                </c:pt>
                <c:pt idx="985">
                  <c:v>20.446983000000003</c:v>
                </c:pt>
                <c:pt idx="986">
                  <c:v>20.446983000000003</c:v>
                </c:pt>
                <c:pt idx="987">
                  <c:v>20.446983000000003</c:v>
                </c:pt>
                <c:pt idx="988">
                  <c:v>20.446983000000003</c:v>
                </c:pt>
                <c:pt idx="989">
                  <c:v>20.446983000000003</c:v>
                </c:pt>
                <c:pt idx="990">
                  <c:v>20.446983000000003</c:v>
                </c:pt>
                <c:pt idx="991">
                  <c:v>20.446983000000003</c:v>
                </c:pt>
                <c:pt idx="992">
                  <c:v>20.446983000000003</c:v>
                </c:pt>
                <c:pt idx="993">
                  <c:v>20.446983000000003</c:v>
                </c:pt>
                <c:pt idx="994">
                  <c:v>20.446983000000003</c:v>
                </c:pt>
                <c:pt idx="995">
                  <c:v>20.446983000000003</c:v>
                </c:pt>
                <c:pt idx="996">
                  <c:v>20.446983000000003</c:v>
                </c:pt>
                <c:pt idx="997">
                  <c:v>20.446983000000003</c:v>
                </c:pt>
                <c:pt idx="998">
                  <c:v>20.446983000000003</c:v>
                </c:pt>
                <c:pt idx="999">
                  <c:v>20.446983000000003</c:v>
                </c:pt>
                <c:pt idx="1000">
                  <c:v>20.446983000000003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3-7045-93AD-06357D4BED02}"/>
            </c:ext>
          </c:extLst>
        </c:ser>
        <c:ser>
          <c:idx val="0"/>
          <c:order val="2"/>
          <c:tx>
            <c:strRef>
              <c:f>Courbes!$B$133</c:f>
              <c:strCache>
                <c:ptCount val="1"/>
                <c:pt idx="0">
                  <c:v>Traînée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2.1000000000000014</c:v>
                </c:pt>
                <c:pt idx="202">
                  <c:v>2.2000000000000015</c:v>
                </c:pt>
                <c:pt idx="203">
                  <c:v>2.3000000000000016</c:v>
                </c:pt>
                <c:pt idx="204">
                  <c:v>2.4000000000000017</c:v>
                </c:pt>
                <c:pt idx="205">
                  <c:v>2.5000000000000018</c:v>
                </c:pt>
                <c:pt idx="206">
                  <c:v>2.6000000000000019</c:v>
                </c:pt>
                <c:pt idx="207">
                  <c:v>2.700000000000002</c:v>
                </c:pt>
                <c:pt idx="208">
                  <c:v>2.800000000000002</c:v>
                </c:pt>
                <c:pt idx="209">
                  <c:v>2.9000000000000021</c:v>
                </c:pt>
                <c:pt idx="210">
                  <c:v>3.0000000000000022</c:v>
                </c:pt>
                <c:pt idx="211">
                  <c:v>3.1000000000000023</c:v>
                </c:pt>
                <c:pt idx="212">
                  <c:v>3.2000000000000024</c:v>
                </c:pt>
                <c:pt idx="213">
                  <c:v>3.3000000000000025</c:v>
                </c:pt>
                <c:pt idx="214">
                  <c:v>3.4000000000000026</c:v>
                </c:pt>
                <c:pt idx="215">
                  <c:v>3.5000000000000027</c:v>
                </c:pt>
                <c:pt idx="216">
                  <c:v>3.6000000000000028</c:v>
                </c:pt>
                <c:pt idx="217">
                  <c:v>3.7000000000000028</c:v>
                </c:pt>
                <c:pt idx="218">
                  <c:v>3.8000000000000029</c:v>
                </c:pt>
                <c:pt idx="219">
                  <c:v>3.900000000000003</c:v>
                </c:pt>
                <c:pt idx="220">
                  <c:v>4.0000000000000027</c:v>
                </c:pt>
                <c:pt idx="221">
                  <c:v>4.1000000000000023</c:v>
                </c:pt>
                <c:pt idx="222">
                  <c:v>4.200000000000002</c:v>
                </c:pt>
                <c:pt idx="223">
                  <c:v>4.3000000000000016</c:v>
                </c:pt>
                <c:pt idx="224">
                  <c:v>4.4000000000000012</c:v>
                </c:pt>
                <c:pt idx="225">
                  <c:v>4.5000000000000009</c:v>
                </c:pt>
                <c:pt idx="226">
                  <c:v>4.6000000000000005</c:v>
                </c:pt>
                <c:pt idx="227">
                  <c:v>4.7</c:v>
                </c:pt>
                <c:pt idx="228">
                  <c:v>4.8</c:v>
                </c:pt>
                <c:pt idx="229">
                  <c:v>4.8999999999999995</c:v>
                </c:pt>
                <c:pt idx="230">
                  <c:v>4.9999999999999991</c:v>
                </c:pt>
                <c:pt idx="231">
                  <c:v>5.0999999999999988</c:v>
                </c:pt>
                <c:pt idx="232">
                  <c:v>5.1999999999999984</c:v>
                </c:pt>
                <c:pt idx="233">
                  <c:v>5.299999999999998</c:v>
                </c:pt>
                <c:pt idx="234">
                  <c:v>5.3999999999999977</c:v>
                </c:pt>
                <c:pt idx="235">
                  <c:v>5.4999999999999973</c:v>
                </c:pt>
                <c:pt idx="236">
                  <c:v>5.599999999999997</c:v>
                </c:pt>
                <c:pt idx="237">
                  <c:v>5.6999999999999966</c:v>
                </c:pt>
                <c:pt idx="238">
                  <c:v>5.7999999999999963</c:v>
                </c:pt>
                <c:pt idx="239">
                  <c:v>5.8999999999999959</c:v>
                </c:pt>
                <c:pt idx="240">
                  <c:v>5.9999999999999956</c:v>
                </c:pt>
                <c:pt idx="241">
                  <c:v>6.0999999999999952</c:v>
                </c:pt>
                <c:pt idx="242">
                  <c:v>6.1999999999999948</c:v>
                </c:pt>
                <c:pt idx="243">
                  <c:v>6.2999999999999945</c:v>
                </c:pt>
                <c:pt idx="244">
                  <c:v>6.3999999999999941</c:v>
                </c:pt>
                <c:pt idx="245">
                  <c:v>6.4999999999999938</c:v>
                </c:pt>
                <c:pt idx="246">
                  <c:v>6.5999999999999934</c:v>
                </c:pt>
                <c:pt idx="247">
                  <c:v>6.6999999999999931</c:v>
                </c:pt>
                <c:pt idx="248">
                  <c:v>6.7999999999999927</c:v>
                </c:pt>
                <c:pt idx="249">
                  <c:v>6.8999999999999924</c:v>
                </c:pt>
                <c:pt idx="250">
                  <c:v>6.999999999999992</c:v>
                </c:pt>
                <c:pt idx="251">
                  <c:v>7.0999999999999917</c:v>
                </c:pt>
                <c:pt idx="252">
                  <c:v>7.1999999999999913</c:v>
                </c:pt>
                <c:pt idx="253">
                  <c:v>7.2999999999999909</c:v>
                </c:pt>
                <c:pt idx="254">
                  <c:v>7.3999999999999906</c:v>
                </c:pt>
                <c:pt idx="255">
                  <c:v>7.4999999999999902</c:v>
                </c:pt>
                <c:pt idx="256">
                  <c:v>7.5999999999999899</c:v>
                </c:pt>
                <c:pt idx="257">
                  <c:v>7.6999999999999895</c:v>
                </c:pt>
                <c:pt idx="258">
                  <c:v>7.7999999999999892</c:v>
                </c:pt>
                <c:pt idx="259">
                  <c:v>7.8999999999999888</c:v>
                </c:pt>
                <c:pt idx="260">
                  <c:v>7.9999999999999885</c:v>
                </c:pt>
                <c:pt idx="261">
                  <c:v>8.099999999999989</c:v>
                </c:pt>
                <c:pt idx="262">
                  <c:v>8.1999999999999886</c:v>
                </c:pt>
                <c:pt idx="263">
                  <c:v>8.2999999999999883</c:v>
                </c:pt>
                <c:pt idx="264">
                  <c:v>8.3999999999999879</c:v>
                </c:pt>
                <c:pt idx="265">
                  <c:v>8.4999999999999876</c:v>
                </c:pt>
                <c:pt idx="266">
                  <c:v>8.5999999999999872</c:v>
                </c:pt>
                <c:pt idx="267">
                  <c:v>8.6999999999999869</c:v>
                </c:pt>
                <c:pt idx="268">
                  <c:v>8.7999999999999865</c:v>
                </c:pt>
                <c:pt idx="269">
                  <c:v>8.8999999999999861</c:v>
                </c:pt>
                <c:pt idx="270">
                  <c:v>8.9999999999999858</c:v>
                </c:pt>
                <c:pt idx="271">
                  <c:v>9.0999999999999854</c:v>
                </c:pt>
                <c:pt idx="272">
                  <c:v>9.1999999999999851</c:v>
                </c:pt>
                <c:pt idx="273">
                  <c:v>9.2999999999999847</c:v>
                </c:pt>
                <c:pt idx="274">
                  <c:v>9.3999999999999844</c:v>
                </c:pt>
                <c:pt idx="275">
                  <c:v>9.499999999999984</c:v>
                </c:pt>
                <c:pt idx="276">
                  <c:v>9.5999999999999837</c:v>
                </c:pt>
                <c:pt idx="277">
                  <c:v>9.6999999999999833</c:v>
                </c:pt>
                <c:pt idx="278">
                  <c:v>9.7999999999999829</c:v>
                </c:pt>
                <c:pt idx="279">
                  <c:v>9.8999999999999826</c:v>
                </c:pt>
                <c:pt idx="280">
                  <c:v>9.9999999999999822</c:v>
                </c:pt>
                <c:pt idx="281">
                  <c:v>10.099999999999982</c:v>
                </c:pt>
                <c:pt idx="282">
                  <c:v>10.199999999999982</c:v>
                </c:pt>
                <c:pt idx="283">
                  <c:v>10.299999999999981</c:v>
                </c:pt>
                <c:pt idx="284">
                  <c:v>10.399999999999981</c:v>
                </c:pt>
                <c:pt idx="285">
                  <c:v>10.49999999999998</c:v>
                </c:pt>
                <c:pt idx="286">
                  <c:v>10.59999999999998</c:v>
                </c:pt>
                <c:pt idx="287">
                  <c:v>10.69999999999998</c:v>
                </c:pt>
                <c:pt idx="288">
                  <c:v>10.799999999999979</c:v>
                </c:pt>
                <c:pt idx="289">
                  <c:v>10.899999999999979</c:v>
                </c:pt>
                <c:pt idx="290">
                  <c:v>10.999999999999979</c:v>
                </c:pt>
                <c:pt idx="291">
                  <c:v>11.099999999999978</c:v>
                </c:pt>
                <c:pt idx="292">
                  <c:v>11.199999999999978</c:v>
                </c:pt>
                <c:pt idx="293">
                  <c:v>11.299999999999978</c:v>
                </c:pt>
                <c:pt idx="294">
                  <c:v>11.399999999999977</c:v>
                </c:pt>
                <c:pt idx="295">
                  <c:v>11.499999999999977</c:v>
                </c:pt>
                <c:pt idx="296">
                  <c:v>11.599999999999977</c:v>
                </c:pt>
                <c:pt idx="297">
                  <c:v>11.699999999999976</c:v>
                </c:pt>
                <c:pt idx="298">
                  <c:v>11.799999999999976</c:v>
                </c:pt>
                <c:pt idx="299">
                  <c:v>11.899999999999975</c:v>
                </c:pt>
                <c:pt idx="300">
                  <c:v>11.999999999999975</c:v>
                </c:pt>
                <c:pt idx="301">
                  <c:v>12.000099999999975</c:v>
                </c:pt>
                <c:pt idx="302">
                  <c:v>12.000199999999975</c:v>
                </c:pt>
                <c:pt idx="303">
                  <c:v>12.000299999999974</c:v>
                </c:pt>
                <c:pt idx="304">
                  <c:v>12.000399999999974</c:v>
                </c:pt>
                <c:pt idx="305">
                  <c:v>12.000499999999974</c:v>
                </c:pt>
                <c:pt idx="306">
                  <c:v>12.000599999999974</c:v>
                </c:pt>
                <c:pt idx="307">
                  <c:v>12.000699999999973</c:v>
                </c:pt>
                <c:pt idx="308">
                  <c:v>12.000799999999973</c:v>
                </c:pt>
                <c:pt idx="309">
                  <c:v>12.000899999999973</c:v>
                </c:pt>
                <c:pt idx="310">
                  <c:v>12.000999999999973</c:v>
                </c:pt>
                <c:pt idx="311">
                  <c:v>12.001099999999973</c:v>
                </c:pt>
                <c:pt idx="312">
                  <c:v>12.001199999999972</c:v>
                </c:pt>
                <c:pt idx="313">
                  <c:v>12.001299999999972</c:v>
                </c:pt>
                <c:pt idx="314">
                  <c:v>12.001399999999972</c:v>
                </c:pt>
                <c:pt idx="315">
                  <c:v>12.001499999999972</c:v>
                </c:pt>
                <c:pt idx="316">
                  <c:v>12.001599999999971</c:v>
                </c:pt>
                <c:pt idx="317">
                  <c:v>12.001699999999971</c:v>
                </c:pt>
                <c:pt idx="318">
                  <c:v>12.001799999999971</c:v>
                </c:pt>
                <c:pt idx="319">
                  <c:v>12.001899999999971</c:v>
                </c:pt>
                <c:pt idx="320">
                  <c:v>12.00199999999997</c:v>
                </c:pt>
                <c:pt idx="321">
                  <c:v>12.00209999999997</c:v>
                </c:pt>
                <c:pt idx="322">
                  <c:v>12.00219999999997</c:v>
                </c:pt>
                <c:pt idx="323">
                  <c:v>12.00229999999997</c:v>
                </c:pt>
                <c:pt idx="324">
                  <c:v>12.00239999999997</c:v>
                </c:pt>
                <c:pt idx="325">
                  <c:v>12.002499999999969</c:v>
                </c:pt>
                <c:pt idx="326">
                  <c:v>12.002599999999969</c:v>
                </c:pt>
                <c:pt idx="327">
                  <c:v>12.002699999999969</c:v>
                </c:pt>
                <c:pt idx="328">
                  <c:v>12.002799999999969</c:v>
                </c:pt>
                <c:pt idx="329">
                  <c:v>12.002899999999968</c:v>
                </c:pt>
                <c:pt idx="330">
                  <c:v>12.002999999999968</c:v>
                </c:pt>
                <c:pt idx="331">
                  <c:v>12.003099999999968</c:v>
                </c:pt>
                <c:pt idx="332">
                  <c:v>12.003199999999968</c:v>
                </c:pt>
                <c:pt idx="333">
                  <c:v>12.003299999999967</c:v>
                </c:pt>
                <c:pt idx="334">
                  <c:v>12.003399999999967</c:v>
                </c:pt>
                <c:pt idx="335">
                  <c:v>12.003499999999967</c:v>
                </c:pt>
                <c:pt idx="336">
                  <c:v>12.003599999999967</c:v>
                </c:pt>
                <c:pt idx="337">
                  <c:v>12.003699999999967</c:v>
                </c:pt>
                <c:pt idx="338">
                  <c:v>12.003799999999966</c:v>
                </c:pt>
                <c:pt idx="339">
                  <c:v>12.003899999999966</c:v>
                </c:pt>
                <c:pt idx="340">
                  <c:v>12.003999999999966</c:v>
                </c:pt>
                <c:pt idx="341">
                  <c:v>12.004099999999966</c:v>
                </c:pt>
                <c:pt idx="342">
                  <c:v>12.004199999999965</c:v>
                </c:pt>
                <c:pt idx="343">
                  <c:v>12.004299999999965</c:v>
                </c:pt>
                <c:pt idx="344">
                  <c:v>12.004399999999965</c:v>
                </c:pt>
                <c:pt idx="345">
                  <c:v>12.004499999999965</c:v>
                </c:pt>
                <c:pt idx="346">
                  <c:v>12.004599999999964</c:v>
                </c:pt>
                <c:pt idx="347">
                  <c:v>12.004699999999964</c:v>
                </c:pt>
                <c:pt idx="348">
                  <c:v>12.004799999999964</c:v>
                </c:pt>
                <c:pt idx="349">
                  <c:v>12.004899999999964</c:v>
                </c:pt>
                <c:pt idx="350">
                  <c:v>12.004999999999963</c:v>
                </c:pt>
                <c:pt idx="351">
                  <c:v>12.005099999999963</c:v>
                </c:pt>
                <c:pt idx="352">
                  <c:v>12.005199999999963</c:v>
                </c:pt>
                <c:pt idx="353">
                  <c:v>12.005299999999963</c:v>
                </c:pt>
                <c:pt idx="354">
                  <c:v>12.005399999999963</c:v>
                </c:pt>
                <c:pt idx="355">
                  <c:v>12.005499999999962</c:v>
                </c:pt>
                <c:pt idx="356">
                  <c:v>12.005599999999962</c:v>
                </c:pt>
                <c:pt idx="357">
                  <c:v>12.005699999999962</c:v>
                </c:pt>
                <c:pt idx="358">
                  <c:v>12.005799999999962</c:v>
                </c:pt>
                <c:pt idx="359">
                  <c:v>12.005899999999961</c:v>
                </c:pt>
                <c:pt idx="360">
                  <c:v>12.005999999999961</c:v>
                </c:pt>
                <c:pt idx="361">
                  <c:v>12.006099999999961</c:v>
                </c:pt>
                <c:pt idx="362">
                  <c:v>12.006199999999961</c:v>
                </c:pt>
                <c:pt idx="363">
                  <c:v>12.00629999999996</c:v>
                </c:pt>
                <c:pt idx="364">
                  <c:v>12.00639999999996</c:v>
                </c:pt>
                <c:pt idx="365">
                  <c:v>12.00649999999996</c:v>
                </c:pt>
                <c:pt idx="366">
                  <c:v>12.00659999999996</c:v>
                </c:pt>
                <c:pt idx="367">
                  <c:v>12.00669999999996</c:v>
                </c:pt>
                <c:pt idx="368">
                  <c:v>12.006799999999959</c:v>
                </c:pt>
                <c:pt idx="369">
                  <c:v>12.006899999999959</c:v>
                </c:pt>
                <c:pt idx="370">
                  <c:v>12.006999999999959</c:v>
                </c:pt>
                <c:pt idx="371">
                  <c:v>12.007099999999959</c:v>
                </c:pt>
                <c:pt idx="372">
                  <c:v>12.007199999999958</c:v>
                </c:pt>
                <c:pt idx="373">
                  <c:v>12.007299999999958</c:v>
                </c:pt>
                <c:pt idx="374">
                  <c:v>12.007399999999958</c:v>
                </c:pt>
                <c:pt idx="375">
                  <c:v>12.007499999999958</c:v>
                </c:pt>
                <c:pt idx="376">
                  <c:v>12.007599999999957</c:v>
                </c:pt>
                <c:pt idx="377">
                  <c:v>12.007699999999957</c:v>
                </c:pt>
                <c:pt idx="378">
                  <c:v>12.007799999999957</c:v>
                </c:pt>
                <c:pt idx="379">
                  <c:v>12.007899999999957</c:v>
                </c:pt>
                <c:pt idx="380">
                  <c:v>12.007999999999956</c:v>
                </c:pt>
                <c:pt idx="381">
                  <c:v>12.008099999999956</c:v>
                </c:pt>
                <c:pt idx="382">
                  <c:v>12.008199999999956</c:v>
                </c:pt>
                <c:pt idx="383">
                  <c:v>12.008299999999956</c:v>
                </c:pt>
                <c:pt idx="384">
                  <c:v>12.008399999999956</c:v>
                </c:pt>
                <c:pt idx="385">
                  <c:v>12.008499999999955</c:v>
                </c:pt>
                <c:pt idx="386">
                  <c:v>12.008599999999955</c:v>
                </c:pt>
                <c:pt idx="387">
                  <c:v>12.008699999999955</c:v>
                </c:pt>
                <c:pt idx="388">
                  <c:v>12.008799999999955</c:v>
                </c:pt>
                <c:pt idx="389">
                  <c:v>12.008899999999954</c:v>
                </c:pt>
                <c:pt idx="390">
                  <c:v>12.008999999999954</c:v>
                </c:pt>
                <c:pt idx="391">
                  <c:v>12.009099999999954</c:v>
                </c:pt>
                <c:pt idx="392">
                  <c:v>12.009199999999954</c:v>
                </c:pt>
                <c:pt idx="393">
                  <c:v>12.009299999999953</c:v>
                </c:pt>
                <c:pt idx="394">
                  <c:v>12.009399999999953</c:v>
                </c:pt>
                <c:pt idx="395">
                  <c:v>12.009499999999953</c:v>
                </c:pt>
                <c:pt idx="396">
                  <c:v>12.009599999999953</c:v>
                </c:pt>
                <c:pt idx="397">
                  <c:v>12.009699999999953</c:v>
                </c:pt>
                <c:pt idx="398">
                  <c:v>12.009799999999952</c:v>
                </c:pt>
                <c:pt idx="399">
                  <c:v>12.009899999999952</c:v>
                </c:pt>
                <c:pt idx="400">
                  <c:v>12.009999999999952</c:v>
                </c:pt>
                <c:pt idx="401">
                  <c:v>12.010099999999952</c:v>
                </c:pt>
                <c:pt idx="402">
                  <c:v>12.010199999999951</c:v>
                </c:pt>
                <c:pt idx="403">
                  <c:v>12.010299999999951</c:v>
                </c:pt>
                <c:pt idx="404">
                  <c:v>12.010399999999951</c:v>
                </c:pt>
                <c:pt idx="405">
                  <c:v>12.010499999999951</c:v>
                </c:pt>
                <c:pt idx="406">
                  <c:v>12.01059999999995</c:v>
                </c:pt>
                <c:pt idx="407">
                  <c:v>12.01069999999995</c:v>
                </c:pt>
                <c:pt idx="408">
                  <c:v>12.01079999999995</c:v>
                </c:pt>
                <c:pt idx="409">
                  <c:v>12.01089999999995</c:v>
                </c:pt>
                <c:pt idx="410">
                  <c:v>12.010999999999949</c:v>
                </c:pt>
                <c:pt idx="411">
                  <c:v>12.011099999999949</c:v>
                </c:pt>
                <c:pt idx="412">
                  <c:v>12.011199999999949</c:v>
                </c:pt>
                <c:pt idx="413">
                  <c:v>12.011299999999949</c:v>
                </c:pt>
                <c:pt idx="414">
                  <c:v>12.011399999999949</c:v>
                </c:pt>
                <c:pt idx="415">
                  <c:v>12.011499999999948</c:v>
                </c:pt>
                <c:pt idx="416">
                  <c:v>12.011599999999948</c:v>
                </c:pt>
                <c:pt idx="417">
                  <c:v>12.011699999999948</c:v>
                </c:pt>
                <c:pt idx="418">
                  <c:v>12.011799999999948</c:v>
                </c:pt>
                <c:pt idx="419">
                  <c:v>12.011899999999947</c:v>
                </c:pt>
                <c:pt idx="420">
                  <c:v>12.011999999999947</c:v>
                </c:pt>
                <c:pt idx="421">
                  <c:v>12.012099999999947</c:v>
                </c:pt>
                <c:pt idx="422">
                  <c:v>12.012199999999947</c:v>
                </c:pt>
                <c:pt idx="423">
                  <c:v>12.012299999999946</c:v>
                </c:pt>
                <c:pt idx="424">
                  <c:v>12.012399999999946</c:v>
                </c:pt>
                <c:pt idx="425">
                  <c:v>12.012499999999946</c:v>
                </c:pt>
                <c:pt idx="426">
                  <c:v>12.012599999999946</c:v>
                </c:pt>
                <c:pt idx="427">
                  <c:v>12.012699999999946</c:v>
                </c:pt>
                <c:pt idx="428">
                  <c:v>12.012799999999945</c:v>
                </c:pt>
                <c:pt idx="429">
                  <c:v>12.012899999999945</c:v>
                </c:pt>
                <c:pt idx="430">
                  <c:v>12.012999999999945</c:v>
                </c:pt>
                <c:pt idx="431">
                  <c:v>12.013099999999945</c:v>
                </c:pt>
                <c:pt idx="432">
                  <c:v>12.013199999999944</c:v>
                </c:pt>
                <c:pt idx="433">
                  <c:v>12.013299999999944</c:v>
                </c:pt>
                <c:pt idx="434">
                  <c:v>12.013399999999944</c:v>
                </c:pt>
                <c:pt idx="435">
                  <c:v>12.013499999999944</c:v>
                </c:pt>
                <c:pt idx="436">
                  <c:v>12.013599999999943</c:v>
                </c:pt>
                <c:pt idx="437">
                  <c:v>12.013699999999943</c:v>
                </c:pt>
                <c:pt idx="438">
                  <c:v>12.013799999999943</c:v>
                </c:pt>
                <c:pt idx="439">
                  <c:v>12.013899999999943</c:v>
                </c:pt>
                <c:pt idx="440">
                  <c:v>12.013999999999943</c:v>
                </c:pt>
                <c:pt idx="441">
                  <c:v>12.014099999999942</c:v>
                </c:pt>
                <c:pt idx="442">
                  <c:v>12.014199999999942</c:v>
                </c:pt>
                <c:pt idx="443">
                  <c:v>12.014299999999942</c:v>
                </c:pt>
                <c:pt idx="444">
                  <c:v>12.014399999999942</c:v>
                </c:pt>
                <c:pt idx="445">
                  <c:v>12.014499999999941</c:v>
                </c:pt>
                <c:pt idx="446">
                  <c:v>12.014599999999941</c:v>
                </c:pt>
                <c:pt idx="447">
                  <c:v>12.014699999999941</c:v>
                </c:pt>
                <c:pt idx="448">
                  <c:v>12.014799999999941</c:v>
                </c:pt>
                <c:pt idx="449">
                  <c:v>12.01489999999994</c:v>
                </c:pt>
                <c:pt idx="450">
                  <c:v>12.01499999999994</c:v>
                </c:pt>
                <c:pt idx="451">
                  <c:v>12.01509999999994</c:v>
                </c:pt>
                <c:pt idx="452">
                  <c:v>12.01519999999994</c:v>
                </c:pt>
                <c:pt idx="453">
                  <c:v>12.015299999999939</c:v>
                </c:pt>
                <c:pt idx="454">
                  <c:v>12.015399999999939</c:v>
                </c:pt>
                <c:pt idx="455">
                  <c:v>12.015499999999939</c:v>
                </c:pt>
                <c:pt idx="456">
                  <c:v>12.015599999999939</c:v>
                </c:pt>
                <c:pt idx="457">
                  <c:v>12.015699999999939</c:v>
                </c:pt>
                <c:pt idx="458">
                  <c:v>12.015799999999938</c:v>
                </c:pt>
                <c:pt idx="459">
                  <c:v>12.015899999999938</c:v>
                </c:pt>
                <c:pt idx="460">
                  <c:v>12.015999999999938</c:v>
                </c:pt>
                <c:pt idx="461">
                  <c:v>12.016099999999938</c:v>
                </c:pt>
                <c:pt idx="462">
                  <c:v>12.016199999999937</c:v>
                </c:pt>
                <c:pt idx="463">
                  <c:v>12.016299999999937</c:v>
                </c:pt>
                <c:pt idx="464">
                  <c:v>12.016399999999937</c:v>
                </c:pt>
                <c:pt idx="465">
                  <c:v>12.016499999999937</c:v>
                </c:pt>
                <c:pt idx="466">
                  <c:v>12.016599999999936</c:v>
                </c:pt>
                <c:pt idx="467">
                  <c:v>12.016699999999936</c:v>
                </c:pt>
                <c:pt idx="468">
                  <c:v>12.016799999999936</c:v>
                </c:pt>
                <c:pt idx="469">
                  <c:v>12.016899999999936</c:v>
                </c:pt>
                <c:pt idx="470">
                  <c:v>12.016999999999936</c:v>
                </c:pt>
                <c:pt idx="471">
                  <c:v>12.017099999999935</c:v>
                </c:pt>
                <c:pt idx="472">
                  <c:v>12.017199999999935</c:v>
                </c:pt>
                <c:pt idx="473">
                  <c:v>12.017299999999935</c:v>
                </c:pt>
                <c:pt idx="474">
                  <c:v>12.017399999999935</c:v>
                </c:pt>
                <c:pt idx="475">
                  <c:v>12.017499999999934</c:v>
                </c:pt>
                <c:pt idx="476">
                  <c:v>12.017599999999934</c:v>
                </c:pt>
                <c:pt idx="477">
                  <c:v>12.017699999999934</c:v>
                </c:pt>
                <c:pt idx="478">
                  <c:v>12.017799999999934</c:v>
                </c:pt>
                <c:pt idx="479">
                  <c:v>12.017899999999933</c:v>
                </c:pt>
                <c:pt idx="480">
                  <c:v>12.017999999999933</c:v>
                </c:pt>
                <c:pt idx="481">
                  <c:v>12.018099999999933</c:v>
                </c:pt>
                <c:pt idx="482">
                  <c:v>12.018199999999933</c:v>
                </c:pt>
                <c:pt idx="483">
                  <c:v>12.018299999999932</c:v>
                </c:pt>
                <c:pt idx="484">
                  <c:v>12.018399999999932</c:v>
                </c:pt>
                <c:pt idx="485">
                  <c:v>12.018499999999932</c:v>
                </c:pt>
                <c:pt idx="486">
                  <c:v>12.018599999999932</c:v>
                </c:pt>
                <c:pt idx="487">
                  <c:v>12.018699999999932</c:v>
                </c:pt>
                <c:pt idx="488">
                  <c:v>12.018799999999931</c:v>
                </c:pt>
                <c:pt idx="489">
                  <c:v>12.018899999999931</c:v>
                </c:pt>
                <c:pt idx="490">
                  <c:v>12.018999999999931</c:v>
                </c:pt>
                <c:pt idx="491">
                  <c:v>12.019099999999931</c:v>
                </c:pt>
                <c:pt idx="492">
                  <c:v>12.01919999999993</c:v>
                </c:pt>
                <c:pt idx="493">
                  <c:v>12.01929999999993</c:v>
                </c:pt>
                <c:pt idx="494">
                  <c:v>12.01939999999993</c:v>
                </c:pt>
                <c:pt idx="495">
                  <c:v>12.01949999999993</c:v>
                </c:pt>
                <c:pt idx="496">
                  <c:v>12.019599999999929</c:v>
                </c:pt>
                <c:pt idx="497">
                  <c:v>12.019699999999929</c:v>
                </c:pt>
                <c:pt idx="498">
                  <c:v>12.019799999999929</c:v>
                </c:pt>
                <c:pt idx="499">
                  <c:v>12.019899999999929</c:v>
                </c:pt>
                <c:pt idx="500">
                  <c:v>12.019999999999929</c:v>
                </c:pt>
                <c:pt idx="501">
                  <c:v>12.020099999999928</c:v>
                </c:pt>
                <c:pt idx="502">
                  <c:v>12.020199999999928</c:v>
                </c:pt>
                <c:pt idx="503">
                  <c:v>12.020299999999928</c:v>
                </c:pt>
                <c:pt idx="504">
                  <c:v>12.020399999999928</c:v>
                </c:pt>
                <c:pt idx="505">
                  <c:v>12.020499999999927</c:v>
                </c:pt>
                <c:pt idx="506">
                  <c:v>12.020599999999927</c:v>
                </c:pt>
                <c:pt idx="507">
                  <c:v>12.020699999999927</c:v>
                </c:pt>
                <c:pt idx="508">
                  <c:v>12.020799999999927</c:v>
                </c:pt>
                <c:pt idx="509">
                  <c:v>12.020899999999926</c:v>
                </c:pt>
                <c:pt idx="510">
                  <c:v>12.020999999999926</c:v>
                </c:pt>
                <c:pt idx="511">
                  <c:v>12.021099999999926</c:v>
                </c:pt>
                <c:pt idx="512">
                  <c:v>12.021199999999926</c:v>
                </c:pt>
                <c:pt idx="513">
                  <c:v>12.021299999999925</c:v>
                </c:pt>
                <c:pt idx="514">
                  <c:v>12.021399999999925</c:v>
                </c:pt>
                <c:pt idx="515">
                  <c:v>12.021499999999925</c:v>
                </c:pt>
                <c:pt idx="516">
                  <c:v>12.021599999999925</c:v>
                </c:pt>
                <c:pt idx="517">
                  <c:v>12.021699999999925</c:v>
                </c:pt>
                <c:pt idx="518">
                  <c:v>12.021799999999924</c:v>
                </c:pt>
                <c:pt idx="519">
                  <c:v>12.021899999999924</c:v>
                </c:pt>
                <c:pt idx="520">
                  <c:v>12.021999999999924</c:v>
                </c:pt>
                <c:pt idx="521">
                  <c:v>12.022099999999924</c:v>
                </c:pt>
                <c:pt idx="522">
                  <c:v>12.022199999999923</c:v>
                </c:pt>
                <c:pt idx="523">
                  <c:v>12.022299999999923</c:v>
                </c:pt>
                <c:pt idx="524">
                  <c:v>12.022399999999923</c:v>
                </c:pt>
                <c:pt idx="525">
                  <c:v>12.022499999999923</c:v>
                </c:pt>
                <c:pt idx="526">
                  <c:v>12.022599999999922</c:v>
                </c:pt>
                <c:pt idx="527">
                  <c:v>12.022699999999922</c:v>
                </c:pt>
                <c:pt idx="528">
                  <c:v>12.022799999999922</c:v>
                </c:pt>
                <c:pt idx="529">
                  <c:v>12.022899999999922</c:v>
                </c:pt>
                <c:pt idx="530">
                  <c:v>12.022999999999922</c:v>
                </c:pt>
                <c:pt idx="531">
                  <c:v>12.023099999999921</c:v>
                </c:pt>
                <c:pt idx="532">
                  <c:v>12.023199999999921</c:v>
                </c:pt>
                <c:pt idx="533">
                  <c:v>12.023299999999921</c:v>
                </c:pt>
                <c:pt idx="534">
                  <c:v>12.023399999999921</c:v>
                </c:pt>
                <c:pt idx="535">
                  <c:v>12.02349999999992</c:v>
                </c:pt>
                <c:pt idx="536">
                  <c:v>12.02359999999992</c:v>
                </c:pt>
                <c:pt idx="537">
                  <c:v>12.02369999999992</c:v>
                </c:pt>
                <c:pt idx="538">
                  <c:v>12.02379999999992</c:v>
                </c:pt>
                <c:pt idx="539">
                  <c:v>12.023899999999919</c:v>
                </c:pt>
                <c:pt idx="540">
                  <c:v>12.023999999999919</c:v>
                </c:pt>
                <c:pt idx="541">
                  <c:v>12.024099999999919</c:v>
                </c:pt>
                <c:pt idx="542">
                  <c:v>12.024199999999919</c:v>
                </c:pt>
                <c:pt idx="543">
                  <c:v>12.024299999999918</c:v>
                </c:pt>
                <c:pt idx="544">
                  <c:v>12.024399999999918</c:v>
                </c:pt>
                <c:pt idx="545">
                  <c:v>12.024499999999918</c:v>
                </c:pt>
                <c:pt idx="546">
                  <c:v>12.024599999999918</c:v>
                </c:pt>
                <c:pt idx="547">
                  <c:v>12.024699999999918</c:v>
                </c:pt>
                <c:pt idx="548">
                  <c:v>12.024799999999917</c:v>
                </c:pt>
                <c:pt idx="549">
                  <c:v>12.024899999999917</c:v>
                </c:pt>
                <c:pt idx="550">
                  <c:v>12.024999999999917</c:v>
                </c:pt>
                <c:pt idx="551">
                  <c:v>12.025099999999917</c:v>
                </c:pt>
                <c:pt idx="552">
                  <c:v>12.025199999999916</c:v>
                </c:pt>
                <c:pt idx="553">
                  <c:v>12.025299999999916</c:v>
                </c:pt>
                <c:pt idx="554">
                  <c:v>12.025399999999916</c:v>
                </c:pt>
                <c:pt idx="555">
                  <c:v>12.025499999999916</c:v>
                </c:pt>
                <c:pt idx="556">
                  <c:v>12.025599999999915</c:v>
                </c:pt>
                <c:pt idx="557">
                  <c:v>12.025699999999915</c:v>
                </c:pt>
                <c:pt idx="558">
                  <c:v>12.025799999999915</c:v>
                </c:pt>
                <c:pt idx="559">
                  <c:v>12.025899999999915</c:v>
                </c:pt>
                <c:pt idx="560">
                  <c:v>12.025999999999915</c:v>
                </c:pt>
                <c:pt idx="561">
                  <c:v>12.026099999999914</c:v>
                </c:pt>
                <c:pt idx="562">
                  <c:v>12.026199999999914</c:v>
                </c:pt>
                <c:pt idx="563">
                  <c:v>12.026299999999914</c:v>
                </c:pt>
                <c:pt idx="564">
                  <c:v>12.026399999999914</c:v>
                </c:pt>
                <c:pt idx="565">
                  <c:v>12.026499999999913</c:v>
                </c:pt>
                <c:pt idx="566">
                  <c:v>12.026599999999913</c:v>
                </c:pt>
                <c:pt idx="567">
                  <c:v>12.026699999999913</c:v>
                </c:pt>
                <c:pt idx="568">
                  <c:v>12.026799999999913</c:v>
                </c:pt>
                <c:pt idx="569">
                  <c:v>12.026899999999912</c:v>
                </c:pt>
                <c:pt idx="570">
                  <c:v>12.026999999999912</c:v>
                </c:pt>
                <c:pt idx="571">
                  <c:v>12.027099999999912</c:v>
                </c:pt>
                <c:pt idx="572">
                  <c:v>12.027199999999912</c:v>
                </c:pt>
                <c:pt idx="573">
                  <c:v>12.027299999999912</c:v>
                </c:pt>
                <c:pt idx="574">
                  <c:v>12.027399999999911</c:v>
                </c:pt>
                <c:pt idx="575">
                  <c:v>12.027499999999911</c:v>
                </c:pt>
                <c:pt idx="576">
                  <c:v>12.027599999999911</c:v>
                </c:pt>
                <c:pt idx="577">
                  <c:v>12.027699999999911</c:v>
                </c:pt>
                <c:pt idx="578">
                  <c:v>12.02779999999991</c:v>
                </c:pt>
                <c:pt idx="579">
                  <c:v>12.02789999999991</c:v>
                </c:pt>
                <c:pt idx="580">
                  <c:v>12.02799999999991</c:v>
                </c:pt>
                <c:pt idx="581">
                  <c:v>12.02809999999991</c:v>
                </c:pt>
                <c:pt idx="582">
                  <c:v>12.028199999999909</c:v>
                </c:pt>
                <c:pt idx="583">
                  <c:v>12.028299999999909</c:v>
                </c:pt>
                <c:pt idx="584">
                  <c:v>12.028399999999909</c:v>
                </c:pt>
                <c:pt idx="585">
                  <c:v>12.028499999999909</c:v>
                </c:pt>
                <c:pt idx="586">
                  <c:v>12.028599999999908</c:v>
                </c:pt>
                <c:pt idx="587">
                  <c:v>12.028699999999908</c:v>
                </c:pt>
                <c:pt idx="588">
                  <c:v>12.028799999999908</c:v>
                </c:pt>
                <c:pt idx="589">
                  <c:v>12.028899999999908</c:v>
                </c:pt>
                <c:pt idx="590">
                  <c:v>12.028999999999908</c:v>
                </c:pt>
                <c:pt idx="591">
                  <c:v>12.029099999999907</c:v>
                </c:pt>
                <c:pt idx="592">
                  <c:v>12.029199999999907</c:v>
                </c:pt>
                <c:pt idx="593">
                  <c:v>12.029299999999907</c:v>
                </c:pt>
                <c:pt idx="594">
                  <c:v>12.029399999999907</c:v>
                </c:pt>
                <c:pt idx="595">
                  <c:v>12.029499999999906</c:v>
                </c:pt>
                <c:pt idx="596">
                  <c:v>12.029599999999906</c:v>
                </c:pt>
                <c:pt idx="597">
                  <c:v>12.029699999999906</c:v>
                </c:pt>
                <c:pt idx="598">
                  <c:v>12.029799999999906</c:v>
                </c:pt>
                <c:pt idx="599">
                  <c:v>12.029899999999905</c:v>
                </c:pt>
                <c:pt idx="600">
                  <c:v>12.029999999999905</c:v>
                </c:pt>
                <c:pt idx="601">
                  <c:v>12.030099999999905</c:v>
                </c:pt>
                <c:pt idx="602">
                  <c:v>12.030199999999905</c:v>
                </c:pt>
                <c:pt idx="603">
                  <c:v>12.030299999999905</c:v>
                </c:pt>
                <c:pt idx="604">
                  <c:v>12.030399999999904</c:v>
                </c:pt>
                <c:pt idx="605">
                  <c:v>12.030499999999904</c:v>
                </c:pt>
                <c:pt idx="606">
                  <c:v>12.030599999999904</c:v>
                </c:pt>
                <c:pt idx="607">
                  <c:v>12.030699999999904</c:v>
                </c:pt>
                <c:pt idx="608">
                  <c:v>12.030799999999903</c:v>
                </c:pt>
                <c:pt idx="609">
                  <c:v>12.030899999999903</c:v>
                </c:pt>
                <c:pt idx="610">
                  <c:v>12.030999999999903</c:v>
                </c:pt>
                <c:pt idx="611">
                  <c:v>12.031099999999903</c:v>
                </c:pt>
                <c:pt idx="612">
                  <c:v>12.031199999999902</c:v>
                </c:pt>
                <c:pt idx="613">
                  <c:v>12.031299999999902</c:v>
                </c:pt>
                <c:pt idx="614">
                  <c:v>12.031399999999902</c:v>
                </c:pt>
                <c:pt idx="615">
                  <c:v>12.031499999999902</c:v>
                </c:pt>
                <c:pt idx="616">
                  <c:v>12.031599999999901</c:v>
                </c:pt>
                <c:pt idx="617">
                  <c:v>12.031699999999901</c:v>
                </c:pt>
                <c:pt idx="618">
                  <c:v>12.031799999999901</c:v>
                </c:pt>
                <c:pt idx="619">
                  <c:v>12.031899999999901</c:v>
                </c:pt>
                <c:pt idx="620">
                  <c:v>12.031999999999901</c:v>
                </c:pt>
                <c:pt idx="621">
                  <c:v>12.0320999999999</c:v>
                </c:pt>
                <c:pt idx="622">
                  <c:v>12.0321999999999</c:v>
                </c:pt>
                <c:pt idx="623">
                  <c:v>12.0322999999999</c:v>
                </c:pt>
                <c:pt idx="624">
                  <c:v>12.0323999999999</c:v>
                </c:pt>
                <c:pt idx="625">
                  <c:v>12.032499999999899</c:v>
                </c:pt>
                <c:pt idx="626">
                  <c:v>12.032599999999899</c:v>
                </c:pt>
                <c:pt idx="627">
                  <c:v>12.032699999999899</c:v>
                </c:pt>
                <c:pt idx="628">
                  <c:v>12.032799999999899</c:v>
                </c:pt>
                <c:pt idx="629">
                  <c:v>12.032899999999898</c:v>
                </c:pt>
                <c:pt idx="630">
                  <c:v>12.032999999999898</c:v>
                </c:pt>
                <c:pt idx="631">
                  <c:v>12.033099999999898</c:v>
                </c:pt>
                <c:pt idx="632">
                  <c:v>12.033199999999898</c:v>
                </c:pt>
                <c:pt idx="633">
                  <c:v>12.033299999999898</c:v>
                </c:pt>
                <c:pt idx="634">
                  <c:v>12.033399999999897</c:v>
                </c:pt>
                <c:pt idx="635">
                  <c:v>12.033499999999897</c:v>
                </c:pt>
                <c:pt idx="636">
                  <c:v>12.033599999999897</c:v>
                </c:pt>
                <c:pt idx="637">
                  <c:v>12.033699999999897</c:v>
                </c:pt>
                <c:pt idx="638">
                  <c:v>12.033799999999896</c:v>
                </c:pt>
                <c:pt idx="639">
                  <c:v>12.033899999999896</c:v>
                </c:pt>
                <c:pt idx="640">
                  <c:v>12.033999999999896</c:v>
                </c:pt>
                <c:pt idx="641">
                  <c:v>12.034099999999896</c:v>
                </c:pt>
                <c:pt idx="642">
                  <c:v>12.034199999999895</c:v>
                </c:pt>
                <c:pt idx="643">
                  <c:v>12.034299999999895</c:v>
                </c:pt>
                <c:pt idx="644">
                  <c:v>12.034399999999895</c:v>
                </c:pt>
                <c:pt idx="645">
                  <c:v>12.034499999999895</c:v>
                </c:pt>
                <c:pt idx="646">
                  <c:v>12.034599999999894</c:v>
                </c:pt>
                <c:pt idx="647">
                  <c:v>12.034699999999894</c:v>
                </c:pt>
                <c:pt idx="648">
                  <c:v>12.034799999999894</c:v>
                </c:pt>
                <c:pt idx="649">
                  <c:v>12.034899999999894</c:v>
                </c:pt>
                <c:pt idx="650">
                  <c:v>12.034999999999894</c:v>
                </c:pt>
                <c:pt idx="651">
                  <c:v>12.035099999999893</c:v>
                </c:pt>
                <c:pt idx="652">
                  <c:v>12.035199999999893</c:v>
                </c:pt>
                <c:pt idx="653">
                  <c:v>12.035299999999893</c:v>
                </c:pt>
                <c:pt idx="654">
                  <c:v>12.035399999999893</c:v>
                </c:pt>
                <c:pt idx="655">
                  <c:v>12.035499999999892</c:v>
                </c:pt>
                <c:pt idx="656">
                  <c:v>12.035599999999892</c:v>
                </c:pt>
                <c:pt idx="657">
                  <c:v>12.035699999999892</c:v>
                </c:pt>
                <c:pt idx="658">
                  <c:v>12.035799999999892</c:v>
                </c:pt>
                <c:pt idx="659">
                  <c:v>12.035899999999891</c:v>
                </c:pt>
                <c:pt idx="660">
                  <c:v>12.035999999999891</c:v>
                </c:pt>
                <c:pt idx="661">
                  <c:v>12.036099999999891</c:v>
                </c:pt>
                <c:pt idx="662">
                  <c:v>12.036199999999891</c:v>
                </c:pt>
                <c:pt idx="663">
                  <c:v>12.036299999999891</c:v>
                </c:pt>
                <c:pt idx="664">
                  <c:v>12.03639999999989</c:v>
                </c:pt>
                <c:pt idx="665">
                  <c:v>12.03649999999989</c:v>
                </c:pt>
                <c:pt idx="666">
                  <c:v>12.03659999999989</c:v>
                </c:pt>
                <c:pt idx="667">
                  <c:v>12.03669999999989</c:v>
                </c:pt>
                <c:pt idx="668">
                  <c:v>12.036799999999889</c:v>
                </c:pt>
                <c:pt idx="669">
                  <c:v>12.036899999999889</c:v>
                </c:pt>
                <c:pt idx="670">
                  <c:v>12.036999999999889</c:v>
                </c:pt>
                <c:pt idx="671">
                  <c:v>12.037099999999889</c:v>
                </c:pt>
                <c:pt idx="672">
                  <c:v>12.037199999999888</c:v>
                </c:pt>
                <c:pt idx="673">
                  <c:v>12.037299999999888</c:v>
                </c:pt>
                <c:pt idx="674">
                  <c:v>12.037399999999888</c:v>
                </c:pt>
                <c:pt idx="675">
                  <c:v>12.037499999999888</c:v>
                </c:pt>
                <c:pt idx="676">
                  <c:v>12.037599999999888</c:v>
                </c:pt>
                <c:pt idx="677">
                  <c:v>12.037699999999887</c:v>
                </c:pt>
                <c:pt idx="678">
                  <c:v>12.037799999999887</c:v>
                </c:pt>
                <c:pt idx="679">
                  <c:v>12.037899999999887</c:v>
                </c:pt>
                <c:pt idx="680">
                  <c:v>12.037999999999887</c:v>
                </c:pt>
                <c:pt idx="681">
                  <c:v>12.038099999999886</c:v>
                </c:pt>
                <c:pt idx="682">
                  <c:v>12.038199999999886</c:v>
                </c:pt>
                <c:pt idx="683">
                  <c:v>12.038299999999886</c:v>
                </c:pt>
                <c:pt idx="684">
                  <c:v>12.038399999999886</c:v>
                </c:pt>
                <c:pt idx="685">
                  <c:v>12.038499999999885</c:v>
                </c:pt>
                <c:pt idx="686">
                  <c:v>12.038599999999885</c:v>
                </c:pt>
                <c:pt idx="687">
                  <c:v>12.038699999999885</c:v>
                </c:pt>
                <c:pt idx="688">
                  <c:v>12.038799999999885</c:v>
                </c:pt>
                <c:pt idx="689">
                  <c:v>12.038899999999884</c:v>
                </c:pt>
                <c:pt idx="690">
                  <c:v>12.038999999999884</c:v>
                </c:pt>
                <c:pt idx="691">
                  <c:v>12.039099999999884</c:v>
                </c:pt>
                <c:pt idx="692">
                  <c:v>12.039199999999884</c:v>
                </c:pt>
                <c:pt idx="693">
                  <c:v>12.039299999999884</c:v>
                </c:pt>
                <c:pt idx="694">
                  <c:v>12.039399999999883</c:v>
                </c:pt>
                <c:pt idx="695">
                  <c:v>12.039499999999883</c:v>
                </c:pt>
                <c:pt idx="696">
                  <c:v>12.039599999999883</c:v>
                </c:pt>
                <c:pt idx="697">
                  <c:v>12.039699999999883</c:v>
                </c:pt>
                <c:pt idx="698">
                  <c:v>12.039799999999882</c:v>
                </c:pt>
                <c:pt idx="699">
                  <c:v>12.039899999999882</c:v>
                </c:pt>
                <c:pt idx="700">
                  <c:v>12.039999999999882</c:v>
                </c:pt>
                <c:pt idx="701">
                  <c:v>12.040099999999882</c:v>
                </c:pt>
                <c:pt idx="702">
                  <c:v>12.040199999999881</c:v>
                </c:pt>
                <c:pt idx="703">
                  <c:v>12.040299999999881</c:v>
                </c:pt>
                <c:pt idx="704">
                  <c:v>12.040399999999881</c:v>
                </c:pt>
                <c:pt idx="705">
                  <c:v>12.040499999999881</c:v>
                </c:pt>
                <c:pt idx="706">
                  <c:v>12.040599999999881</c:v>
                </c:pt>
                <c:pt idx="707">
                  <c:v>12.04069999999988</c:v>
                </c:pt>
                <c:pt idx="708">
                  <c:v>12.04079999999988</c:v>
                </c:pt>
                <c:pt idx="709">
                  <c:v>12.04089999999988</c:v>
                </c:pt>
                <c:pt idx="710">
                  <c:v>12.04099999999988</c:v>
                </c:pt>
                <c:pt idx="711">
                  <c:v>12.041099999999879</c:v>
                </c:pt>
                <c:pt idx="712">
                  <c:v>12.041199999999879</c:v>
                </c:pt>
                <c:pt idx="713">
                  <c:v>12.041299999999879</c:v>
                </c:pt>
                <c:pt idx="714">
                  <c:v>12.041399999999879</c:v>
                </c:pt>
                <c:pt idx="715">
                  <c:v>12.041499999999878</c:v>
                </c:pt>
                <c:pt idx="716">
                  <c:v>12.041599999999878</c:v>
                </c:pt>
                <c:pt idx="717">
                  <c:v>12.041699999999878</c:v>
                </c:pt>
                <c:pt idx="718">
                  <c:v>12.041799999999878</c:v>
                </c:pt>
                <c:pt idx="719">
                  <c:v>12.041899999999877</c:v>
                </c:pt>
                <c:pt idx="720">
                  <c:v>12.041999999999877</c:v>
                </c:pt>
                <c:pt idx="721">
                  <c:v>12.042099999999877</c:v>
                </c:pt>
                <c:pt idx="722">
                  <c:v>12.042199999999877</c:v>
                </c:pt>
                <c:pt idx="723">
                  <c:v>12.042299999999877</c:v>
                </c:pt>
                <c:pt idx="724">
                  <c:v>12.042399999999876</c:v>
                </c:pt>
                <c:pt idx="725">
                  <c:v>12.042499999999876</c:v>
                </c:pt>
                <c:pt idx="726">
                  <c:v>12.042599999999876</c:v>
                </c:pt>
                <c:pt idx="727">
                  <c:v>12.042699999999876</c:v>
                </c:pt>
                <c:pt idx="728">
                  <c:v>12.042799999999875</c:v>
                </c:pt>
                <c:pt idx="729">
                  <c:v>12.042899999999875</c:v>
                </c:pt>
                <c:pt idx="730">
                  <c:v>12.042999999999875</c:v>
                </c:pt>
                <c:pt idx="731">
                  <c:v>12.043099999999875</c:v>
                </c:pt>
                <c:pt idx="732">
                  <c:v>12.043199999999874</c:v>
                </c:pt>
                <c:pt idx="733">
                  <c:v>12.043299999999874</c:v>
                </c:pt>
                <c:pt idx="734">
                  <c:v>12.043399999999874</c:v>
                </c:pt>
                <c:pt idx="735">
                  <c:v>12.043499999999874</c:v>
                </c:pt>
                <c:pt idx="736">
                  <c:v>12.043599999999874</c:v>
                </c:pt>
                <c:pt idx="737">
                  <c:v>12.043699999999873</c:v>
                </c:pt>
                <c:pt idx="738">
                  <c:v>12.043799999999873</c:v>
                </c:pt>
                <c:pt idx="739">
                  <c:v>12.043899999999873</c:v>
                </c:pt>
                <c:pt idx="740">
                  <c:v>12.043999999999873</c:v>
                </c:pt>
                <c:pt idx="741">
                  <c:v>12.044099999999872</c:v>
                </c:pt>
                <c:pt idx="742">
                  <c:v>12.044199999999872</c:v>
                </c:pt>
                <c:pt idx="743">
                  <c:v>12.044299999999872</c:v>
                </c:pt>
                <c:pt idx="744">
                  <c:v>12.044399999999872</c:v>
                </c:pt>
                <c:pt idx="745">
                  <c:v>12.044499999999871</c:v>
                </c:pt>
                <c:pt idx="746">
                  <c:v>12.044599999999871</c:v>
                </c:pt>
                <c:pt idx="747">
                  <c:v>12.044699999999871</c:v>
                </c:pt>
                <c:pt idx="748">
                  <c:v>12.044799999999871</c:v>
                </c:pt>
                <c:pt idx="749">
                  <c:v>12.04489999999987</c:v>
                </c:pt>
                <c:pt idx="750">
                  <c:v>12.04499999999987</c:v>
                </c:pt>
                <c:pt idx="751">
                  <c:v>12.04509999999987</c:v>
                </c:pt>
                <c:pt idx="752">
                  <c:v>12.04519999999987</c:v>
                </c:pt>
                <c:pt idx="753">
                  <c:v>12.04529999999987</c:v>
                </c:pt>
                <c:pt idx="754">
                  <c:v>12.045399999999869</c:v>
                </c:pt>
                <c:pt idx="755">
                  <c:v>12.045499999999869</c:v>
                </c:pt>
                <c:pt idx="756">
                  <c:v>12.045599999999869</c:v>
                </c:pt>
                <c:pt idx="757">
                  <c:v>12.045699999999869</c:v>
                </c:pt>
                <c:pt idx="758">
                  <c:v>12.045799999999868</c:v>
                </c:pt>
                <c:pt idx="759">
                  <c:v>12.045899999999868</c:v>
                </c:pt>
                <c:pt idx="760">
                  <c:v>12.045999999999868</c:v>
                </c:pt>
                <c:pt idx="761">
                  <c:v>12.046099999999868</c:v>
                </c:pt>
                <c:pt idx="762">
                  <c:v>12.046199999999867</c:v>
                </c:pt>
                <c:pt idx="763">
                  <c:v>12.046299999999867</c:v>
                </c:pt>
                <c:pt idx="764">
                  <c:v>12.046399999999867</c:v>
                </c:pt>
                <c:pt idx="765">
                  <c:v>12.046499999999867</c:v>
                </c:pt>
                <c:pt idx="766">
                  <c:v>12.046599999999867</c:v>
                </c:pt>
                <c:pt idx="767">
                  <c:v>12.046699999999866</c:v>
                </c:pt>
                <c:pt idx="768">
                  <c:v>12.046799999999866</c:v>
                </c:pt>
                <c:pt idx="769">
                  <c:v>12.046899999999866</c:v>
                </c:pt>
                <c:pt idx="770">
                  <c:v>12.046999999999866</c:v>
                </c:pt>
                <c:pt idx="771">
                  <c:v>12.047099999999865</c:v>
                </c:pt>
                <c:pt idx="772">
                  <c:v>12.047199999999865</c:v>
                </c:pt>
                <c:pt idx="773">
                  <c:v>12.047299999999865</c:v>
                </c:pt>
                <c:pt idx="774">
                  <c:v>12.047399999999865</c:v>
                </c:pt>
                <c:pt idx="775">
                  <c:v>12.047499999999864</c:v>
                </c:pt>
                <c:pt idx="776">
                  <c:v>12.047599999999864</c:v>
                </c:pt>
                <c:pt idx="777">
                  <c:v>12.047699999999864</c:v>
                </c:pt>
                <c:pt idx="778">
                  <c:v>12.047799999999864</c:v>
                </c:pt>
                <c:pt idx="779">
                  <c:v>12.047899999999863</c:v>
                </c:pt>
                <c:pt idx="780">
                  <c:v>12.047999999999863</c:v>
                </c:pt>
                <c:pt idx="781">
                  <c:v>12.048099999999863</c:v>
                </c:pt>
                <c:pt idx="782">
                  <c:v>12.048199999999863</c:v>
                </c:pt>
                <c:pt idx="783">
                  <c:v>12.048299999999863</c:v>
                </c:pt>
                <c:pt idx="784">
                  <c:v>12.048399999999862</c:v>
                </c:pt>
                <c:pt idx="785">
                  <c:v>12.048499999999862</c:v>
                </c:pt>
                <c:pt idx="786">
                  <c:v>12.048599999999862</c:v>
                </c:pt>
                <c:pt idx="787">
                  <c:v>12.048699999999862</c:v>
                </c:pt>
                <c:pt idx="788">
                  <c:v>12.048799999999861</c:v>
                </c:pt>
                <c:pt idx="789">
                  <c:v>12.048899999999861</c:v>
                </c:pt>
                <c:pt idx="790">
                  <c:v>12.048999999999861</c:v>
                </c:pt>
                <c:pt idx="791">
                  <c:v>12.049099999999861</c:v>
                </c:pt>
                <c:pt idx="792">
                  <c:v>12.04919999999986</c:v>
                </c:pt>
                <c:pt idx="793">
                  <c:v>12.04929999999986</c:v>
                </c:pt>
                <c:pt idx="794">
                  <c:v>12.04939999999986</c:v>
                </c:pt>
                <c:pt idx="795">
                  <c:v>12.04949999999986</c:v>
                </c:pt>
                <c:pt idx="796">
                  <c:v>12.04959999999986</c:v>
                </c:pt>
                <c:pt idx="797">
                  <c:v>12.049699999999859</c:v>
                </c:pt>
                <c:pt idx="798">
                  <c:v>12.049799999999859</c:v>
                </c:pt>
                <c:pt idx="799">
                  <c:v>12.049899999999859</c:v>
                </c:pt>
                <c:pt idx="800">
                  <c:v>12.049999999999859</c:v>
                </c:pt>
                <c:pt idx="801">
                  <c:v>12.050099999999858</c:v>
                </c:pt>
                <c:pt idx="802">
                  <c:v>12.050199999999858</c:v>
                </c:pt>
                <c:pt idx="803">
                  <c:v>12.050299999999858</c:v>
                </c:pt>
                <c:pt idx="804">
                  <c:v>12.050399999999858</c:v>
                </c:pt>
                <c:pt idx="805">
                  <c:v>12.050499999999857</c:v>
                </c:pt>
                <c:pt idx="806">
                  <c:v>12.050599999999857</c:v>
                </c:pt>
                <c:pt idx="807">
                  <c:v>12.050699999999857</c:v>
                </c:pt>
                <c:pt idx="808">
                  <c:v>12.050799999999857</c:v>
                </c:pt>
                <c:pt idx="809">
                  <c:v>12.050899999999857</c:v>
                </c:pt>
                <c:pt idx="810">
                  <c:v>12.050999999999856</c:v>
                </c:pt>
                <c:pt idx="811">
                  <c:v>12.051099999999856</c:v>
                </c:pt>
                <c:pt idx="812">
                  <c:v>12.051199999999856</c:v>
                </c:pt>
                <c:pt idx="813">
                  <c:v>12.051299999999856</c:v>
                </c:pt>
                <c:pt idx="814">
                  <c:v>12.051399999999855</c:v>
                </c:pt>
                <c:pt idx="815">
                  <c:v>12.051499999999855</c:v>
                </c:pt>
                <c:pt idx="816">
                  <c:v>12.051599999999855</c:v>
                </c:pt>
                <c:pt idx="817">
                  <c:v>12.051699999999855</c:v>
                </c:pt>
                <c:pt idx="818">
                  <c:v>12.051799999999854</c:v>
                </c:pt>
                <c:pt idx="819">
                  <c:v>12.051899999999854</c:v>
                </c:pt>
                <c:pt idx="820">
                  <c:v>12.051999999999854</c:v>
                </c:pt>
                <c:pt idx="821">
                  <c:v>12.052099999999854</c:v>
                </c:pt>
                <c:pt idx="822">
                  <c:v>12.052199999999853</c:v>
                </c:pt>
                <c:pt idx="823">
                  <c:v>12.052299999999853</c:v>
                </c:pt>
                <c:pt idx="824">
                  <c:v>12.052399999999853</c:v>
                </c:pt>
                <c:pt idx="825">
                  <c:v>12.052499999999853</c:v>
                </c:pt>
                <c:pt idx="826">
                  <c:v>12.052599999999853</c:v>
                </c:pt>
                <c:pt idx="827">
                  <c:v>12.052699999999852</c:v>
                </c:pt>
                <c:pt idx="828">
                  <c:v>12.052799999999852</c:v>
                </c:pt>
                <c:pt idx="829">
                  <c:v>12.052899999999852</c:v>
                </c:pt>
                <c:pt idx="830">
                  <c:v>12.052999999999852</c:v>
                </c:pt>
                <c:pt idx="831">
                  <c:v>12.053099999999851</c:v>
                </c:pt>
                <c:pt idx="832">
                  <c:v>12.053199999999851</c:v>
                </c:pt>
                <c:pt idx="833">
                  <c:v>12.053299999999851</c:v>
                </c:pt>
                <c:pt idx="834">
                  <c:v>12.053399999999851</c:v>
                </c:pt>
                <c:pt idx="835">
                  <c:v>12.05349999999985</c:v>
                </c:pt>
                <c:pt idx="836">
                  <c:v>12.05359999999985</c:v>
                </c:pt>
                <c:pt idx="837">
                  <c:v>12.05369999999985</c:v>
                </c:pt>
                <c:pt idx="838">
                  <c:v>12.05379999999985</c:v>
                </c:pt>
                <c:pt idx="839">
                  <c:v>12.05389999999985</c:v>
                </c:pt>
                <c:pt idx="840">
                  <c:v>12.053999999999849</c:v>
                </c:pt>
                <c:pt idx="841">
                  <c:v>12.054099999999849</c:v>
                </c:pt>
                <c:pt idx="842">
                  <c:v>12.054199999999849</c:v>
                </c:pt>
                <c:pt idx="843">
                  <c:v>12.054299999999849</c:v>
                </c:pt>
                <c:pt idx="844">
                  <c:v>12.054399999999848</c:v>
                </c:pt>
                <c:pt idx="845">
                  <c:v>12.054499999999848</c:v>
                </c:pt>
                <c:pt idx="846">
                  <c:v>12.054599999999848</c:v>
                </c:pt>
                <c:pt idx="847">
                  <c:v>12.054699999999848</c:v>
                </c:pt>
                <c:pt idx="848">
                  <c:v>12.054799999999847</c:v>
                </c:pt>
                <c:pt idx="849">
                  <c:v>12.054899999999847</c:v>
                </c:pt>
                <c:pt idx="850">
                  <c:v>12.054999999999847</c:v>
                </c:pt>
                <c:pt idx="851">
                  <c:v>12.055099999999847</c:v>
                </c:pt>
                <c:pt idx="852">
                  <c:v>12.055199999999846</c:v>
                </c:pt>
                <c:pt idx="853">
                  <c:v>12.055299999999846</c:v>
                </c:pt>
                <c:pt idx="854">
                  <c:v>12.055399999999846</c:v>
                </c:pt>
                <c:pt idx="855">
                  <c:v>12.055499999999846</c:v>
                </c:pt>
                <c:pt idx="856">
                  <c:v>12.055599999999846</c:v>
                </c:pt>
                <c:pt idx="857">
                  <c:v>12.055699999999845</c:v>
                </c:pt>
                <c:pt idx="858">
                  <c:v>12.055799999999845</c:v>
                </c:pt>
                <c:pt idx="859">
                  <c:v>12.055899999999845</c:v>
                </c:pt>
                <c:pt idx="860">
                  <c:v>12.055999999999845</c:v>
                </c:pt>
                <c:pt idx="861">
                  <c:v>12.056099999999844</c:v>
                </c:pt>
                <c:pt idx="862">
                  <c:v>12.056199999999844</c:v>
                </c:pt>
                <c:pt idx="863">
                  <c:v>12.056299999999844</c:v>
                </c:pt>
                <c:pt idx="864">
                  <c:v>12.056399999999844</c:v>
                </c:pt>
                <c:pt idx="865">
                  <c:v>12.056499999999843</c:v>
                </c:pt>
                <c:pt idx="866">
                  <c:v>12.056599999999843</c:v>
                </c:pt>
                <c:pt idx="867">
                  <c:v>12.056699999999843</c:v>
                </c:pt>
                <c:pt idx="868">
                  <c:v>12.056799999999843</c:v>
                </c:pt>
                <c:pt idx="869">
                  <c:v>12.056899999999843</c:v>
                </c:pt>
                <c:pt idx="870">
                  <c:v>12.056999999999842</c:v>
                </c:pt>
                <c:pt idx="871">
                  <c:v>12.057099999999842</c:v>
                </c:pt>
                <c:pt idx="872">
                  <c:v>12.057199999999842</c:v>
                </c:pt>
                <c:pt idx="873">
                  <c:v>12.057299999999842</c:v>
                </c:pt>
                <c:pt idx="874">
                  <c:v>12.057399999999841</c:v>
                </c:pt>
                <c:pt idx="875">
                  <c:v>12.057499999999841</c:v>
                </c:pt>
                <c:pt idx="876">
                  <c:v>12.057599999999841</c:v>
                </c:pt>
                <c:pt idx="877">
                  <c:v>12.057699999999841</c:v>
                </c:pt>
                <c:pt idx="878">
                  <c:v>12.05779999999984</c:v>
                </c:pt>
                <c:pt idx="879">
                  <c:v>12.05789999999984</c:v>
                </c:pt>
                <c:pt idx="880">
                  <c:v>12.05799999999984</c:v>
                </c:pt>
                <c:pt idx="881">
                  <c:v>12.05809999999984</c:v>
                </c:pt>
                <c:pt idx="882">
                  <c:v>12.058199999999839</c:v>
                </c:pt>
                <c:pt idx="883">
                  <c:v>12.058299999999839</c:v>
                </c:pt>
                <c:pt idx="884">
                  <c:v>12.058399999999839</c:v>
                </c:pt>
                <c:pt idx="885">
                  <c:v>12.058499999999839</c:v>
                </c:pt>
                <c:pt idx="886">
                  <c:v>12.058599999999839</c:v>
                </c:pt>
                <c:pt idx="887">
                  <c:v>12.058699999999838</c:v>
                </c:pt>
                <c:pt idx="888">
                  <c:v>12.058799999999838</c:v>
                </c:pt>
                <c:pt idx="889">
                  <c:v>12.058899999999838</c:v>
                </c:pt>
                <c:pt idx="890">
                  <c:v>12.058999999999838</c:v>
                </c:pt>
                <c:pt idx="891">
                  <c:v>12.059099999999837</c:v>
                </c:pt>
                <c:pt idx="892">
                  <c:v>12.059199999999837</c:v>
                </c:pt>
                <c:pt idx="893">
                  <c:v>12.059299999999837</c:v>
                </c:pt>
                <c:pt idx="894">
                  <c:v>12.059399999999837</c:v>
                </c:pt>
                <c:pt idx="895">
                  <c:v>12.059499999999836</c:v>
                </c:pt>
                <c:pt idx="896">
                  <c:v>12.059599999999836</c:v>
                </c:pt>
                <c:pt idx="897">
                  <c:v>12.059699999999836</c:v>
                </c:pt>
                <c:pt idx="898">
                  <c:v>12.059799999999836</c:v>
                </c:pt>
                <c:pt idx="899">
                  <c:v>12.059899999999836</c:v>
                </c:pt>
                <c:pt idx="900">
                  <c:v>12.059999999999835</c:v>
                </c:pt>
                <c:pt idx="901">
                  <c:v>12.060099999999835</c:v>
                </c:pt>
                <c:pt idx="902">
                  <c:v>12.060199999999835</c:v>
                </c:pt>
                <c:pt idx="903">
                  <c:v>12.060299999999835</c:v>
                </c:pt>
                <c:pt idx="904">
                  <c:v>12.060399999999834</c:v>
                </c:pt>
                <c:pt idx="905">
                  <c:v>12.060499999999834</c:v>
                </c:pt>
                <c:pt idx="906">
                  <c:v>12.060599999999834</c:v>
                </c:pt>
                <c:pt idx="907">
                  <c:v>12.060699999999834</c:v>
                </c:pt>
                <c:pt idx="908">
                  <c:v>12.060799999999833</c:v>
                </c:pt>
                <c:pt idx="909">
                  <c:v>12.060899999999833</c:v>
                </c:pt>
                <c:pt idx="910">
                  <c:v>12.060999999999833</c:v>
                </c:pt>
                <c:pt idx="911">
                  <c:v>12.061099999999833</c:v>
                </c:pt>
                <c:pt idx="912">
                  <c:v>12.061199999999832</c:v>
                </c:pt>
                <c:pt idx="913">
                  <c:v>12.061299999999832</c:v>
                </c:pt>
                <c:pt idx="914">
                  <c:v>12.061399999999832</c:v>
                </c:pt>
                <c:pt idx="915">
                  <c:v>12.061499999999832</c:v>
                </c:pt>
                <c:pt idx="916">
                  <c:v>12.061599999999832</c:v>
                </c:pt>
                <c:pt idx="917">
                  <c:v>12.061699999999831</c:v>
                </c:pt>
                <c:pt idx="918">
                  <c:v>12.061799999999831</c:v>
                </c:pt>
                <c:pt idx="919">
                  <c:v>12.061899999999831</c:v>
                </c:pt>
                <c:pt idx="920">
                  <c:v>12.061999999999831</c:v>
                </c:pt>
                <c:pt idx="921">
                  <c:v>12.06209999999983</c:v>
                </c:pt>
                <c:pt idx="922">
                  <c:v>12.06219999999983</c:v>
                </c:pt>
                <c:pt idx="923">
                  <c:v>12.06229999999983</c:v>
                </c:pt>
                <c:pt idx="924">
                  <c:v>12.06239999999983</c:v>
                </c:pt>
                <c:pt idx="925">
                  <c:v>12.062499999999829</c:v>
                </c:pt>
                <c:pt idx="926">
                  <c:v>12.062599999999829</c:v>
                </c:pt>
                <c:pt idx="927">
                  <c:v>12.062699999999829</c:v>
                </c:pt>
                <c:pt idx="928">
                  <c:v>12.062799999999829</c:v>
                </c:pt>
                <c:pt idx="929">
                  <c:v>12.062899999999829</c:v>
                </c:pt>
                <c:pt idx="930">
                  <c:v>12.062999999999828</c:v>
                </c:pt>
                <c:pt idx="931">
                  <c:v>12.063099999999828</c:v>
                </c:pt>
                <c:pt idx="932">
                  <c:v>12.063199999999828</c:v>
                </c:pt>
                <c:pt idx="933">
                  <c:v>12.063299999999828</c:v>
                </c:pt>
                <c:pt idx="934">
                  <c:v>12.063399999999827</c:v>
                </c:pt>
                <c:pt idx="935">
                  <c:v>12.063499999999827</c:v>
                </c:pt>
                <c:pt idx="936">
                  <c:v>12.063599999999827</c:v>
                </c:pt>
                <c:pt idx="937">
                  <c:v>12.063699999999827</c:v>
                </c:pt>
                <c:pt idx="938">
                  <c:v>12.063799999999826</c:v>
                </c:pt>
                <c:pt idx="939">
                  <c:v>12.063899999999826</c:v>
                </c:pt>
                <c:pt idx="940">
                  <c:v>12.063999999999826</c:v>
                </c:pt>
                <c:pt idx="941">
                  <c:v>12.064099999999826</c:v>
                </c:pt>
                <c:pt idx="942">
                  <c:v>12.064199999999826</c:v>
                </c:pt>
                <c:pt idx="943">
                  <c:v>12.064299999999825</c:v>
                </c:pt>
                <c:pt idx="944">
                  <c:v>12.064399999999825</c:v>
                </c:pt>
                <c:pt idx="945">
                  <c:v>12.064499999999825</c:v>
                </c:pt>
                <c:pt idx="946">
                  <c:v>12.064599999999825</c:v>
                </c:pt>
                <c:pt idx="947">
                  <c:v>12.064699999999824</c:v>
                </c:pt>
                <c:pt idx="948">
                  <c:v>12.064799999999824</c:v>
                </c:pt>
                <c:pt idx="949">
                  <c:v>12.064899999999824</c:v>
                </c:pt>
                <c:pt idx="950">
                  <c:v>12.064999999999824</c:v>
                </c:pt>
                <c:pt idx="951">
                  <c:v>12.065099999999823</c:v>
                </c:pt>
                <c:pt idx="952">
                  <c:v>12.065199999999823</c:v>
                </c:pt>
                <c:pt idx="953">
                  <c:v>12.065299999999823</c:v>
                </c:pt>
                <c:pt idx="954">
                  <c:v>12.065399999999823</c:v>
                </c:pt>
                <c:pt idx="955">
                  <c:v>12.065499999999822</c:v>
                </c:pt>
                <c:pt idx="956">
                  <c:v>12.065599999999822</c:v>
                </c:pt>
                <c:pt idx="957">
                  <c:v>12.065699999999822</c:v>
                </c:pt>
                <c:pt idx="958">
                  <c:v>12.065799999999822</c:v>
                </c:pt>
                <c:pt idx="959">
                  <c:v>12.065899999999822</c:v>
                </c:pt>
                <c:pt idx="960">
                  <c:v>12.065999999999821</c:v>
                </c:pt>
                <c:pt idx="961">
                  <c:v>12.066099999999821</c:v>
                </c:pt>
                <c:pt idx="962">
                  <c:v>12.066199999999821</c:v>
                </c:pt>
                <c:pt idx="963">
                  <c:v>12.066299999999821</c:v>
                </c:pt>
                <c:pt idx="964">
                  <c:v>12.06639999999982</c:v>
                </c:pt>
                <c:pt idx="965">
                  <c:v>12.06649999999982</c:v>
                </c:pt>
                <c:pt idx="966">
                  <c:v>12.06659999999982</c:v>
                </c:pt>
                <c:pt idx="967">
                  <c:v>12.06669999999982</c:v>
                </c:pt>
                <c:pt idx="968">
                  <c:v>12.066799999999819</c:v>
                </c:pt>
                <c:pt idx="969">
                  <c:v>12.066899999999819</c:v>
                </c:pt>
                <c:pt idx="970">
                  <c:v>12.066999999999819</c:v>
                </c:pt>
                <c:pt idx="971">
                  <c:v>12.067099999999819</c:v>
                </c:pt>
                <c:pt idx="972">
                  <c:v>12.067199999999819</c:v>
                </c:pt>
                <c:pt idx="973">
                  <c:v>12.067299999999818</c:v>
                </c:pt>
                <c:pt idx="974">
                  <c:v>12.067399999999818</c:v>
                </c:pt>
                <c:pt idx="975">
                  <c:v>12.067499999999818</c:v>
                </c:pt>
                <c:pt idx="976">
                  <c:v>12.067599999999818</c:v>
                </c:pt>
                <c:pt idx="977">
                  <c:v>12.067699999999817</c:v>
                </c:pt>
                <c:pt idx="978">
                  <c:v>12.067799999999817</c:v>
                </c:pt>
                <c:pt idx="979">
                  <c:v>12.067899999999817</c:v>
                </c:pt>
                <c:pt idx="980">
                  <c:v>12.067999999999817</c:v>
                </c:pt>
                <c:pt idx="981">
                  <c:v>12.068099999999816</c:v>
                </c:pt>
                <c:pt idx="982">
                  <c:v>12.068199999999816</c:v>
                </c:pt>
                <c:pt idx="983">
                  <c:v>12.068299999999816</c:v>
                </c:pt>
                <c:pt idx="984">
                  <c:v>12.068399999999816</c:v>
                </c:pt>
                <c:pt idx="985">
                  <c:v>12.068499999999815</c:v>
                </c:pt>
                <c:pt idx="986">
                  <c:v>12.068599999999815</c:v>
                </c:pt>
                <c:pt idx="987">
                  <c:v>12.068699999999815</c:v>
                </c:pt>
                <c:pt idx="988">
                  <c:v>12.068799999999815</c:v>
                </c:pt>
                <c:pt idx="989">
                  <c:v>12.068899999999815</c:v>
                </c:pt>
                <c:pt idx="990">
                  <c:v>12.068999999999814</c:v>
                </c:pt>
                <c:pt idx="991">
                  <c:v>12.069099999999814</c:v>
                </c:pt>
                <c:pt idx="992">
                  <c:v>12.069199999999814</c:v>
                </c:pt>
                <c:pt idx="993">
                  <c:v>12.069299999999814</c:v>
                </c:pt>
                <c:pt idx="994">
                  <c:v>12.069399999999813</c:v>
                </c:pt>
                <c:pt idx="995">
                  <c:v>12.069499999999813</c:v>
                </c:pt>
                <c:pt idx="996">
                  <c:v>12.069599999999813</c:v>
                </c:pt>
                <c:pt idx="997">
                  <c:v>12.069699999999813</c:v>
                </c:pt>
                <c:pt idx="998">
                  <c:v>12.069799999999812</c:v>
                </c:pt>
                <c:pt idx="999">
                  <c:v>12.069899999999812</c:v>
                </c:pt>
                <c:pt idx="1000">
                  <c:v>12.069999999999812</c:v>
                </c:pt>
              </c:numCache>
            </c:numRef>
          </c:xVal>
          <c:yVal>
            <c:numRef>
              <c:f>Calculs!$W$4:$W$1004</c:f>
              <c:numCache>
                <c:formatCode>0.00</c:formatCode>
                <c:ptCount val="1001"/>
                <c:pt idx="0">
                  <c:v>0</c:v>
                </c:pt>
                <c:pt idx="1">
                  <c:v>9.8594478929885684E-5</c:v>
                </c:pt>
                <c:pt idx="2">
                  <c:v>2.4863572537117727E-3</c:v>
                </c:pt>
                <c:pt idx="3">
                  <c:v>1.0491829324408543E-2</c:v>
                </c:pt>
                <c:pt idx="4">
                  <c:v>2.2566041181672811E-2</c:v>
                </c:pt>
                <c:pt idx="5">
                  <c:v>3.8230858598605602E-2</c:v>
                </c:pt>
                <c:pt idx="6">
                  <c:v>5.7911863875918179E-2</c:v>
                </c:pt>
                <c:pt idx="7">
                  <c:v>8.15580973127224E-2</c:v>
                </c:pt>
                <c:pt idx="8">
                  <c:v>0.10911834100840219</c:v>
                </c:pt>
                <c:pt idx="9">
                  <c:v>0.14054112938911698</c:v>
                </c:pt>
                <c:pt idx="10">
                  <c:v>0.17577475975298479</c:v>
                </c:pt>
                <c:pt idx="11">
                  <c:v>0.21476730283027609</c:v>
                </c:pt>
                <c:pt idx="12">
                  <c:v>0.25746661335496213</c:v>
                </c:pt>
                <c:pt idx="13">
                  <c:v>0.30382034064398072</c:v>
                </c:pt>
                <c:pt idx="14">
                  <c:v>0.35377593918059896</c:v>
                </c:pt>
                <c:pt idx="15">
                  <c:v>0.40728067919827582</c:v>
                </c:pt>
                <c:pt idx="16">
                  <c:v>0.4642816572614451</c:v>
                </c:pt>
                <c:pt idx="17">
                  <c:v>0.52472580683967029</c:v>
                </c:pt>
                <c:pt idx="18">
                  <c:v>0.58855990887164267</c:v>
                </c:pt>
                <c:pt idx="19">
                  <c:v>0.65573060231552371</c:v>
                </c:pt>
                <c:pt idx="20">
                  <c:v>0.72618439468216711</c:v>
                </c:pt>
                <c:pt idx="21">
                  <c:v>0.79986767254777758</c:v>
                </c:pt>
                <c:pt idx="22">
                  <c:v>0.87672671204260799</c:v>
                </c:pt>
                <c:pt idx="23">
                  <c:v>0.95670768931231631</c:v>
                </c:pt>
                <c:pt idx="24">
                  <c:v>1.0397566909486573</c:v>
                </c:pt>
                <c:pt idx="25">
                  <c:v>1.1258197243862083</c:v>
                </c:pt>
                <c:pt idx="26">
                  <c:v>1.214842920039539</c:v>
                </c:pt>
                <c:pt idx="27">
                  <c:v>1.3067723836467071</c:v>
                </c:pt>
                <c:pt idx="28">
                  <c:v>1.4015539790054528</c:v>
                </c:pt>
                <c:pt idx="29">
                  <c:v>1.4991335307013465</c:v>
                </c:pt>
                <c:pt idx="30">
                  <c:v>1.5994568343479536</c:v>
                </c:pt>
                <c:pt idx="31">
                  <c:v>1.70246966676955</c:v>
                </c:pt>
                <c:pt idx="32">
                  <c:v>1.8081177961227228</c:v>
                </c:pt>
                <c:pt idx="33">
                  <c:v>1.9163469919545544</c:v>
                </c:pt>
                <c:pt idx="34">
                  <c:v>2.0271030351950623</c:v>
                </c:pt>
                <c:pt idx="35">
                  <c:v>2.1403317280815073</c:v>
                </c:pt>
                <c:pt idx="36">
                  <c:v>2.2559789040121996</c:v>
                </c:pt>
                <c:pt idx="37">
                  <c:v>2.3739904373274041</c:v>
                </c:pt>
                <c:pt idx="38">
                  <c:v>2.4943122530149675</c:v>
                </c:pt>
                <c:pt idx="39">
                  <c:v>2.6168903363383049</c:v>
                </c:pt>
                <c:pt idx="40">
                  <c:v>2.741670742384402</c:v>
                </c:pt>
                <c:pt idx="41">
                  <c:v>2.8685996055295111</c:v>
                </c:pt>
                <c:pt idx="42">
                  <c:v>2.9976231488202862</c:v>
                </c:pt>
                <c:pt idx="43">
                  <c:v>3.1286876932680734</c:v>
                </c:pt>
                <c:pt idx="44">
                  <c:v>3.2617396670541936</c:v>
                </c:pt>
                <c:pt idx="45">
                  <c:v>3.3967256146440343</c:v>
                </c:pt>
                <c:pt idx="46">
                  <c:v>3.5335922058078522</c:v>
                </c:pt>
                <c:pt idx="47">
                  <c:v>3.6722862445462119</c:v>
                </c:pt>
                <c:pt idx="48">
                  <c:v>3.8127546779180697</c:v>
                </c:pt>
                <c:pt idx="49">
                  <c:v>3.9549446047695169</c:v>
                </c:pt>
                <c:pt idx="50">
                  <c:v>4.0988032843613071</c:v>
                </c:pt>
                <c:pt idx="51">
                  <c:v>4.2442781448932916</c:v>
                </c:pt>
                <c:pt idx="52">
                  <c:v>4.3913167919239937</c:v>
                </c:pt>
                <c:pt idx="53">
                  <c:v>4.5398670166835675</c:v>
                </c:pt>
                <c:pt idx="54">
                  <c:v>4.6898768042785006</c:v>
                </c:pt>
                <c:pt idx="55">
                  <c:v>4.8412943417863881</c:v>
                </c:pt>
                <c:pt idx="56">
                  <c:v>4.9940680262392867</c:v>
                </c:pt>
                <c:pt idx="57">
                  <c:v>5.1481464724940968</c:v>
                </c:pt>
                <c:pt idx="58">
                  <c:v>5.3034785209885884</c:v>
                </c:pt>
                <c:pt idx="59">
                  <c:v>5.4600132453816483</c:v>
                </c:pt>
                <c:pt idx="60">
                  <c:v>5.6176999600764796</c:v>
                </c:pt>
                <c:pt idx="61">
                  <c:v>5.7764882276254914</c:v>
                </c:pt>
                <c:pt idx="62">
                  <c:v>5.9363278660156711</c:v>
                </c:pt>
                <c:pt idx="63">
                  <c:v>6.0961709494080569</c:v>
                </c:pt>
                <c:pt idx="64">
                  <c:v>6.2549174621600185</c:v>
                </c:pt>
                <c:pt idx="65">
                  <c:v>6.4124418385830486</c:v>
                </c:pt>
                <c:pt idx="66">
                  <c:v>6.5686211211263901</c:v>
                </c:pt>
                <c:pt idx="67">
                  <c:v>6.7223738633782473</c:v>
                </c:pt>
                <c:pt idx="68">
                  <c:v>6.8725781138031499</c:v>
                </c:pt>
                <c:pt idx="69">
                  <c:v>7.0173107704220872</c:v>
                </c:pt>
                <c:pt idx="70">
                  <c:v>7.1545862382305909</c:v>
                </c:pt>
                <c:pt idx="71">
                  <c:v>7.2841473781647004</c:v>
                </c:pt>
                <c:pt idx="72">
                  <c:v>7.4057547921935356</c:v>
                </c:pt>
                <c:pt idx="73">
                  <c:v>7.5191868173701053</c:v>
                </c:pt>
                <c:pt idx="74">
                  <c:v>7.6242395110161398</c:v>
                </c:pt>
                <c:pt idx="75">
                  <c:v>7.7207266273788209</c:v>
                </c:pt>
                <c:pt idx="76">
                  <c:v>7.8084795861015994</c:v>
                </c:pt>
                <c:pt idx="77">
                  <c:v>7.8873474328548205</c:v>
                </c:pt>
                <c:pt idx="78">
                  <c:v>7.9571967924749192</c:v>
                </c:pt>
                <c:pt idx="79">
                  <c:v>8.0179118149632878</c:v>
                </c:pt>
                <c:pt idx="80">
                  <c:v>8.069394114697868</c:v>
                </c:pt>
                <c:pt idx="81">
                  <c:v>8.1137983507932603</c:v>
                </c:pt>
                <c:pt idx="82">
                  <c:v>8.1533140438683827</c:v>
                </c:pt>
                <c:pt idx="83">
                  <c:v>8.1879101910964494</c:v>
                </c:pt>
                <c:pt idx="84">
                  <c:v>8.2175606289708263</c:v>
                </c:pt>
                <c:pt idx="85">
                  <c:v>8.2422440104376893</c:v>
                </c:pt>
                <c:pt idx="86">
                  <c:v>8.261943781173569</c:v>
                </c:pt>
                <c:pt idx="87">
                  <c:v>8.2766481550604407</c:v>
                </c:pt>
                <c:pt idx="88">
                  <c:v>8.2863500889106074</c:v>
                </c:pt>
                <c:pt idx="89">
                  <c:v>8.2917614261563415</c:v>
                </c:pt>
                <c:pt idx="90">
                  <c:v>8.2935978964491124</c:v>
                </c:pt>
                <c:pt idx="91">
                  <c:v>8.2918630887732316</c:v>
                </c:pt>
                <c:pt idx="92">
                  <c:v>8.2865629626085084</c:v>
                </c:pt>
                <c:pt idx="93">
                  <c:v>8.2778842536741077</c:v>
                </c:pt>
                <c:pt idx="94">
                  <c:v>8.2660152672446365</c:v>
                </c:pt>
                <c:pt idx="95">
                  <c:v>8.250967364601598</c:v>
                </c:pt>
                <c:pt idx="96">
                  <c:v>8.2327537770183969</c:v>
                </c:pt>
                <c:pt idx="97">
                  <c:v>8.2121004520185004</c:v>
                </c:pt>
                <c:pt idx="98">
                  <c:v>8.1897300815827361</c:v>
                </c:pt>
                <c:pt idx="99">
                  <c:v>8.1656522952165389</c:v>
                </c:pt>
                <c:pt idx="100">
                  <c:v>8.1398772652810631</c:v>
                </c:pt>
                <c:pt idx="101">
                  <c:v>8.1124157034641868</c:v>
                </c:pt>
                <c:pt idx="102">
                  <c:v>8.0832788572662331</c:v>
                </c:pt>
                <c:pt idx="103">
                  <c:v>8.0524785065023181</c:v>
                </c:pt>
                <c:pt idx="104">
                  <c:v>8.0200269598231984</c:v>
                </c:pt>
                <c:pt idx="105">
                  <c:v>7.9859370512564238</c:v>
                </c:pt>
                <c:pt idx="106">
                  <c:v>7.9502221367695762</c:v>
                </c:pt>
                <c:pt idx="107">
                  <c:v>7.9128960908573847</c:v>
                </c:pt>
                <c:pt idx="108">
                  <c:v>7.8739733031544752</c:v>
                </c:pt>
                <c:pt idx="109">
                  <c:v>7.8343364164272637</c:v>
                </c:pt>
                <c:pt idx="110">
                  <c:v>7.7948581898433922</c:v>
                </c:pt>
                <c:pt idx="111">
                  <c:v>7.7555379487785183</c:v>
                </c:pt>
                <c:pt idx="112">
                  <c:v>7.7163750226177816</c:v>
                </c:pt>
                <c:pt idx="113">
                  <c:v>7.6773687447285672</c:v>
                </c:pt>
                <c:pt idx="114">
                  <c:v>7.6385184524335061</c:v>
                </c:pt>
                <c:pt idx="115">
                  <c:v>7.5998234869836461</c:v>
                </c:pt>
                <c:pt idx="116">
                  <c:v>7.5612831935318825</c:v>
                </c:pt>
                <c:pt idx="117">
                  <c:v>7.5228969211065815</c:v>
                </c:pt>
                <c:pt idx="118">
                  <c:v>7.4846640225854193</c:v>
                </c:pt>
                <c:pt idx="119">
                  <c:v>7.4465838546694458</c:v>
                </c:pt>
                <c:pt idx="120">
                  <c:v>7.4086557778573514</c:v>
                </c:pt>
                <c:pt idx="121">
                  <c:v>7.3708791564199272</c:v>
                </c:pt>
                <c:pt idx="122">
                  <c:v>7.3332533583747432</c:v>
                </c:pt>
                <c:pt idx="123">
                  <c:v>7.2957777554610228</c:v>
                </c:pt>
                <c:pt idx="124">
                  <c:v>7.2584517231147556</c:v>
                </c:pt>
                <c:pt idx="125">
                  <c:v>7.2212746404439301</c:v>
                </c:pt>
                <c:pt idx="126">
                  <c:v>7.1842458902040631</c:v>
                </c:pt>
                <c:pt idx="127">
                  <c:v>7.1473648587738374</c:v>
                </c:pt>
                <c:pt idx="128">
                  <c:v>7.1106309361309954</c:v>
                </c:pt>
                <c:pt idx="129">
                  <c:v>7.0740435158283939</c:v>
                </c:pt>
                <c:pt idx="130">
                  <c:v>7.0376019949702613</c:v>
                </c:pt>
                <c:pt idx="131">
                  <c:v>7.0013057741886486</c:v>
                </c:pt>
                <c:pt idx="132">
                  <c:v>6.9651542576200445</c:v>
                </c:pt>
                <c:pt idx="133">
                  <c:v>6.9291468528822087</c:v>
                </c:pt>
                <c:pt idx="134">
                  <c:v>6.8932829710511703</c:v>
                </c:pt>
                <c:pt idx="135">
                  <c:v>6.8575620266384067</c:v>
                </c:pt>
                <c:pt idx="136">
                  <c:v>6.8219834375682149</c:v>
                </c:pt>
                <c:pt idx="137">
                  <c:v>6.7865466251552613</c:v>
                </c:pt>
                <c:pt idx="138">
                  <c:v>6.7512510140822917</c:v>
                </c:pt>
                <c:pt idx="139">
                  <c:v>6.716096032378041</c:v>
                </c:pt>
                <c:pt idx="140">
                  <c:v>6.681081111395307</c:v>
                </c:pt>
                <c:pt idx="141">
                  <c:v>6.6462056857891882</c:v>
                </c:pt>
                <c:pt idx="142">
                  <c:v>6.611469193495517</c:v>
                </c:pt>
                <c:pt idx="143">
                  <c:v>6.5768710757094366</c:v>
                </c:pt>
                <c:pt idx="144">
                  <c:v>6.5424107768641599</c:v>
                </c:pt>
                <c:pt idx="145">
                  <c:v>6.5080877446098997</c:v>
                </c:pt>
                <c:pt idx="146">
                  <c:v>6.4739014297929494</c:v>
                </c:pt>
                <c:pt idx="147">
                  <c:v>6.4398512864349451</c:v>
                </c:pt>
                <c:pt idx="148">
                  <c:v>6.4059367717122724</c:v>
                </c:pt>
                <c:pt idx="149">
                  <c:v>6.3721573459356629</c:v>
                </c:pt>
                <c:pt idx="150">
                  <c:v>6.338512472529902</c:v>
                </c:pt>
                <c:pt idx="151">
                  <c:v>6.3050016180137591</c:v>
                </c:pt>
                <c:pt idx="152">
                  <c:v>6.2716242519800129</c:v>
                </c:pt>
                <c:pt idx="153">
                  <c:v>6.2383798470756675</c:v>
                </c:pt>
                <c:pt idx="154">
                  <c:v>6.2052678789823252</c:v>
                </c:pt>
                <c:pt idx="155">
                  <c:v>6.1722878263966887</c:v>
                </c:pt>
                <c:pt idx="156">
                  <c:v>6.1394391710112428</c:v>
                </c:pt>
                <c:pt idx="157">
                  <c:v>6.1067213974950461</c:v>
                </c:pt>
                <c:pt idx="158">
                  <c:v>6.0741339934747334</c:v>
                </c:pt>
                <c:pt idx="159">
                  <c:v>6.0416764495155979</c:v>
                </c:pt>
                <c:pt idx="160">
                  <c:v>6.00934825910287</c:v>
                </c:pt>
                <c:pt idx="161">
                  <c:v>5.9771489186231204</c:v>
                </c:pt>
                <c:pt idx="162">
                  <c:v>5.9450779273457952</c:v>
                </c:pt>
                <c:pt idx="163">
                  <c:v>5.913134787404922</c:v>
                </c:pt>
                <c:pt idx="164">
                  <c:v>5.8813190037809493</c:v>
                </c:pt>
                <c:pt idx="165">
                  <c:v>5.8496300842826994</c:v>
                </c:pt>
                <c:pt idx="166">
                  <c:v>5.818067539529495</c:v>
                </c:pt>
                <c:pt idx="167">
                  <c:v>5.7866308829334034</c:v>
                </c:pt>
                <c:pt idx="168">
                  <c:v>5.7553196306816332</c:v>
                </c:pt>
                <c:pt idx="169">
                  <c:v>5.7241333017190392</c:v>
                </c:pt>
                <c:pt idx="170">
                  <c:v>5.6930714177307919</c:v>
                </c:pt>
                <c:pt idx="171">
                  <c:v>5.6621335031251609</c:v>
                </c:pt>
                <c:pt idx="172">
                  <c:v>5.6313190850164352</c:v>
                </c:pt>
                <c:pt idx="173">
                  <c:v>5.6006276932079775</c:v>
                </c:pt>
                <c:pt idx="174">
                  <c:v>5.5700588601754069</c:v>
                </c:pt>
                <c:pt idx="175">
                  <c:v>5.5396121210499096</c:v>
                </c:pt>
                <c:pt idx="176">
                  <c:v>5.5092870136016607</c:v>
                </c:pt>
                <c:pt idx="177">
                  <c:v>5.4790830782234154</c:v>
                </c:pt>
                <c:pt idx="178">
                  <c:v>5.4489998579141758</c:v>
                </c:pt>
                <c:pt idx="179">
                  <c:v>5.4190368982630117</c:v>
                </c:pt>
                <c:pt idx="180">
                  <c:v>5.389193747432997</c:v>
                </c:pt>
                <c:pt idx="181">
                  <c:v>5.3594699561452765</c:v>
                </c:pt>
                <c:pt idx="182">
                  <c:v>5.3298650776632233</c:v>
                </c:pt>
                <c:pt idx="183">
                  <c:v>5.3003786677767604</c:v>
                </c:pt>
                <c:pt idx="184">
                  <c:v>5.2710102847867715</c:v>
                </c:pt>
                <c:pt idx="185">
                  <c:v>5.2417594894896347</c:v>
                </c:pt>
                <c:pt idx="186">
                  <c:v>5.2126258451618828</c:v>
                </c:pt>
                <c:pt idx="187">
                  <c:v>5.1836089175449693</c:v>
                </c:pt>
                <c:pt idx="188">
                  <c:v>5.1547082748301483</c:v>
                </c:pt>
                <c:pt idx="189">
                  <c:v>5.1259234876434867</c:v>
                </c:pt>
                <c:pt idx="190">
                  <c:v>5.0972541290309676</c:v>
                </c:pt>
                <c:pt idx="191">
                  <c:v>5.0686997744437052</c:v>
                </c:pt>
                <c:pt idx="192">
                  <c:v>5.040260001723305</c:v>
                </c:pt>
                <c:pt idx="193">
                  <c:v>5.0119343910872916</c:v>
                </c:pt>
                <c:pt idx="194">
                  <c:v>4.9837225251146666</c:v>
                </c:pt>
                <c:pt idx="195">
                  <c:v>4.9556239887315758</c:v>
                </c:pt>
                <c:pt idx="196">
                  <c:v>4.9276383691970818</c:v>
                </c:pt>
                <c:pt idx="197">
                  <c:v>4.8997652560890348</c:v>
                </c:pt>
                <c:pt idx="198">
                  <c:v>4.8720042412900675</c:v>
                </c:pt>
                <c:pt idx="199">
                  <c:v>4.8443549189736803</c:v>
                </c:pt>
                <c:pt idx="200">
                  <c:v>4.8168168855904279</c:v>
                </c:pt>
                <c:pt idx="201">
                  <c:v>4.5461819869513249</c:v>
                </c:pt>
                <c:pt idx="202">
                  <c:v>4.2863868235136504</c:v>
                </c:pt>
                <c:pt idx="203">
                  <c:v>4.0370533711712913</c:v>
                </c:pt>
                <c:pt idx="204">
                  <c:v>3.797824352615919</c:v>
                </c:pt>
                <c:pt idx="205">
                  <c:v>3.5683620481123932</c:v>
                </c:pt>
                <c:pt idx="206">
                  <c:v>3.3483471914620164</c:v>
                </c:pt>
                <c:pt idx="207">
                  <c:v>3.1374779445319976</c:v>
                </c:pt>
                <c:pt idx="208">
                  <c:v>2.9354689443185831</c:v>
                </c:pt>
                <c:pt idx="209">
                  <c:v>2.7420504170434747</c:v>
                </c:pt>
                <c:pt idx="210">
                  <c:v>2.5569673542644007</c:v>
                </c:pt>
                <c:pt idx="211">
                  <c:v>2.3799787464162905</c:v>
                </c:pt>
                <c:pt idx="212">
                  <c:v>2.2108568695941369</c:v>
                </c:pt>
                <c:pt idx="213">
                  <c:v>2.0493866217466765</c:v>
                </c:pt>
                <c:pt idx="214">
                  <c:v>1.8953649047748389</c:v>
                </c:pt>
                <c:pt idx="215">
                  <c:v>1.7486000493241498</c:v>
                </c:pt>
                <c:pt idx="216">
                  <c:v>1.60891127932839</c:v>
                </c:pt>
                <c:pt idx="217">
                  <c:v>1.476128213605701</c:v>
                </c:pt>
                <c:pt idx="218">
                  <c:v>1.3500904020297393</c:v>
                </c:pt>
                <c:pt idx="219">
                  <c:v>1.2306468939995567</c:v>
                </c:pt>
                <c:pt idx="220">
                  <c:v>1.1176558371137606</c:v>
                </c:pt>
                <c:pt idx="221">
                  <c:v>1.0109841041184704</c:v>
                </c:pt>
                <c:pt idx="222">
                  <c:v>0.91050694634483675</c:v>
                </c:pt>
                <c:pt idx="223">
                  <c:v>0.81610767198056955</c:v>
                </c:pt>
                <c:pt idx="224">
                  <c:v>0.72767734762967273</c:v>
                </c:pt>
                <c:pt idx="225">
                  <c:v>0.64511452170300854</c:v>
                </c:pt>
                <c:pt idx="226">
                  <c:v>0.56832496824462519</c:v>
                </c:pt>
                <c:pt idx="227">
                  <c:v>0.49722144982667654</c:v>
                </c:pt>
                <c:pt idx="228">
                  <c:v>0.43172349812492955</c:v>
                </c:pt>
                <c:pt idx="229">
                  <c:v>0.37175721069287915</c:v>
                </c:pt>
                <c:pt idx="230">
                  <c:v>0.31725506224311056</c:v>
                </c:pt>
                <c:pt idx="231">
                  <c:v>0.26815572834592916</c:v>
                </c:pt>
                <c:pt idx="232">
                  <c:v>0.22440391873634305</c:v>
                </c:pt>
                <c:pt idx="233">
                  <c:v>0.18595021614584278</c:v>
                </c:pt>
                <c:pt idx="234">
                  <c:v>0.15275091432016935</c:v>
                </c:pt>
                <c:pt idx="235">
                  <c:v>0.12476784488973927</c:v>
                </c:pt>
                <c:pt idx="236">
                  <c:v>0.10196817573060736</c:v>
                </c:pt>
                <c:pt idx="237">
                  <c:v>8.4324151443173984E-2</c:v>
                </c:pt>
                <c:pt idx="238">
                  <c:v>7.1812727643368657E-2</c:v>
                </c:pt>
                <c:pt idx="239">
                  <c:v>6.4415026455523383E-2</c:v>
                </c:pt>
                <c:pt idx="240">
                  <c:v>6.2115525210767145E-2</c:v>
                </c:pt>
                <c:pt idx="241">
                  <c:v>6.490092045511657E-2</c:v>
                </c:pt>
                <c:pt idx="242">
                  <c:v>7.275872035719648E-2</c:v>
                </c:pt>
                <c:pt idx="243">
                  <c:v>8.5675766588514765E-2</c:v>
                </c:pt>
                <c:pt idx="244">
                  <c:v>0.10363693751734716</c:v>
                </c:pt>
                <c:pt idx="245">
                  <c:v>0.12662418206646098</c:v>
                </c:pt>
                <c:pt idx="246">
                  <c:v>0.15461588672518553</c:v>
                </c:pt>
                <c:pt idx="247">
                  <c:v>0.18758649844214001</c:v>
                </c:pt>
                <c:pt idx="248">
                  <c:v>0.22550631831360307</c:v>
                </c:pt>
                <c:pt idx="249">
                  <c:v>0.26834140269951717</c:v>
                </c:pt>
                <c:pt idx="250">
                  <c:v>0.31605353147816745</c:v>
                </c:pt>
                <c:pt idx="251">
                  <c:v>0.36860021943846538</c:v>
                </c:pt>
                <c:pt idx="252">
                  <c:v>0.42593475675915865</c:v>
                </c:pt>
                <c:pt idx="253">
                  <c:v>0.48800627027358928</c:v>
                </c:pt>
                <c:pt idx="254">
                  <c:v>0.55475980048835249</c:v>
                </c:pt>
                <c:pt idx="255">
                  <c:v>0.62613639119006481</c:v>
                </c:pt>
                <c:pt idx="256">
                  <c:v>0.70207318955238673</c:v>
                </c:pt>
                <c:pt idx="257">
                  <c:v>0.78250355528810978</c:v>
                </c:pt>
                <c:pt idx="258">
                  <c:v>0.86735717776849142</c:v>
                </c:pt>
                <c:pt idx="259">
                  <c:v>0.95656020026051081</c:v>
                </c:pt>
                <c:pt idx="260">
                  <c:v>1.0500353505728888</c:v>
                </c:pt>
                <c:pt idx="261">
                  <c:v>1.1477020774886217</c:v>
                </c:pt>
                <c:pt idx="262">
                  <c:v>1.2494766924162426</c:v>
                </c:pt>
                <c:pt idx="263">
                  <c:v>1.3552725157265026</c:v>
                </c:pt>
                <c:pt idx="264">
                  <c:v>1.4650000272634645</c:v>
                </c:pt>
                <c:pt idx="265">
                  <c:v>1.5785670205337998</c:v>
                </c:pt>
                <c:pt idx="266">
                  <c:v>1.6958787600886307</c:v>
                </c:pt>
                <c:pt idx="267">
                  <c:v>1.8168381416203523</c:v>
                </c:pt>
                <c:pt idx="268">
                  <c:v>1.941345854303915</c:v>
                </c:pt>
                <c:pt idx="269">
                  <c:v>2.069300544918907</c:v>
                </c:pt>
                <c:pt idx="270">
                  <c:v>2.2005989832958335</c:v>
                </c:pt>
                <c:pt idx="271">
                  <c:v>2.3351362286378317</c:v>
                </c:pt>
                <c:pt idx="272">
                  <c:v>2.4728057962777172</c:v>
                </c:pt>
                <c:pt idx="273">
                  <c:v>2.6134998244399767</c:v>
                </c:pt>
                <c:pt idx="274">
                  <c:v>2.7571092405881008</c:v>
                </c:pt>
                <c:pt idx="275">
                  <c:v>2.9035239269495365</c:v>
                </c:pt>
                <c:pt idx="276">
                  <c:v>3.052632884823538</c:v>
                </c:pt>
                <c:pt idx="277">
                  <c:v>3.2043243972911948</c:v>
                </c:pt>
                <c:pt idx="278">
                  <c:v>3.358486189961956</c:v>
                </c:pt>
                <c:pt idx="279">
                  <c:v>3.5150055894068672</c:v>
                </c:pt>
                <c:pt idx="280">
                  <c:v>3.6737696789455287</c:v>
                </c:pt>
                <c:pt idx="281">
                  <c:v>3.8346654514712712</c:v>
                </c:pt>
                <c:pt idx="282">
                  <c:v>3.9975799590171954</c:v>
                </c:pt>
                <c:pt idx="283">
                  <c:v>4.1624004587844414</c:v>
                </c:pt>
                <c:pt idx="284">
                  <c:v>4.3290145553731865</c:v>
                </c:pt>
                <c:pt idx="285">
                  <c:v>4.4973103389764102</c:v>
                </c:pt>
                <c:pt idx="286">
                  <c:v>4.6671765193161834</c:v>
                </c:pt>
                <c:pt idx="287">
                  <c:v>4.838502555122183</c:v>
                </c:pt>
                <c:pt idx="288">
                  <c:v>5.011178778972103</c:v>
                </c:pt>
                <c:pt idx="289">
                  <c:v>5.1850965173335757</c:v>
                </c:pt>
                <c:pt idx="290">
                  <c:v>5.3601482056669898</c:v>
                </c:pt>
                <c:pt idx="291">
                  <c:v>5.5362274984683095</c:v>
                </c:pt>
                <c:pt idx="292">
                  <c:v>5.7132293741502149</c:v>
                </c:pt>
                <c:pt idx="293">
                  <c:v>5.8910502346789091</c:v>
                </c:pt>
                <c:pt idx="294">
                  <c:v>6.0695879999024882</c:v>
                </c:pt>
                <c:pt idx="295">
                  <c:v>6.2487421965247352</c:v>
                </c:pt>
                <c:pt idx="296">
                  <c:v>6.4284140416958211</c:v>
                </c:pt>
                <c:pt idx="297">
                  <c:v>6.6085065212080654</c:v>
                </c:pt>
                <c:pt idx="298">
                  <c:v>6.7889244623013845</c:v>
                </c:pt>
                <c:pt idx="299">
                  <c:v>6.9695746010983672</c:v>
                </c:pt>
                <c:pt idx="300">
                  <c:v>7.1503656447038333</c:v>
                </c:pt>
                <c:pt idx="301">
                  <c:v>7.1505452758078629</c:v>
                </c:pt>
                <c:pt idx="302">
                  <c:v>7.1507249069475112</c:v>
                </c:pt>
                <c:pt idx="303">
                  <c:v>7.1509045381226786</c:v>
                </c:pt>
                <c:pt idx="304">
                  <c:v>7.1510841693332896</c:v>
                </c:pt>
                <c:pt idx="305">
                  <c:v>7.1512638005792528</c:v>
                </c:pt>
                <c:pt idx="306">
                  <c:v>7.151443431860482</c:v>
                </c:pt>
                <c:pt idx="307">
                  <c:v>7.1516230631768947</c:v>
                </c:pt>
                <c:pt idx="308">
                  <c:v>7.1518026945284028</c:v>
                </c:pt>
                <c:pt idx="309">
                  <c:v>7.1519823259149193</c:v>
                </c:pt>
                <c:pt idx="310">
                  <c:v>7.1521619573363537</c:v>
                </c:pt>
                <c:pt idx="311">
                  <c:v>7.1523415887926296</c:v>
                </c:pt>
                <c:pt idx="312">
                  <c:v>7.1525212202836519</c:v>
                </c:pt>
                <c:pt idx="313">
                  <c:v>7.1527008518093336</c:v>
                </c:pt>
                <c:pt idx="314">
                  <c:v>7.1528804833695983</c:v>
                </c:pt>
                <c:pt idx="315">
                  <c:v>7.15306011496435</c:v>
                </c:pt>
                <c:pt idx="316">
                  <c:v>7.1532397465935063</c:v>
                </c:pt>
                <c:pt idx="317">
                  <c:v>7.1534193782569808</c:v>
                </c:pt>
                <c:pt idx="318">
                  <c:v>7.1535990099546893</c:v>
                </c:pt>
                <c:pt idx="319">
                  <c:v>7.1537786416865394</c:v>
                </c:pt>
                <c:pt idx="320">
                  <c:v>7.1539582734524512</c:v>
                </c:pt>
                <c:pt idx="321">
                  <c:v>7.154137905252334</c:v>
                </c:pt>
                <c:pt idx="322">
                  <c:v>7.154317537086099</c:v>
                </c:pt>
                <c:pt idx="323">
                  <c:v>7.1544971689536698</c:v>
                </c:pt>
                <c:pt idx="324">
                  <c:v>7.1546768008549551</c:v>
                </c:pt>
                <c:pt idx="325">
                  <c:v>7.1548564327898676</c:v>
                </c:pt>
                <c:pt idx="326">
                  <c:v>7.1550360647583195</c:v>
                </c:pt>
                <c:pt idx="327">
                  <c:v>7.1552156967602283</c:v>
                </c:pt>
                <c:pt idx="328">
                  <c:v>7.1553953287955059</c:v>
                </c:pt>
                <c:pt idx="329">
                  <c:v>7.1555749608640626</c:v>
                </c:pt>
                <c:pt idx="330">
                  <c:v>7.1557545929658177</c:v>
                </c:pt>
                <c:pt idx="331">
                  <c:v>7.1559342251006814</c:v>
                </c:pt>
                <c:pt idx="332">
                  <c:v>7.1561138572685721</c:v>
                </c:pt>
                <c:pt idx="333">
                  <c:v>7.1562934894693946</c:v>
                </c:pt>
                <c:pt idx="334">
                  <c:v>7.1564731217030761</c:v>
                </c:pt>
                <c:pt idx="335">
                  <c:v>7.1566527539695164</c:v>
                </c:pt>
                <c:pt idx="336">
                  <c:v>7.1568323862686363</c:v>
                </c:pt>
                <c:pt idx="337">
                  <c:v>7.1570120186003496</c:v>
                </c:pt>
                <c:pt idx="338">
                  <c:v>7.1571916509645694</c:v>
                </c:pt>
                <c:pt idx="339">
                  <c:v>7.1573712833612069</c:v>
                </c:pt>
                <c:pt idx="340">
                  <c:v>7.1575509157901802</c:v>
                </c:pt>
                <c:pt idx="341">
                  <c:v>7.1577305482514006</c:v>
                </c:pt>
                <c:pt idx="342">
                  <c:v>7.1579101807447802</c:v>
                </c:pt>
                <c:pt idx="343">
                  <c:v>7.1580898132702373</c:v>
                </c:pt>
                <c:pt idx="344">
                  <c:v>7.1582694458276821</c:v>
                </c:pt>
                <c:pt idx="345">
                  <c:v>7.1584490784170312</c:v>
                </c:pt>
                <c:pt idx="346">
                  <c:v>7.1586287110381939</c:v>
                </c:pt>
                <c:pt idx="347">
                  <c:v>7.1588083436910877</c:v>
                </c:pt>
                <c:pt idx="348">
                  <c:v>7.1589879763756246</c:v>
                </c:pt>
                <c:pt idx="349">
                  <c:v>7.1591676090917185</c:v>
                </c:pt>
                <c:pt idx="350">
                  <c:v>7.1593472418392849</c:v>
                </c:pt>
                <c:pt idx="351">
                  <c:v>7.1595268746182379</c:v>
                </c:pt>
                <c:pt idx="352">
                  <c:v>7.1597065074284876</c:v>
                </c:pt>
                <c:pt idx="353">
                  <c:v>7.1598861402699496</c:v>
                </c:pt>
                <c:pt idx="354">
                  <c:v>7.1600657731425397</c:v>
                </c:pt>
                <c:pt idx="355">
                  <c:v>7.1602454060461671</c:v>
                </c:pt>
                <c:pt idx="356">
                  <c:v>7.1604250389807502</c:v>
                </c:pt>
                <c:pt idx="357">
                  <c:v>7.1606046719462011</c:v>
                </c:pt>
                <c:pt idx="358">
                  <c:v>7.1607843049424345</c:v>
                </c:pt>
                <c:pt idx="359">
                  <c:v>7.1609639379693597</c:v>
                </c:pt>
                <c:pt idx="360">
                  <c:v>7.1611435710268978</c:v>
                </c:pt>
                <c:pt idx="361">
                  <c:v>7.1613232041149564</c:v>
                </c:pt>
                <c:pt idx="362">
                  <c:v>7.1615028372334546</c:v>
                </c:pt>
                <c:pt idx="363">
                  <c:v>7.161682470382301</c:v>
                </c:pt>
                <c:pt idx="364">
                  <c:v>7.1618621035614138</c:v>
                </c:pt>
                <c:pt idx="365">
                  <c:v>7.1620417367707034</c:v>
                </c:pt>
                <c:pt idx="366">
                  <c:v>7.1622213700100827</c:v>
                </c:pt>
                <c:pt idx="367">
                  <c:v>7.1624010032794709</c:v>
                </c:pt>
                <c:pt idx="368">
                  <c:v>7.1625806365787765</c:v>
                </c:pt>
                <c:pt idx="369">
                  <c:v>7.1627602699079196</c:v>
                </c:pt>
                <c:pt idx="370">
                  <c:v>7.1629399032668051</c:v>
                </c:pt>
                <c:pt idx="371">
                  <c:v>7.1631195366553548</c:v>
                </c:pt>
                <c:pt idx="372">
                  <c:v>7.1632991700734765</c:v>
                </c:pt>
                <c:pt idx="373">
                  <c:v>7.1634788035210875</c:v>
                </c:pt>
                <c:pt idx="374">
                  <c:v>7.1636584369981025</c:v>
                </c:pt>
                <c:pt idx="375">
                  <c:v>7.1638380705044336</c:v>
                </c:pt>
                <c:pt idx="376">
                  <c:v>7.1640177040399911</c:v>
                </c:pt>
                <c:pt idx="377">
                  <c:v>7.164197337604695</c:v>
                </c:pt>
                <c:pt idx="378">
                  <c:v>7.1643769711984611</c:v>
                </c:pt>
                <c:pt idx="379">
                  <c:v>7.1645566048211906</c:v>
                </c:pt>
                <c:pt idx="380">
                  <c:v>7.164736238472809</c:v>
                </c:pt>
                <c:pt idx="381">
                  <c:v>7.1649158721532267</c:v>
                </c:pt>
                <c:pt idx="382">
                  <c:v>7.1650955058623564</c:v>
                </c:pt>
                <c:pt idx="383">
                  <c:v>7.1652751396001166</c:v>
                </c:pt>
                <c:pt idx="384">
                  <c:v>7.165454773366414</c:v>
                </c:pt>
                <c:pt idx="385">
                  <c:v>7.1656344071611695</c:v>
                </c:pt>
                <c:pt idx="386">
                  <c:v>7.1658140409842899</c:v>
                </c:pt>
                <c:pt idx="387">
                  <c:v>7.1659936748356925</c:v>
                </c:pt>
                <c:pt idx="388">
                  <c:v>7.166173308715293</c:v>
                </c:pt>
                <c:pt idx="389">
                  <c:v>7.1663529426230008</c:v>
                </c:pt>
                <c:pt idx="390">
                  <c:v>7.166532576558736</c:v>
                </c:pt>
                <c:pt idx="391">
                  <c:v>7.1667122105224053</c:v>
                </c:pt>
                <c:pt idx="392">
                  <c:v>7.1668918445139269</c:v>
                </c:pt>
                <c:pt idx="393">
                  <c:v>7.1670714785332157</c:v>
                </c:pt>
                <c:pt idx="394">
                  <c:v>7.1672511125801828</c:v>
                </c:pt>
                <c:pt idx="395">
                  <c:v>7.1674307466547429</c:v>
                </c:pt>
                <c:pt idx="396">
                  <c:v>7.1676103807568108</c:v>
                </c:pt>
                <c:pt idx="397">
                  <c:v>7.1677900148863003</c:v>
                </c:pt>
                <c:pt idx="398">
                  <c:v>7.1679696490431226</c:v>
                </c:pt>
                <c:pt idx="399">
                  <c:v>7.1681492832271934</c:v>
                </c:pt>
                <c:pt idx="400">
                  <c:v>7.1683289174384299</c:v>
                </c:pt>
                <c:pt idx="401">
                  <c:v>7.1685085516767417</c:v>
                </c:pt>
                <c:pt idx="402">
                  <c:v>7.1686881859420408</c:v>
                </c:pt>
                <c:pt idx="403">
                  <c:v>7.1688678202342473</c:v>
                </c:pt>
                <c:pt idx="404">
                  <c:v>7.1690474545532679</c:v>
                </c:pt>
                <c:pt idx="405">
                  <c:v>7.1692270888990244</c:v>
                </c:pt>
                <c:pt idx="406">
                  <c:v>7.1694067232714227</c:v>
                </c:pt>
                <c:pt idx="407">
                  <c:v>7.1695863576703838</c:v>
                </c:pt>
                <c:pt idx="408">
                  <c:v>7.1697659920958197</c:v>
                </c:pt>
                <c:pt idx="409">
                  <c:v>7.1699456265476389</c:v>
                </c:pt>
                <c:pt idx="410">
                  <c:v>7.1701252610257615</c:v>
                </c:pt>
                <c:pt idx="411">
                  <c:v>7.1703048955301005</c:v>
                </c:pt>
                <c:pt idx="412">
                  <c:v>7.1704845300605671</c:v>
                </c:pt>
                <c:pt idx="413">
                  <c:v>7.1706641646170795</c:v>
                </c:pt>
                <c:pt idx="414">
                  <c:v>7.1708437991995462</c:v>
                </c:pt>
                <c:pt idx="415">
                  <c:v>7.1710234338078847</c:v>
                </c:pt>
                <c:pt idx="416">
                  <c:v>7.1712030684420069</c:v>
                </c:pt>
                <c:pt idx="417">
                  <c:v>7.1713827031018287</c:v>
                </c:pt>
                <c:pt idx="418">
                  <c:v>7.1715623377872646</c:v>
                </c:pt>
                <c:pt idx="419">
                  <c:v>7.171741972498225</c:v>
                </c:pt>
                <c:pt idx="420">
                  <c:v>7.1719216072346228</c:v>
                </c:pt>
                <c:pt idx="421">
                  <c:v>7.1721012419963799</c:v>
                </c:pt>
                <c:pt idx="422">
                  <c:v>7.1722808767834039</c:v>
                </c:pt>
                <c:pt idx="423">
                  <c:v>7.1724605115956104</c:v>
                </c:pt>
                <c:pt idx="424">
                  <c:v>7.1726401464329133</c:v>
                </c:pt>
                <c:pt idx="425">
                  <c:v>7.1728197812952246</c:v>
                </c:pt>
                <c:pt idx="426">
                  <c:v>7.1729994161824582</c:v>
                </c:pt>
                <c:pt idx="427">
                  <c:v>7.173179051094535</c:v>
                </c:pt>
                <c:pt idx="428">
                  <c:v>7.1733586860313601</c:v>
                </c:pt>
                <c:pt idx="429">
                  <c:v>7.1735383209928498</c:v>
                </c:pt>
                <c:pt idx="430">
                  <c:v>7.1737179559789217</c:v>
                </c:pt>
                <c:pt idx="431">
                  <c:v>7.1738975909894878</c:v>
                </c:pt>
                <c:pt idx="432">
                  <c:v>7.1740772260244583</c:v>
                </c:pt>
                <c:pt idx="433">
                  <c:v>7.1742568610837569</c:v>
                </c:pt>
                <c:pt idx="434">
                  <c:v>7.1744364961672886</c:v>
                </c:pt>
                <c:pt idx="435">
                  <c:v>7.1746161312749654</c:v>
                </c:pt>
                <c:pt idx="436">
                  <c:v>7.1747957664067084</c:v>
                </c:pt>
                <c:pt idx="437">
                  <c:v>7.1749754015624267</c:v>
                </c:pt>
                <c:pt idx="438">
                  <c:v>7.1751550367420389</c:v>
                </c:pt>
                <c:pt idx="439">
                  <c:v>7.1753346719454578</c:v>
                </c:pt>
                <c:pt idx="440">
                  <c:v>7.1755143071725929</c:v>
                </c:pt>
                <c:pt idx="441">
                  <c:v>7.1756939424233614</c:v>
                </c:pt>
                <c:pt idx="442">
                  <c:v>7.1758735776976765</c:v>
                </c:pt>
                <c:pt idx="443">
                  <c:v>7.176053212995452</c:v>
                </c:pt>
                <c:pt idx="444">
                  <c:v>7.1762328483166069</c:v>
                </c:pt>
                <c:pt idx="445">
                  <c:v>7.1764124836610472</c:v>
                </c:pt>
                <c:pt idx="446">
                  <c:v>7.1765921190286948</c:v>
                </c:pt>
                <c:pt idx="447">
                  <c:v>7.1767717544194554</c:v>
                </c:pt>
                <c:pt idx="448">
                  <c:v>7.1769513898332438</c:v>
                </c:pt>
                <c:pt idx="449">
                  <c:v>7.1771310252699827</c:v>
                </c:pt>
                <c:pt idx="450">
                  <c:v>7.1773106607295762</c:v>
                </c:pt>
                <c:pt idx="451">
                  <c:v>7.1774902962119462</c:v>
                </c:pt>
                <c:pt idx="452">
                  <c:v>7.1776699317170021</c:v>
                </c:pt>
                <c:pt idx="453">
                  <c:v>7.1778495672446621</c:v>
                </c:pt>
                <c:pt idx="454">
                  <c:v>7.1780292027948329</c:v>
                </c:pt>
                <c:pt idx="455">
                  <c:v>7.178208838367433</c:v>
                </c:pt>
                <c:pt idx="456">
                  <c:v>7.1783884739623787</c:v>
                </c:pt>
                <c:pt idx="457">
                  <c:v>7.1785681095795777</c:v>
                </c:pt>
                <c:pt idx="458">
                  <c:v>7.1787477452189474</c:v>
                </c:pt>
                <c:pt idx="459">
                  <c:v>7.1789273808804044</c:v>
                </c:pt>
                <c:pt idx="460">
                  <c:v>7.1791070165638571</c:v>
                </c:pt>
                <c:pt idx="461">
                  <c:v>7.1792866522692265</c:v>
                </c:pt>
                <c:pt idx="462">
                  <c:v>7.1794662879964202</c:v>
                </c:pt>
                <c:pt idx="463">
                  <c:v>7.1796459237453529</c:v>
                </c:pt>
                <c:pt idx="464">
                  <c:v>7.179825559515943</c:v>
                </c:pt>
                <c:pt idx="465">
                  <c:v>7.1800051953081034</c:v>
                </c:pt>
                <c:pt idx="466">
                  <c:v>7.1801848311217435</c:v>
                </c:pt>
                <c:pt idx="467">
                  <c:v>7.1803644669567834</c:v>
                </c:pt>
                <c:pt idx="468">
                  <c:v>7.1805441028131289</c:v>
                </c:pt>
                <c:pt idx="469">
                  <c:v>7.1807237386907046</c:v>
                </c:pt>
                <c:pt idx="470">
                  <c:v>7.1809033745894189</c:v>
                </c:pt>
                <c:pt idx="471">
                  <c:v>7.1810830105091839</c:v>
                </c:pt>
                <c:pt idx="472">
                  <c:v>7.1812626464499196</c:v>
                </c:pt>
                <c:pt idx="473">
                  <c:v>7.1814422824115338</c:v>
                </c:pt>
                <c:pt idx="474">
                  <c:v>7.1816219183939429</c:v>
                </c:pt>
                <c:pt idx="475">
                  <c:v>7.1818015543970608</c:v>
                </c:pt>
                <c:pt idx="476">
                  <c:v>7.1819811904207986</c:v>
                </c:pt>
                <c:pt idx="477">
                  <c:v>7.1821608264650774</c:v>
                </c:pt>
                <c:pt idx="478">
                  <c:v>7.18234046252981</c:v>
                </c:pt>
                <c:pt idx="479">
                  <c:v>7.1825200986149031</c:v>
                </c:pt>
                <c:pt idx="480">
                  <c:v>7.1826997347202779</c:v>
                </c:pt>
                <c:pt idx="481">
                  <c:v>7.1828793708458454</c:v>
                </c:pt>
                <c:pt idx="482">
                  <c:v>7.183059006991523</c:v>
                </c:pt>
                <c:pt idx="483">
                  <c:v>7.1832386431572184</c:v>
                </c:pt>
                <c:pt idx="484">
                  <c:v>7.1834182793428498</c:v>
                </c:pt>
                <c:pt idx="485">
                  <c:v>7.1835979155483312</c:v>
                </c:pt>
                <c:pt idx="486">
                  <c:v>7.1837775517735754</c:v>
                </c:pt>
                <c:pt idx="487">
                  <c:v>7.1839571880184954</c:v>
                </c:pt>
                <c:pt idx="488">
                  <c:v>7.1841368242830121</c:v>
                </c:pt>
                <c:pt idx="489">
                  <c:v>7.1843164605670333</c:v>
                </c:pt>
                <c:pt idx="490">
                  <c:v>7.1844960968704683</c:v>
                </c:pt>
                <c:pt idx="491">
                  <c:v>7.184675733193246</c:v>
                </c:pt>
                <c:pt idx="492">
                  <c:v>7.1848553695352662</c:v>
                </c:pt>
                <c:pt idx="493">
                  <c:v>7.1850350058964469</c:v>
                </c:pt>
                <c:pt idx="494">
                  <c:v>7.1852146422767067</c:v>
                </c:pt>
                <c:pt idx="495">
                  <c:v>7.1853942786759575</c:v>
                </c:pt>
                <c:pt idx="496">
                  <c:v>7.1855739150941131</c:v>
                </c:pt>
                <c:pt idx="497">
                  <c:v>7.1857535515310822</c:v>
                </c:pt>
                <c:pt idx="498">
                  <c:v>7.1859331879867847</c:v>
                </c:pt>
                <c:pt idx="499">
                  <c:v>7.1861128244611372</c:v>
                </c:pt>
                <c:pt idx="500">
                  <c:v>7.1862924609540491</c:v>
                </c:pt>
                <c:pt idx="501">
                  <c:v>7.186472097465435</c:v>
                </c:pt>
                <c:pt idx="502">
                  <c:v>7.1866517339952125</c:v>
                </c:pt>
                <c:pt idx="503">
                  <c:v>7.18683137054329</c:v>
                </c:pt>
                <c:pt idx="504">
                  <c:v>7.187011007109585</c:v>
                </c:pt>
                <c:pt idx="505">
                  <c:v>7.1871906436940076</c:v>
                </c:pt>
                <c:pt idx="506">
                  <c:v>7.1873702802964772</c:v>
                </c:pt>
                <c:pt idx="507">
                  <c:v>7.1875499169169057</c:v>
                </c:pt>
                <c:pt idx="508">
                  <c:v>7.1877295535552079</c:v>
                </c:pt>
                <c:pt idx="509">
                  <c:v>7.1879091902112986</c:v>
                </c:pt>
                <c:pt idx="510">
                  <c:v>7.1880888268850907</c:v>
                </c:pt>
                <c:pt idx="511">
                  <c:v>7.1882684635764988</c:v>
                </c:pt>
                <c:pt idx="512">
                  <c:v>7.1884481002854344</c:v>
                </c:pt>
                <c:pt idx="513">
                  <c:v>7.1886277370118172</c:v>
                </c:pt>
                <c:pt idx="514">
                  <c:v>7.1888073737555542</c:v>
                </c:pt>
                <c:pt idx="515">
                  <c:v>7.1889870105165636</c:v>
                </c:pt>
                <c:pt idx="516">
                  <c:v>7.1891666472947602</c:v>
                </c:pt>
                <c:pt idx="517">
                  <c:v>7.1893462840900568</c:v>
                </c:pt>
                <c:pt idx="518">
                  <c:v>7.1895259209023674</c:v>
                </c:pt>
                <c:pt idx="519">
                  <c:v>7.1897055577316085</c:v>
                </c:pt>
                <c:pt idx="520">
                  <c:v>7.1898851945776894</c:v>
                </c:pt>
                <c:pt idx="521">
                  <c:v>7.1900648314405302</c:v>
                </c:pt>
                <c:pt idx="522">
                  <c:v>7.1902444683200404</c:v>
                </c:pt>
                <c:pt idx="523">
                  <c:v>7.1904241052161355</c:v>
                </c:pt>
                <c:pt idx="524">
                  <c:v>7.1906037421287285</c:v>
                </c:pt>
                <c:pt idx="525">
                  <c:v>7.1907833790577316</c:v>
                </c:pt>
                <c:pt idx="526">
                  <c:v>7.1909630160030664</c:v>
                </c:pt>
                <c:pt idx="527">
                  <c:v>7.1911426529646461</c:v>
                </c:pt>
                <c:pt idx="528">
                  <c:v>7.1913222899423745</c:v>
                </c:pt>
                <c:pt idx="529">
                  <c:v>7.1915019269361773</c:v>
                </c:pt>
                <c:pt idx="530">
                  <c:v>7.1916815639459637</c:v>
                </c:pt>
                <c:pt idx="531">
                  <c:v>7.1918612009716458</c:v>
                </c:pt>
                <c:pt idx="532">
                  <c:v>7.192040838013142</c:v>
                </c:pt>
                <c:pt idx="533">
                  <c:v>7.1922204750703607</c:v>
                </c:pt>
                <c:pt idx="534">
                  <c:v>7.1924001121432264</c:v>
                </c:pt>
                <c:pt idx="535">
                  <c:v>7.1925797492316459</c:v>
                </c:pt>
                <c:pt idx="536">
                  <c:v>7.1927593863355312</c:v>
                </c:pt>
                <c:pt idx="537">
                  <c:v>7.1929390234548007</c:v>
                </c:pt>
                <c:pt idx="538">
                  <c:v>7.1931186605893709</c:v>
                </c:pt>
                <c:pt idx="539">
                  <c:v>7.1932982977391458</c:v>
                </c:pt>
                <c:pt idx="540">
                  <c:v>7.1934779349040499</c:v>
                </c:pt>
                <c:pt idx="541">
                  <c:v>7.1936575720839926</c:v>
                </c:pt>
                <c:pt idx="542">
                  <c:v>7.1938372092788905</c:v>
                </c:pt>
                <c:pt idx="543">
                  <c:v>7.1940168464886574</c:v>
                </c:pt>
                <c:pt idx="544">
                  <c:v>7.1941964837132062</c:v>
                </c:pt>
                <c:pt idx="545">
                  <c:v>7.1943761209524473</c:v>
                </c:pt>
                <c:pt idx="546">
                  <c:v>7.1945557582063016</c:v>
                </c:pt>
                <c:pt idx="547">
                  <c:v>7.1947353954746811</c:v>
                </c:pt>
                <c:pt idx="548">
                  <c:v>7.1949150327575007</c:v>
                </c:pt>
                <c:pt idx="549">
                  <c:v>7.1950946700546732</c:v>
                </c:pt>
                <c:pt idx="550">
                  <c:v>7.1952743073661134</c:v>
                </c:pt>
                <c:pt idx="551">
                  <c:v>7.1954539446917307</c:v>
                </c:pt>
                <c:pt idx="552">
                  <c:v>7.1956335820314496</c:v>
                </c:pt>
                <c:pt idx="553">
                  <c:v>7.1958132193851707</c:v>
                </c:pt>
                <c:pt idx="554">
                  <c:v>7.195992856752822</c:v>
                </c:pt>
                <c:pt idx="555">
                  <c:v>7.1961724941343119</c:v>
                </c:pt>
                <c:pt idx="556">
                  <c:v>7.19635213152955</c:v>
                </c:pt>
                <c:pt idx="557">
                  <c:v>7.1965317689384616</c:v>
                </c:pt>
                <c:pt idx="558">
                  <c:v>7.1967114063609463</c:v>
                </c:pt>
                <c:pt idx="559">
                  <c:v>7.1968910437969305</c:v>
                </c:pt>
                <c:pt idx="560">
                  <c:v>7.1970706812463261</c:v>
                </c:pt>
                <c:pt idx="561">
                  <c:v>7.1972503187090426</c:v>
                </c:pt>
                <c:pt idx="562">
                  <c:v>7.1974299561849957</c:v>
                </c:pt>
                <c:pt idx="563">
                  <c:v>7.1976095936741009</c:v>
                </c:pt>
                <c:pt idx="564">
                  <c:v>7.197789231176273</c:v>
                </c:pt>
                <c:pt idx="565">
                  <c:v>7.1979688686914276</c:v>
                </c:pt>
                <c:pt idx="566">
                  <c:v>7.1981485062194741</c:v>
                </c:pt>
                <c:pt idx="567">
                  <c:v>7.1983281437603273</c:v>
                </c:pt>
                <c:pt idx="568">
                  <c:v>7.198507781313908</c:v>
                </c:pt>
                <c:pt idx="569">
                  <c:v>7.1986874188801204</c:v>
                </c:pt>
                <c:pt idx="570">
                  <c:v>7.1988670564588908</c:v>
                </c:pt>
                <c:pt idx="571">
                  <c:v>7.1990466940501268</c:v>
                </c:pt>
                <c:pt idx="572">
                  <c:v>7.1992263316537404</c:v>
                </c:pt>
                <c:pt idx="573">
                  <c:v>7.1994059692696446</c:v>
                </c:pt>
                <c:pt idx="574">
                  <c:v>7.1995856068977613</c:v>
                </c:pt>
                <c:pt idx="575">
                  <c:v>7.1997652445380007</c:v>
                </c:pt>
                <c:pt idx="576">
                  <c:v>7.1999448821902767</c:v>
                </c:pt>
                <c:pt idx="577">
                  <c:v>7.2001245198545032</c:v>
                </c:pt>
                <c:pt idx="578">
                  <c:v>7.2003041575305957</c:v>
                </c:pt>
                <c:pt idx="579">
                  <c:v>7.2004837952184699</c:v>
                </c:pt>
                <c:pt idx="580">
                  <c:v>7.2006634329180352</c:v>
                </c:pt>
                <c:pt idx="581">
                  <c:v>7.2008430706292081</c:v>
                </c:pt>
                <c:pt idx="582">
                  <c:v>7.2010227083519034</c:v>
                </c:pt>
                <c:pt idx="583">
                  <c:v>7.2012023460860348</c:v>
                </c:pt>
                <c:pt idx="584">
                  <c:v>7.2013819838315243</c:v>
                </c:pt>
                <c:pt idx="585">
                  <c:v>7.2015616215882723</c:v>
                </c:pt>
                <c:pt idx="586">
                  <c:v>7.2017412593561971</c:v>
                </c:pt>
                <c:pt idx="587">
                  <c:v>7.2019208971352224</c:v>
                </c:pt>
                <c:pt idx="588">
                  <c:v>7.2021005349252505</c:v>
                </c:pt>
                <c:pt idx="589">
                  <c:v>7.2022801727262058</c:v>
                </c:pt>
                <c:pt idx="590">
                  <c:v>7.2024598105379924</c:v>
                </c:pt>
                <c:pt idx="591">
                  <c:v>7.2026394483605332</c:v>
                </c:pt>
                <c:pt idx="592">
                  <c:v>7.2028190861937391</c:v>
                </c:pt>
                <c:pt idx="593">
                  <c:v>7.2029987240375251</c:v>
                </c:pt>
                <c:pt idx="594">
                  <c:v>7.2031783618917995</c:v>
                </c:pt>
                <c:pt idx="595">
                  <c:v>7.2033579997564834</c:v>
                </c:pt>
                <c:pt idx="596">
                  <c:v>7.2035376376314959</c:v>
                </c:pt>
                <c:pt idx="597">
                  <c:v>7.2037172755167411</c:v>
                </c:pt>
                <c:pt idx="598">
                  <c:v>7.2038969134121329</c:v>
                </c:pt>
                <c:pt idx="599">
                  <c:v>7.2040765513175922</c:v>
                </c:pt>
                <c:pt idx="600">
                  <c:v>7.2042561892330328</c:v>
                </c:pt>
                <c:pt idx="601">
                  <c:v>7.2044358271583651</c:v>
                </c:pt>
                <c:pt idx="602">
                  <c:v>7.2046154650935081</c:v>
                </c:pt>
                <c:pt idx="603">
                  <c:v>7.2047951030383723</c:v>
                </c:pt>
                <c:pt idx="604">
                  <c:v>7.2049747409928688</c:v>
                </c:pt>
                <c:pt idx="605">
                  <c:v>7.2051543789569186</c:v>
                </c:pt>
                <c:pt idx="606">
                  <c:v>7.2053340169304381</c:v>
                </c:pt>
                <c:pt idx="607">
                  <c:v>7.2055136549133314</c:v>
                </c:pt>
                <c:pt idx="608">
                  <c:v>7.2056932929055169</c:v>
                </c:pt>
                <c:pt idx="609">
                  <c:v>7.2058729309069145</c:v>
                </c:pt>
                <c:pt idx="610">
                  <c:v>7.2060525689174337</c:v>
                </c:pt>
                <c:pt idx="611">
                  <c:v>7.206232206936992</c:v>
                </c:pt>
                <c:pt idx="612">
                  <c:v>7.206411844965495</c:v>
                </c:pt>
                <c:pt idx="613">
                  <c:v>7.206591483002871</c:v>
                </c:pt>
                <c:pt idx="614">
                  <c:v>7.2067711210490248</c:v>
                </c:pt>
                <c:pt idx="615">
                  <c:v>7.2069507591038695</c:v>
                </c:pt>
                <c:pt idx="616">
                  <c:v>7.2071303971673242</c:v>
                </c:pt>
                <c:pt idx="617">
                  <c:v>7.2073100352392983</c:v>
                </c:pt>
                <c:pt idx="618">
                  <c:v>7.2074896733197127</c:v>
                </c:pt>
                <c:pt idx="619">
                  <c:v>7.2076693114084769</c:v>
                </c:pt>
                <c:pt idx="620">
                  <c:v>7.2078489495055065</c:v>
                </c:pt>
                <c:pt idx="621">
                  <c:v>7.2080285876107189</c:v>
                </c:pt>
                <c:pt idx="622">
                  <c:v>7.2082082257240225</c:v>
                </c:pt>
                <c:pt idx="623">
                  <c:v>7.2083878638453323</c:v>
                </c:pt>
                <c:pt idx="624">
                  <c:v>7.208567501974569</c:v>
                </c:pt>
                <c:pt idx="625">
                  <c:v>7.208747140111643</c:v>
                </c:pt>
                <c:pt idx="626">
                  <c:v>7.208926778256469</c:v>
                </c:pt>
                <c:pt idx="627">
                  <c:v>7.2091064164089582</c:v>
                </c:pt>
                <c:pt idx="628">
                  <c:v>7.2092860545690272</c:v>
                </c:pt>
                <c:pt idx="629">
                  <c:v>7.2094656927365959</c:v>
                </c:pt>
                <c:pt idx="630">
                  <c:v>7.209645330911572</c:v>
                </c:pt>
                <c:pt idx="631">
                  <c:v>7.2098249690938676</c:v>
                </c:pt>
                <c:pt idx="632">
                  <c:v>7.2100046072834045</c:v>
                </c:pt>
                <c:pt idx="633">
                  <c:v>7.2101842454800957</c:v>
                </c:pt>
                <c:pt idx="634">
                  <c:v>7.2103638836838488</c:v>
                </c:pt>
                <c:pt idx="635">
                  <c:v>7.2105435218945848</c:v>
                </c:pt>
                <c:pt idx="636">
                  <c:v>7.2107231601122166</c:v>
                </c:pt>
                <c:pt idx="637">
                  <c:v>7.2109027983366536</c:v>
                </c:pt>
                <c:pt idx="638">
                  <c:v>7.2110824365678194</c:v>
                </c:pt>
                <c:pt idx="639">
                  <c:v>7.2112620748056209</c:v>
                </c:pt>
                <c:pt idx="640">
                  <c:v>7.2114417130499744</c:v>
                </c:pt>
                <c:pt idx="641">
                  <c:v>7.2116213513007974</c:v>
                </c:pt>
                <c:pt idx="642">
                  <c:v>7.2118009895580002</c:v>
                </c:pt>
                <c:pt idx="643">
                  <c:v>7.2119806278215011</c:v>
                </c:pt>
                <c:pt idx="644">
                  <c:v>7.2121602660912085</c:v>
                </c:pt>
                <c:pt idx="645">
                  <c:v>7.2123399043670453</c:v>
                </c:pt>
                <c:pt idx="646">
                  <c:v>7.212519542648919</c:v>
                </c:pt>
                <c:pt idx="647">
                  <c:v>7.2126991809367427</c:v>
                </c:pt>
                <c:pt idx="648">
                  <c:v>7.2128788192304389</c:v>
                </c:pt>
                <c:pt idx="649">
                  <c:v>7.2130584575299164</c:v>
                </c:pt>
                <c:pt idx="650">
                  <c:v>7.213238095835087</c:v>
                </c:pt>
                <c:pt idx="651">
                  <c:v>7.2134177341458727</c:v>
                </c:pt>
                <c:pt idx="652">
                  <c:v>7.2135973724621811</c:v>
                </c:pt>
                <c:pt idx="653">
                  <c:v>7.2137770107839296</c:v>
                </c:pt>
                <c:pt idx="654">
                  <c:v>7.213956649111033</c:v>
                </c:pt>
                <c:pt idx="655">
                  <c:v>7.214136287443405</c:v>
                </c:pt>
                <c:pt idx="656">
                  <c:v>7.2143159257809613</c:v>
                </c:pt>
                <c:pt idx="657">
                  <c:v>7.2144955641236148</c:v>
                </c:pt>
                <c:pt idx="658">
                  <c:v>7.2146752024712768</c:v>
                </c:pt>
                <c:pt idx="659">
                  <c:v>7.2148548408238655</c:v>
                </c:pt>
                <c:pt idx="660">
                  <c:v>7.2150344791812984</c:v>
                </c:pt>
                <c:pt idx="661">
                  <c:v>7.2152141175434785</c:v>
                </c:pt>
                <c:pt idx="662">
                  <c:v>7.2153937559103367</c:v>
                </c:pt>
                <c:pt idx="663">
                  <c:v>7.2155733942817761</c:v>
                </c:pt>
                <c:pt idx="664">
                  <c:v>7.2157530326577124</c:v>
                </c:pt>
                <c:pt idx="665">
                  <c:v>7.2159326710380629</c:v>
                </c:pt>
                <c:pt idx="666">
                  <c:v>7.2161123094227397</c:v>
                </c:pt>
                <c:pt idx="667">
                  <c:v>7.2162919478116558</c:v>
                </c:pt>
                <c:pt idx="668">
                  <c:v>7.2164715862047322</c:v>
                </c:pt>
                <c:pt idx="669">
                  <c:v>7.2166512246018799</c:v>
                </c:pt>
                <c:pt idx="670">
                  <c:v>7.2168308630030067</c:v>
                </c:pt>
                <c:pt idx="671">
                  <c:v>7.2170105014080361</c:v>
                </c:pt>
                <c:pt idx="672">
                  <c:v>7.2171901398168776</c:v>
                </c:pt>
                <c:pt idx="673">
                  <c:v>7.2173697782294512</c:v>
                </c:pt>
                <c:pt idx="674">
                  <c:v>7.2175494166456637</c:v>
                </c:pt>
                <c:pt idx="675">
                  <c:v>7.2177290550654334</c:v>
                </c:pt>
                <c:pt idx="676">
                  <c:v>7.2179086934886767</c:v>
                </c:pt>
                <c:pt idx="677">
                  <c:v>7.2180883319153066</c:v>
                </c:pt>
                <c:pt idx="678">
                  <c:v>7.2182679703452308</c:v>
                </c:pt>
                <c:pt idx="679">
                  <c:v>7.21844760877838</c:v>
                </c:pt>
                <c:pt idx="680">
                  <c:v>7.2186272472146493</c:v>
                </c:pt>
                <c:pt idx="681">
                  <c:v>7.2188068856539678</c:v>
                </c:pt>
                <c:pt idx="682">
                  <c:v>7.2189865240962421</c:v>
                </c:pt>
                <c:pt idx="683">
                  <c:v>7.2191661625413905</c:v>
                </c:pt>
                <c:pt idx="684">
                  <c:v>7.2193458009893243</c:v>
                </c:pt>
                <c:pt idx="685">
                  <c:v>7.2195254394399617</c:v>
                </c:pt>
                <c:pt idx="686">
                  <c:v>7.2197050778932157</c:v>
                </c:pt>
                <c:pt idx="687">
                  <c:v>7.2198847163490001</c:v>
                </c:pt>
                <c:pt idx="688">
                  <c:v>7.2200643548072305</c:v>
                </c:pt>
                <c:pt idx="689">
                  <c:v>7.22024399326782</c:v>
                </c:pt>
                <c:pt idx="690">
                  <c:v>7.2204236317306805</c:v>
                </c:pt>
                <c:pt idx="691">
                  <c:v>7.2206032701957303</c:v>
                </c:pt>
                <c:pt idx="692">
                  <c:v>7.2207829086628825</c:v>
                </c:pt>
                <c:pt idx="693">
                  <c:v>7.2209625471320571</c:v>
                </c:pt>
                <c:pt idx="694">
                  <c:v>7.2211421856031608</c:v>
                </c:pt>
                <c:pt idx="695">
                  <c:v>7.2213218240761092</c:v>
                </c:pt>
                <c:pt idx="696">
                  <c:v>7.2215014625508234</c:v>
                </c:pt>
                <c:pt idx="697">
                  <c:v>7.2216811010272091</c:v>
                </c:pt>
                <c:pt idx="698">
                  <c:v>7.2218607395051864</c:v>
                </c:pt>
                <c:pt idx="699">
                  <c:v>7.2220403779846638</c:v>
                </c:pt>
                <c:pt idx="700">
                  <c:v>7.2222200164655677</c:v>
                </c:pt>
                <c:pt idx="701">
                  <c:v>7.2223996549477993</c:v>
                </c:pt>
                <c:pt idx="702">
                  <c:v>7.222579293431278</c:v>
                </c:pt>
                <c:pt idx="703">
                  <c:v>7.2227589319159211</c:v>
                </c:pt>
                <c:pt idx="704">
                  <c:v>7.2229385704016416</c:v>
                </c:pt>
                <c:pt idx="705">
                  <c:v>7.2231182088883532</c:v>
                </c:pt>
                <c:pt idx="706">
                  <c:v>7.2232978473759726</c:v>
                </c:pt>
                <c:pt idx="707">
                  <c:v>7.2234774858644082</c:v>
                </c:pt>
                <c:pt idx="708">
                  <c:v>7.2236571243535845</c:v>
                </c:pt>
                <c:pt idx="709">
                  <c:v>7.2238367628434075</c:v>
                </c:pt>
                <c:pt idx="710">
                  <c:v>7.2240164013337917</c:v>
                </c:pt>
                <c:pt idx="711">
                  <c:v>7.2241960398246583</c:v>
                </c:pt>
                <c:pt idx="712">
                  <c:v>7.2243756783159165</c:v>
                </c:pt>
                <c:pt idx="713">
                  <c:v>7.2245553168074848</c:v>
                </c:pt>
                <c:pt idx="714">
                  <c:v>7.2247349552992715</c:v>
                </c:pt>
                <c:pt idx="715">
                  <c:v>7.2249145937911985</c:v>
                </c:pt>
                <c:pt idx="716">
                  <c:v>7.2250942322831726</c:v>
                </c:pt>
                <c:pt idx="717">
                  <c:v>7.2252738707751147</c:v>
                </c:pt>
                <c:pt idx="718">
                  <c:v>7.2254535092669423</c:v>
                </c:pt>
                <c:pt idx="719">
                  <c:v>7.2256331477585567</c:v>
                </c:pt>
                <c:pt idx="720">
                  <c:v>7.2258127862498824</c:v>
                </c:pt>
                <c:pt idx="721">
                  <c:v>7.2259924247408334</c:v>
                </c:pt>
                <c:pt idx="722">
                  <c:v>7.226172063231326</c:v>
                </c:pt>
                <c:pt idx="723">
                  <c:v>7.2263517017212688</c:v>
                </c:pt>
                <c:pt idx="724">
                  <c:v>7.2265313402105775</c:v>
                </c:pt>
                <c:pt idx="725">
                  <c:v>7.2267109786991686</c:v>
                </c:pt>
                <c:pt idx="726">
                  <c:v>7.2268906171869594</c:v>
                </c:pt>
                <c:pt idx="727">
                  <c:v>7.2270702556738611</c:v>
                </c:pt>
                <c:pt idx="728">
                  <c:v>7.2272498941597876</c:v>
                </c:pt>
                <c:pt idx="729">
                  <c:v>7.2274295326446527</c:v>
                </c:pt>
                <c:pt idx="730">
                  <c:v>7.2276091711283739</c:v>
                </c:pt>
                <c:pt idx="731">
                  <c:v>7.2277888096108649</c:v>
                </c:pt>
                <c:pt idx="732">
                  <c:v>7.2279684480920423</c:v>
                </c:pt>
                <c:pt idx="733">
                  <c:v>7.228148086571812</c:v>
                </c:pt>
                <c:pt idx="734">
                  <c:v>7.2283277250500992</c:v>
                </c:pt>
                <c:pt idx="735">
                  <c:v>7.2285073635268127</c:v>
                </c:pt>
                <c:pt idx="736">
                  <c:v>7.2286870020018696</c:v>
                </c:pt>
                <c:pt idx="737">
                  <c:v>7.2288666404751885</c:v>
                </c:pt>
                <c:pt idx="738">
                  <c:v>7.2290462789466714</c:v>
                </c:pt>
                <c:pt idx="739">
                  <c:v>7.2292259174162448</c:v>
                </c:pt>
                <c:pt idx="740">
                  <c:v>7.2294055558838171</c:v>
                </c:pt>
                <c:pt idx="741">
                  <c:v>7.2295851943493039</c:v>
                </c:pt>
                <c:pt idx="742">
                  <c:v>7.2297648328126209</c:v>
                </c:pt>
                <c:pt idx="743">
                  <c:v>7.2299444712736811</c:v>
                </c:pt>
                <c:pt idx="744">
                  <c:v>7.2301241097324027</c:v>
                </c:pt>
                <c:pt idx="745">
                  <c:v>7.2303037481886969</c:v>
                </c:pt>
                <c:pt idx="746">
                  <c:v>7.230483386642482</c:v>
                </c:pt>
                <c:pt idx="747">
                  <c:v>7.2306630250936665</c:v>
                </c:pt>
                <c:pt idx="748">
                  <c:v>7.2308426635421661</c:v>
                </c:pt>
                <c:pt idx="749">
                  <c:v>7.2310223019879043</c:v>
                </c:pt>
                <c:pt idx="750">
                  <c:v>7.2312019404307835</c:v>
                </c:pt>
                <c:pt idx="751">
                  <c:v>7.2313815788707272</c:v>
                </c:pt>
                <c:pt idx="752">
                  <c:v>7.231561217307644</c:v>
                </c:pt>
                <c:pt idx="753">
                  <c:v>7.2317408557414522</c:v>
                </c:pt>
                <c:pt idx="754">
                  <c:v>7.2319204941720692</c:v>
                </c:pt>
                <c:pt idx="755">
                  <c:v>7.2321001325993972</c:v>
                </c:pt>
                <c:pt idx="756">
                  <c:v>7.2322797710233653</c:v>
                </c:pt>
                <c:pt idx="757">
                  <c:v>7.2324594094438819</c:v>
                </c:pt>
                <c:pt idx="758">
                  <c:v>7.2326390478608618</c:v>
                </c:pt>
                <c:pt idx="759">
                  <c:v>7.2328186862742232</c:v>
                </c:pt>
                <c:pt idx="760">
                  <c:v>7.2329983246838765</c:v>
                </c:pt>
                <c:pt idx="761">
                  <c:v>7.2331779630897337</c:v>
                </c:pt>
                <c:pt idx="762">
                  <c:v>7.2333576014917149</c:v>
                </c:pt>
                <c:pt idx="763">
                  <c:v>7.2335372398897304</c:v>
                </c:pt>
                <c:pt idx="764">
                  <c:v>7.2337168782836985</c:v>
                </c:pt>
                <c:pt idx="765">
                  <c:v>7.2338965166735338</c:v>
                </c:pt>
                <c:pt idx="766">
                  <c:v>7.2340761550591486</c:v>
                </c:pt>
                <c:pt idx="767">
                  <c:v>7.2342557934404574</c:v>
                </c:pt>
                <c:pt idx="768">
                  <c:v>7.2344354318173814</c:v>
                </c:pt>
                <c:pt idx="769">
                  <c:v>7.2346150701898253</c:v>
                </c:pt>
                <c:pt idx="770">
                  <c:v>7.2347947085577067</c:v>
                </c:pt>
                <c:pt idx="771">
                  <c:v>7.2349743469209455</c:v>
                </c:pt>
                <c:pt idx="772">
                  <c:v>7.2351539852794513</c:v>
                </c:pt>
                <c:pt idx="773">
                  <c:v>7.2353336236331387</c:v>
                </c:pt>
                <c:pt idx="774">
                  <c:v>7.2355132619819278</c:v>
                </c:pt>
                <c:pt idx="775">
                  <c:v>7.2356929003257218</c:v>
                </c:pt>
                <c:pt idx="776">
                  <c:v>7.2358725386644496</c:v>
                </c:pt>
                <c:pt idx="777">
                  <c:v>7.2360521769980153</c:v>
                </c:pt>
                <c:pt idx="778">
                  <c:v>7.2362318153263416</c:v>
                </c:pt>
                <c:pt idx="779">
                  <c:v>7.236411453649338</c:v>
                </c:pt>
                <c:pt idx="780">
                  <c:v>7.2365910919669219</c:v>
                </c:pt>
                <c:pt idx="781">
                  <c:v>7.2367707302790008</c:v>
                </c:pt>
                <c:pt idx="782">
                  <c:v>7.2369503685854957</c:v>
                </c:pt>
                <c:pt idx="783">
                  <c:v>7.2371300068863196</c:v>
                </c:pt>
                <c:pt idx="784">
                  <c:v>7.2373096451813925</c:v>
                </c:pt>
                <c:pt idx="785">
                  <c:v>7.237489283470623</c:v>
                </c:pt>
                <c:pt idx="786">
                  <c:v>7.2376689217539303</c:v>
                </c:pt>
                <c:pt idx="787">
                  <c:v>7.2378485600312166</c:v>
                </c:pt>
                <c:pt idx="788">
                  <c:v>7.2380281983024126</c:v>
                </c:pt>
                <c:pt idx="789">
                  <c:v>7.2382078365674261</c:v>
                </c:pt>
                <c:pt idx="790">
                  <c:v>7.2383874748261707</c:v>
                </c:pt>
                <c:pt idx="791">
                  <c:v>7.2385671130785649</c:v>
                </c:pt>
                <c:pt idx="792">
                  <c:v>7.2387467513245189</c:v>
                </c:pt>
                <c:pt idx="793">
                  <c:v>7.2389263895639511</c:v>
                </c:pt>
                <c:pt idx="794">
                  <c:v>7.239106027796768</c:v>
                </c:pt>
                <c:pt idx="795">
                  <c:v>7.2392856660228979</c:v>
                </c:pt>
                <c:pt idx="796">
                  <c:v>7.2394653042422448</c:v>
                </c:pt>
                <c:pt idx="797">
                  <c:v>7.2396449424547313</c:v>
                </c:pt>
                <c:pt idx="798">
                  <c:v>7.2398245806602635</c:v>
                </c:pt>
                <c:pt idx="799">
                  <c:v>7.2400042188587612</c:v>
                </c:pt>
                <c:pt idx="800">
                  <c:v>7.2401838570501438</c:v>
                </c:pt>
                <c:pt idx="801">
                  <c:v>7.2403634952343143</c:v>
                </c:pt>
                <c:pt idx="802">
                  <c:v>7.2405431334112</c:v>
                </c:pt>
                <c:pt idx="803">
                  <c:v>7.2407227715807023</c:v>
                </c:pt>
                <c:pt idx="804">
                  <c:v>7.2409024097427421</c:v>
                </c:pt>
                <c:pt idx="805">
                  <c:v>7.2410820478972395</c:v>
                </c:pt>
                <c:pt idx="806">
                  <c:v>7.2412616860441039</c:v>
                </c:pt>
                <c:pt idx="807">
                  <c:v>7.2414413241832483</c:v>
                </c:pt>
                <c:pt idx="808">
                  <c:v>7.2416209623145962</c:v>
                </c:pt>
                <c:pt idx="809">
                  <c:v>7.2418006004380455</c:v>
                </c:pt>
                <c:pt idx="810">
                  <c:v>7.2419802385535306</c:v>
                </c:pt>
                <c:pt idx="811">
                  <c:v>7.2421598766609563</c:v>
                </c:pt>
                <c:pt idx="812">
                  <c:v>7.2423395147602401</c:v>
                </c:pt>
                <c:pt idx="813">
                  <c:v>7.2425191528512896</c:v>
                </c:pt>
                <c:pt idx="814">
                  <c:v>7.2426987909340248</c:v>
                </c:pt>
                <c:pt idx="815">
                  <c:v>7.2428784290083632</c:v>
                </c:pt>
                <c:pt idx="816">
                  <c:v>7.2430580670742133</c:v>
                </c:pt>
                <c:pt idx="817">
                  <c:v>7.2432377051314942</c:v>
                </c:pt>
                <c:pt idx="818">
                  <c:v>7.2434173431801208</c:v>
                </c:pt>
                <c:pt idx="819">
                  <c:v>7.2435969812200058</c:v>
                </c:pt>
                <c:pt idx="820">
                  <c:v>7.2437766192510615</c:v>
                </c:pt>
                <c:pt idx="821">
                  <c:v>7.2439562572732115</c:v>
                </c:pt>
                <c:pt idx="822">
                  <c:v>7.2441358952863641</c:v>
                </c:pt>
                <c:pt idx="823">
                  <c:v>7.2443155332904352</c:v>
                </c:pt>
                <c:pt idx="824">
                  <c:v>7.2444951712853394</c:v>
                </c:pt>
                <c:pt idx="825">
                  <c:v>7.2446748092709923</c:v>
                </c:pt>
                <c:pt idx="826">
                  <c:v>7.2448544472473051</c:v>
                </c:pt>
                <c:pt idx="827">
                  <c:v>7.245034085214197</c:v>
                </c:pt>
                <c:pt idx="828">
                  <c:v>7.245213723171581</c:v>
                </c:pt>
                <c:pt idx="829">
                  <c:v>7.2453933611193726</c:v>
                </c:pt>
                <c:pt idx="830">
                  <c:v>7.2455729990574849</c:v>
                </c:pt>
                <c:pt idx="831">
                  <c:v>7.2457526369858343</c:v>
                </c:pt>
                <c:pt idx="832">
                  <c:v>7.2459322749043347</c:v>
                </c:pt>
                <c:pt idx="833">
                  <c:v>7.2461119128129017</c:v>
                </c:pt>
                <c:pt idx="834">
                  <c:v>7.24629155071145</c:v>
                </c:pt>
                <c:pt idx="835">
                  <c:v>7.2464711885998909</c:v>
                </c:pt>
                <c:pt idx="836">
                  <c:v>7.2466508264781488</c:v>
                </c:pt>
                <c:pt idx="837">
                  <c:v>7.2468304643461225</c:v>
                </c:pt>
                <c:pt idx="838">
                  <c:v>7.2470101022037428</c:v>
                </c:pt>
                <c:pt idx="839">
                  <c:v>7.2471897400509144</c:v>
                </c:pt>
                <c:pt idx="840">
                  <c:v>7.2473693778875559</c:v>
                </c:pt>
                <c:pt idx="841">
                  <c:v>7.2475490157135836</c:v>
                </c:pt>
                <c:pt idx="842">
                  <c:v>7.2477286535289078</c:v>
                </c:pt>
                <c:pt idx="843">
                  <c:v>7.2479082913334487</c:v>
                </c:pt>
                <c:pt idx="844">
                  <c:v>7.2480879291271165</c:v>
                </c:pt>
                <c:pt idx="845">
                  <c:v>7.2482675669098322</c:v>
                </c:pt>
                <c:pt idx="846">
                  <c:v>7.2484472046814989</c:v>
                </c:pt>
                <c:pt idx="847">
                  <c:v>7.2486268424420439</c:v>
                </c:pt>
                <c:pt idx="848">
                  <c:v>7.248806480191373</c:v>
                </c:pt>
                <c:pt idx="849">
                  <c:v>7.2489861179294088</c:v>
                </c:pt>
                <c:pt idx="850">
                  <c:v>7.2491657556560609</c:v>
                </c:pt>
                <c:pt idx="851">
                  <c:v>7.2493453933712448</c:v>
                </c:pt>
                <c:pt idx="852">
                  <c:v>7.249525031074878</c:v>
                </c:pt>
                <c:pt idx="853">
                  <c:v>7.2497046687668689</c:v>
                </c:pt>
                <c:pt idx="854">
                  <c:v>7.2498843064471412</c:v>
                </c:pt>
                <c:pt idx="855">
                  <c:v>7.2500639441156025</c:v>
                </c:pt>
                <c:pt idx="856">
                  <c:v>7.2502435817721693</c:v>
                </c:pt>
                <c:pt idx="857">
                  <c:v>7.2504232194167608</c:v>
                </c:pt>
                <c:pt idx="858">
                  <c:v>7.2506028570492864</c:v>
                </c:pt>
                <c:pt idx="859">
                  <c:v>7.2507824946696644</c:v>
                </c:pt>
                <c:pt idx="860">
                  <c:v>7.2509621322778077</c:v>
                </c:pt>
                <c:pt idx="861">
                  <c:v>7.251141769873632</c:v>
                </c:pt>
                <c:pt idx="862">
                  <c:v>7.2513214074570485</c:v>
                </c:pt>
                <c:pt idx="863">
                  <c:v>7.2515010450279771</c:v>
                </c:pt>
                <c:pt idx="864">
                  <c:v>7.2516806825863354</c:v>
                </c:pt>
                <c:pt idx="865">
                  <c:v>7.2518603201320273</c:v>
                </c:pt>
                <c:pt idx="866">
                  <c:v>7.2520399576649748</c:v>
                </c:pt>
                <c:pt idx="867">
                  <c:v>7.252219595185097</c:v>
                </c:pt>
                <c:pt idx="868">
                  <c:v>7.2523992326923015</c:v>
                </c:pt>
                <c:pt idx="869">
                  <c:v>7.2525788701865039</c:v>
                </c:pt>
                <c:pt idx="870">
                  <c:v>7.2527585076676191</c:v>
                </c:pt>
                <c:pt idx="871">
                  <c:v>7.252938145135567</c:v>
                </c:pt>
                <c:pt idx="872">
                  <c:v>7.2531177825902553</c:v>
                </c:pt>
                <c:pt idx="873">
                  <c:v>7.2532974200316067</c:v>
                </c:pt>
                <c:pt idx="874">
                  <c:v>7.253477057459528</c:v>
                </c:pt>
                <c:pt idx="875">
                  <c:v>7.2536566948739427</c:v>
                </c:pt>
                <c:pt idx="876">
                  <c:v>7.253836332274755</c:v>
                </c:pt>
                <c:pt idx="877">
                  <c:v>7.2540159696618893</c:v>
                </c:pt>
                <c:pt idx="878">
                  <c:v>7.254195607035256</c:v>
                </c:pt>
                <c:pt idx="879">
                  <c:v>7.2543752443947707</c:v>
                </c:pt>
                <c:pt idx="880">
                  <c:v>7.254554881740348</c:v>
                </c:pt>
                <c:pt idx="881">
                  <c:v>7.2547345190719028</c:v>
                </c:pt>
                <c:pt idx="882">
                  <c:v>7.2549141563893533</c:v>
                </c:pt>
                <c:pt idx="883">
                  <c:v>7.2550937936926081</c:v>
                </c:pt>
                <c:pt idx="884">
                  <c:v>7.2552734309815872</c:v>
                </c:pt>
                <c:pt idx="885">
                  <c:v>7.2554530682562035</c:v>
                </c:pt>
                <c:pt idx="886">
                  <c:v>7.2556327055163692</c:v>
                </c:pt>
                <c:pt idx="887">
                  <c:v>7.2558123427620043</c:v>
                </c:pt>
                <c:pt idx="888">
                  <c:v>7.255991979993019</c:v>
                </c:pt>
                <c:pt idx="889">
                  <c:v>7.2561716172093353</c:v>
                </c:pt>
                <c:pt idx="890">
                  <c:v>7.2563512544108617</c:v>
                </c:pt>
                <c:pt idx="891">
                  <c:v>7.2565308915975155</c:v>
                </c:pt>
                <c:pt idx="892">
                  <c:v>7.2567105287692097</c:v>
                </c:pt>
                <c:pt idx="893">
                  <c:v>7.25689016592586</c:v>
                </c:pt>
                <c:pt idx="894">
                  <c:v>7.2570698030673855</c:v>
                </c:pt>
                <c:pt idx="895">
                  <c:v>7.257249440193692</c:v>
                </c:pt>
                <c:pt idx="896">
                  <c:v>7.2574290773046997</c:v>
                </c:pt>
                <c:pt idx="897">
                  <c:v>7.2576087144003258</c:v>
                </c:pt>
                <c:pt idx="898">
                  <c:v>7.25778835148048</c:v>
                </c:pt>
                <c:pt idx="899">
                  <c:v>7.2579679885450847</c:v>
                </c:pt>
                <c:pt idx="900">
                  <c:v>7.2581476255940522</c:v>
                </c:pt>
                <c:pt idx="901">
                  <c:v>7.2583272626272874</c:v>
                </c:pt>
                <c:pt idx="902">
                  <c:v>7.2585068996447211</c:v>
                </c:pt>
                <c:pt idx="903">
                  <c:v>7.2586865366462563</c:v>
                </c:pt>
                <c:pt idx="904">
                  <c:v>7.2588661736318132</c:v>
                </c:pt>
                <c:pt idx="905">
                  <c:v>7.2590458106013047</c:v>
                </c:pt>
                <c:pt idx="906">
                  <c:v>7.2592254475546492</c:v>
                </c:pt>
                <c:pt idx="907">
                  <c:v>7.2594050844917568</c:v>
                </c:pt>
                <c:pt idx="908">
                  <c:v>7.2595847214125442</c:v>
                </c:pt>
                <c:pt idx="909">
                  <c:v>7.2597643583169287</c:v>
                </c:pt>
                <c:pt idx="910">
                  <c:v>7.2599439952048241</c:v>
                </c:pt>
                <c:pt idx="911">
                  <c:v>7.2601236320761418</c:v>
                </c:pt>
                <c:pt idx="912">
                  <c:v>7.2603032689308016</c:v>
                </c:pt>
                <c:pt idx="913">
                  <c:v>7.2604829057687157</c:v>
                </c:pt>
                <c:pt idx="914">
                  <c:v>7.2606625425898024</c:v>
                </c:pt>
                <c:pt idx="915">
                  <c:v>7.2608421793939701</c:v>
                </c:pt>
                <c:pt idx="916">
                  <c:v>7.2610218161811408</c:v>
                </c:pt>
                <c:pt idx="917">
                  <c:v>7.2612014529512221</c:v>
                </c:pt>
                <c:pt idx="918">
                  <c:v>7.2613810897041384</c:v>
                </c:pt>
                <c:pt idx="919">
                  <c:v>7.2615607264397957</c:v>
                </c:pt>
                <c:pt idx="920">
                  <c:v>7.2617403631581174</c:v>
                </c:pt>
                <c:pt idx="921">
                  <c:v>7.2619199998590078</c:v>
                </c:pt>
                <c:pt idx="922">
                  <c:v>7.2620996365423904</c:v>
                </c:pt>
                <c:pt idx="923">
                  <c:v>7.2622792732081773</c:v>
                </c:pt>
                <c:pt idx="924">
                  <c:v>7.2624589098562851</c:v>
                </c:pt>
                <c:pt idx="925">
                  <c:v>7.2626385464866257</c:v>
                </c:pt>
                <c:pt idx="926">
                  <c:v>7.2628181830991139</c:v>
                </c:pt>
                <c:pt idx="927">
                  <c:v>7.2629978196936698</c:v>
                </c:pt>
                <c:pt idx="928">
                  <c:v>7.2631774562702089</c:v>
                </c:pt>
                <c:pt idx="929">
                  <c:v>7.2633570928286355</c:v>
                </c:pt>
                <c:pt idx="930">
                  <c:v>7.2635367293688713</c:v>
                </c:pt>
                <c:pt idx="931">
                  <c:v>7.2637163658908337</c:v>
                </c:pt>
                <c:pt idx="932">
                  <c:v>7.2638960023944366</c:v>
                </c:pt>
                <c:pt idx="933">
                  <c:v>7.2640756388795928</c:v>
                </c:pt>
                <c:pt idx="934">
                  <c:v>7.2642552753462182</c:v>
                </c:pt>
                <c:pt idx="935">
                  <c:v>7.26443491179423</c:v>
                </c:pt>
                <c:pt idx="936">
                  <c:v>7.2646145482235367</c:v>
                </c:pt>
                <c:pt idx="937">
                  <c:v>7.2647941846340593</c:v>
                </c:pt>
                <c:pt idx="938">
                  <c:v>7.2649738210257135</c:v>
                </c:pt>
                <c:pt idx="939">
                  <c:v>7.2651534573984105</c:v>
                </c:pt>
                <c:pt idx="940">
                  <c:v>7.265333093752071</c:v>
                </c:pt>
                <c:pt idx="941">
                  <c:v>7.2655127300866011</c:v>
                </c:pt>
                <c:pt idx="942">
                  <c:v>7.2656923664019244</c:v>
                </c:pt>
                <c:pt idx="943">
                  <c:v>7.2658720026979475</c:v>
                </c:pt>
                <c:pt idx="944">
                  <c:v>7.2660516389745942</c:v>
                </c:pt>
                <c:pt idx="945">
                  <c:v>7.2662312752317728</c:v>
                </c:pt>
                <c:pt idx="946">
                  <c:v>7.2664109114694009</c:v>
                </c:pt>
                <c:pt idx="947">
                  <c:v>7.266590547687394</c:v>
                </c:pt>
                <c:pt idx="948">
                  <c:v>7.2667701838856615</c:v>
                </c:pt>
                <c:pt idx="949">
                  <c:v>7.2669498200641307</c:v>
                </c:pt>
                <c:pt idx="950">
                  <c:v>7.2671294562227065</c:v>
                </c:pt>
                <c:pt idx="951">
                  <c:v>7.2673090923613088</c:v>
                </c:pt>
                <c:pt idx="952">
                  <c:v>7.2674887284798491</c:v>
                </c:pt>
                <c:pt idx="953">
                  <c:v>7.2676683645782427</c:v>
                </c:pt>
                <c:pt idx="954">
                  <c:v>7.2678480006564055</c:v>
                </c:pt>
                <c:pt idx="955">
                  <c:v>7.2680276367142564</c:v>
                </c:pt>
                <c:pt idx="956">
                  <c:v>7.2682072727517042</c:v>
                </c:pt>
                <c:pt idx="957">
                  <c:v>7.268386908768667</c:v>
                </c:pt>
                <c:pt idx="958">
                  <c:v>7.2685665447650623</c:v>
                </c:pt>
                <c:pt idx="959">
                  <c:v>7.2687461807407985</c:v>
                </c:pt>
                <c:pt idx="960">
                  <c:v>7.2689258166957975</c:v>
                </c:pt>
                <c:pt idx="961">
                  <c:v>7.269105452629967</c:v>
                </c:pt>
                <c:pt idx="962">
                  <c:v>7.2692850885432341</c:v>
                </c:pt>
                <c:pt idx="963">
                  <c:v>7.2694647244355002</c:v>
                </c:pt>
                <c:pt idx="964">
                  <c:v>7.269644360306688</c:v>
                </c:pt>
                <c:pt idx="965">
                  <c:v>7.269823996156707</c:v>
                </c:pt>
                <c:pt idx="966">
                  <c:v>7.2700036319854826</c:v>
                </c:pt>
                <c:pt idx="967">
                  <c:v>7.2701832677929152</c:v>
                </c:pt>
                <c:pt idx="968">
                  <c:v>7.2703629035789374</c:v>
                </c:pt>
                <c:pt idx="969">
                  <c:v>7.2705425393434497</c:v>
                </c:pt>
                <c:pt idx="970">
                  <c:v>7.2707221750863713</c:v>
                </c:pt>
                <c:pt idx="971">
                  <c:v>7.2709018108076258</c:v>
                </c:pt>
                <c:pt idx="972">
                  <c:v>7.2710814465071119</c:v>
                </c:pt>
                <c:pt idx="973">
                  <c:v>7.2712610821847585</c:v>
                </c:pt>
                <c:pt idx="974">
                  <c:v>7.2714407178404725</c:v>
                </c:pt>
                <c:pt idx="975">
                  <c:v>7.2716203534741748</c:v>
                </c:pt>
                <c:pt idx="976">
                  <c:v>7.2717999890857792</c:v>
                </c:pt>
                <c:pt idx="977">
                  <c:v>7.271979624675196</c:v>
                </c:pt>
                <c:pt idx="978">
                  <c:v>7.2721592602423453</c:v>
                </c:pt>
                <c:pt idx="979">
                  <c:v>7.2723388957871409</c:v>
                </c:pt>
                <c:pt idx="980">
                  <c:v>7.2725185313094984</c:v>
                </c:pt>
                <c:pt idx="981">
                  <c:v>7.2726981668093282</c:v>
                </c:pt>
                <c:pt idx="982">
                  <c:v>7.2728778022865521</c:v>
                </c:pt>
                <c:pt idx="983">
                  <c:v>7.2730574377410839</c:v>
                </c:pt>
                <c:pt idx="984">
                  <c:v>7.273237073172834</c:v>
                </c:pt>
                <c:pt idx="985">
                  <c:v>7.2734167085817223</c:v>
                </c:pt>
                <c:pt idx="986">
                  <c:v>7.273596343967661</c:v>
                </c:pt>
                <c:pt idx="987">
                  <c:v>7.2737759793305674</c:v>
                </c:pt>
                <c:pt idx="988">
                  <c:v>7.2739556146703581</c:v>
                </c:pt>
                <c:pt idx="989">
                  <c:v>7.2741352499869452</c:v>
                </c:pt>
                <c:pt idx="990">
                  <c:v>7.2743148852802406</c:v>
                </c:pt>
                <c:pt idx="991">
                  <c:v>7.2744945205501681</c:v>
                </c:pt>
                <c:pt idx="992">
                  <c:v>7.2746741557966379</c:v>
                </c:pt>
                <c:pt idx="993">
                  <c:v>7.2748537910195603</c:v>
                </c:pt>
                <c:pt idx="994">
                  <c:v>7.2750334262188598</c:v>
                </c:pt>
                <c:pt idx="995">
                  <c:v>7.2752130613944432</c:v>
                </c:pt>
                <c:pt idx="996">
                  <c:v>7.2753926965462306</c:v>
                </c:pt>
                <c:pt idx="997">
                  <c:v>7.2755723316741374</c:v>
                </c:pt>
                <c:pt idx="998">
                  <c:v>7.2757519667780786</c:v>
                </c:pt>
                <c:pt idx="999">
                  <c:v>7.2759316018579634</c:v>
                </c:pt>
                <c:pt idx="1000">
                  <c:v>7.2761112369137129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33-7045-93AD-06357D4BE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997744"/>
        <c:axId val="1"/>
      </c:scatterChart>
      <c:valAx>
        <c:axId val="9289977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Forces [N]</a:t>
                </a:r>
              </a:p>
            </c:rich>
          </c:tx>
          <c:layout>
            <c:manualLayout>
              <c:xMode val="edge"/>
              <c:yMode val="edge"/>
              <c:x val="2.0047169811320754E-2"/>
              <c:y val="0.333334383202099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289977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56931973537896"/>
          <c:y val="0.34616601298281663"/>
          <c:w val="0.12046826702267209"/>
          <c:h val="0.222230033026005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Courbes!$B$140</c:f>
          <c:strCache>
            <c:ptCount val="1"/>
            <c:pt idx="0">
              <c:v>Vitesse</c:v>
            </c:pt>
          </c:strCache>
        </c:strRef>
      </c:tx>
      <c:overlay val="1"/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495283018867926"/>
          <c:y val="9.4771544282144501E-2"/>
          <c:w val="0.87617924528302105"/>
          <c:h val="0.74183243282920064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Courbes!$B$140</c:f>
              <c:strCache>
                <c:ptCount val="1"/>
                <c:pt idx="0">
                  <c:v>Vitesse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2.1000000000000014</c:v>
                </c:pt>
                <c:pt idx="202">
                  <c:v>2.2000000000000015</c:v>
                </c:pt>
                <c:pt idx="203">
                  <c:v>2.3000000000000016</c:v>
                </c:pt>
                <c:pt idx="204">
                  <c:v>2.4000000000000017</c:v>
                </c:pt>
                <c:pt idx="205">
                  <c:v>2.5000000000000018</c:v>
                </c:pt>
                <c:pt idx="206">
                  <c:v>2.6000000000000019</c:v>
                </c:pt>
                <c:pt idx="207">
                  <c:v>2.700000000000002</c:v>
                </c:pt>
                <c:pt idx="208">
                  <c:v>2.800000000000002</c:v>
                </c:pt>
                <c:pt idx="209">
                  <c:v>2.9000000000000021</c:v>
                </c:pt>
                <c:pt idx="210">
                  <c:v>3.0000000000000022</c:v>
                </c:pt>
                <c:pt idx="211">
                  <c:v>3.1000000000000023</c:v>
                </c:pt>
                <c:pt idx="212">
                  <c:v>3.2000000000000024</c:v>
                </c:pt>
                <c:pt idx="213">
                  <c:v>3.3000000000000025</c:v>
                </c:pt>
                <c:pt idx="214">
                  <c:v>3.4000000000000026</c:v>
                </c:pt>
                <c:pt idx="215">
                  <c:v>3.5000000000000027</c:v>
                </c:pt>
                <c:pt idx="216">
                  <c:v>3.6000000000000028</c:v>
                </c:pt>
                <c:pt idx="217">
                  <c:v>3.7000000000000028</c:v>
                </c:pt>
                <c:pt idx="218">
                  <c:v>3.8000000000000029</c:v>
                </c:pt>
                <c:pt idx="219">
                  <c:v>3.900000000000003</c:v>
                </c:pt>
                <c:pt idx="220">
                  <c:v>4.0000000000000027</c:v>
                </c:pt>
                <c:pt idx="221">
                  <c:v>4.1000000000000023</c:v>
                </c:pt>
                <c:pt idx="222">
                  <c:v>4.200000000000002</c:v>
                </c:pt>
                <c:pt idx="223">
                  <c:v>4.3000000000000016</c:v>
                </c:pt>
                <c:pt idx="224">
                  <c:v>4.4000000000000012</c:v>
                </c:pt>
                <c:pt idx="225">
                  <c:v>4.5000000000000009</c:v>
                </c:pt>
                <c:pt idx="226">
                  <c:v>4.6000000000000005</c:v>
                </c:pt>
                <c:pt idx="227">
                  <c:v>4.7</c:v>
                </c:pt>
                <c:pt idx="228">
                  <c:v>4.8</c:v>
                </c:pt>
                <c:pt idx="229">
                  <c:v>4.8999999999999995</c:v>
                </c:pt>
                <c:pt idx="230">
                  <c:v>4.9999999999999991</c:v>
                </c:pt>
                <c:pt idx="231">
                  <c:v>5.0999999999999988</c:v>
                </c:pt>
                <c:pt idx="232">
                  <c:v>5.1999999999999984</c:v>
                </c:pt>
                <c:pt idx="233">
                  <c:v>5.299999999999998</c:v>
                </c:pt>
                <c:pt idx="234">
                  <c:v>5.3999999999999977</c:v>
                </c:pt>
                <c:pt idx="235">
                  <c:v>5.4999999999999973</c:v>
                </c:pt>
                <c:pt idx="236">
                  <c:v>5.599999999999997</c:v>
                </c:pt>
                <c:pt idx="237">
                  <c:v>5.6999999999999966</c:v>
                </c:pt>
                <c:pt idx="238">
                  <c:v>5.7999999999999963</c:v>
                </c:pt>
                <c:pt idx="239">
                  <c:v>5.8999999999999959</c:v>
                </c:pt>
                <c:pt idx="240">
                  <c:v>5.9999999999999956</c:v>
                </c:pt>
                <c:pt idx="241">
                  <c:v>6.0999999999999952</c:v>
                </c:pt>
                <c:pt idx="242">
                  <c:v>6.1999999999999948</c:v>
                </c:pt>
                <c:pt idx="243">
                  <c:v>6.2999999999999945</c:v>
                </c:pt>
                <c:pt idx="244">
                  <c:v>6.3999999999999941</c:v>
                </c:pt>
                <c:pt idx="245">
                  <c:v>6.4999999999999938</c:v>
                </c:pt>
                <c:pt idx="246">
                  <c:v>6.5999999999999934</c:v>
                </c:pt>
                <c:pt idx="247">
                  <c:v>6.6999999999999931</c:v>
                </c:pt>
                <c:pt idx="248">
                  <c:v>6.7999999999999927</c:v>
                </c:pt>
                <c:pt idx="249">
                  <c:v>6.8999999999999924</c:v>
                </c:pt>
                <c:pt idx="250">
                  <c:v>6.999999999999992</c:v>
                </c:pt>
                <c:pt idx="251">
                  <c:v>7.0999999999999917</c:v>
                </c:pt>
                <c:pt idx="252">
                  <c:v>7.1999999999999913</c:v>
                </c:pt>
                <c:pt idx="253">
                  <c:v>7.2999999999999909</c:v>
                </c:pt>
                <c:pt idx="254">
                  <c:v>7.3999999999999906</c:v>
                </c:pt>
                <c:pt idx="255">
                  <c:v>7.4999999999999902</c:v>
                </c:pt>
                <c:pt idx="256">
                  <c:v>7.5999999999999899</c:v>
                </c:pt>
                <c:pt idx="257">
                  <c:v>7.6999999999999895</c:v>
                </c:pt>
                <c:pt idx="258">
                  <c:v>7.7999999999999892</c:v>
                </c:pt>
                <c:pt idx="259">
                  <c:v>7.8999999999999888</c:v>
                </c:pt>
                <c:pt idx="260">
                  <c:v>7.9999999999999885</c:v>
                </c:pt>
                <c:pt idx="261">
                  <c:v>8.099999999999989</c:v>
                </c:pt>
                <c:pt idx="262">
                  <c:v>8.1999999999999886</c:v>
                </c:pt>
                <c:pt idx="263">
                  <c:v>8.2999999999999883</c:v>
                </c:pt>
                <c:pt idx="264">
                  <c:v>8.3999999999999879</c:v>
                </c:pt>
                <c:pt idx="265">
                  <c:v>8.4999999999999876</c:v>
                </c:pt>
                <c:pt idx="266">
                  <c:v>8.5999999999999872</c:v>
                </c:pt>
                <c:pt idx="267">
                  <c:v>8.6999999999999869</c:v>
                </c:pt>
                <c:pt idx="268">
                  <c:v>8.7999999999999865</c:v>
                </c:pt>
                <c:pt idx="269">
                  <c:v>8.8999999999999861</c:v>
                </c:pt>
                <c:pt idx="270">
                  <c:v>8.9999999999999858</c:v>
                </c:pt>
                <c:pt idx="271">
                  <c:v>9.0999999999999854</c:v>
                </c:pt>
                <c:pt idx="272">
                  <c:v>9.1999999999999851</c:v>
                </c:pt>
                <c:pt idx="273">
                  <c:v>9.2999999999999847</c:v>
                </c:pt>
                <c:pt idx="274">
                  <c:v>9.3999999999999844</c:v>
                </c:pt>
                <c:pt idx="275">
                  <c:v>9.499999999999984</c:v>
                </c:pt>
                <c:pt idx="276">
                  <c:v>9.5999999999999837</c:v>
                </c:pt>
                <c:pt idx="277">
                  <c:v>9.6999999999999833</c:v>
                </c:pt>
                <c:pt idx="278">
                  <c:v>9.7999999999999829</c:v>
                </c:pt>
                <c:pt idx="279">
                  <c:v>9.8999999999999826</c:v>
                </c:pt>
                <c:pt idx="280">
                  <c:v>9.9999999999999822</c:v>
                </c:pt>
                <c:pt idx="281">
                  <c:v>10.099999999999982</c:v>
                </c:pt>
                <c:pt idx="282">
                  <c:v>10.199999999999982</c:v>
                </c:pt>
                <c:pt idx="283">
                  <c:v>10.299999999999981</c:v>
                </c:pt>
                <c:pt idx="284">
                  <c:v>10.399999999999981</c:v>
                </c:pt>
                <c:pt idx="285">
                  <c:v>10.49999999999998</c:v>
                </c:pt>
                <c:pt idx="286">
                  <c:v>10.59999999999998</c:v>
                </c:pt>
                <c:pt idx="287">
                  <c:v>10.69999999999998</c:v>
                </c:pt>
                <c:pt idx="288">
                  <c:v>10.799999999999979</c:v>
                </c:pt>
                <c:pt idx="289">
                  <c:v>10.899999999999979</c:v>
                </c:pt>
                <c:pt idx="290">
                  <c:v>10.999999999999979</c:v>
                </c:pt>
                <c:pt idx="291">
                  <c:v>11.099999999999978</c:v>
                </c:pt>
                <c:pt idx="292">
                  <c:v>11.199999999999978</c:v>
                </c:pt>
                <c:pt idx="293">
                  <c:v>11.299999999999978</c:v>
                </c:pt>
                <c:pt idx="294">
                  <c:v>11.399999999999977</c:v>
                </c:pt>
                <c:pt idx="295">
                  <c:v>11.499999999999977</c:v>
                </c:pt>
                <c:pt idx="296">
                  <c:v>11.599999999999977</c:v>
                </c:pt>
                <c:pt idx="297">
                  <c:v>11.699999999999976</c:v>
                </c:pt>
                <c:pt idx="298">
                  <c:v>11.799999999999976</c:v>
                </c:pt>
                <c:pt idx="299">
                  <c:v>11.899999999999975</c:v>
                </c:pt>
                <c:pt idx="300">
                  <c:v>11.999999999999975</c:v>
                </c:pt>
                <c:pt idx="301">
                  <c:v>12.000099999999975</c:v>
                </c:pt>
                <c:pt idx="302">
                  <c:v>12.000199999999975</c:v>
                </c:pt>
                <c:pt idx="303">
                  <c:v>12.000299999999974</c:v>
                </c:pt>
                <c:pt idx="304">
                  <c:v>12.000399999999974</c:v>
                </c:pt>
                <c:pt idx="305">
                  <c:v>12.000499999999974</c:v>
                </c:pt>
                <c:pt idx="306">
                  <c:v>12.000599999999974</c:v>
                </c:pt>
                <c:pt idx="307">
                  <c:v>12.000699999999973</c:v>
                </c:pt>
                <c:pt idx="308">
                  <c:v>12.000799999999973</c:v>
                </c:pt>
                <c:pt idx="309">
                  <c:v>12.000899999999973</c:v>
                </c:pt>
                <c:pt idx="310">
                  <c:v>12.000999999999973</c:v>
                </c:pt>
                <c:pt idx="311">
                  <c:v>12.001099999999973</c:v>
                </c:pt>
                <c:pt idx="312">
                  <c:v>12.001199999999972</c:v>
                </c:pt>
                <c:pt idx="313">
                  <c:v>12.001299999999972</c:v>
                </c:pt>
                <c:pt idx="314">
                  <c:v>12.001399999999972</c:v>
                </c:pt>
                <c:pt idx="315">
                  <c:v>12.001499999999972</c:v>
                </c:pt>
                <c:pt idx="316">
                  <c:v>12.001599999999971</c:v>
                </c:pt>
                <c:pt idx="317">
                  <c:v>12.001699999999971</c:v>
                </c:pt>
                <c:pt idx="318">
                  <c:v>12.001799999999971</c:v>
                </c:pt>
                <c:pt idx="319">
                  <c:v>12.001899999999971</c:v>
                </c:pt>
                <c:pt idx="320">
                  <c:v>12.00199999999997</c:v>
                </c:pt>
                <c:pt idx="321">
                  <c:v>12.00209999999997</c:v>
                </c:pt>
                <c:pt idx="322">
                  <c:v>12.00219999999997</c:v>
                </c:pt>
                <c:pt idx="323">
                  <c:v>12.00229999999997</c:v>
                </c:pt>
                <c:pt idx="324">
                  <c:v>12.00239999999997</c:v>
                </c:pt>
                <c:pt idx="325">
                  <c:v>12.002499999999969</c:v>
                </c:pt>
                <c:pt idx="326">
                  <c:v>12.002599999999969</c:v>
                </c:pt>
                <c:pt idx="327">
                  <c:v>12.002699999999969</c:v>
                </c:pt>
                <c:pt idx="328">
                  <c:v>12.002799999999969</c:v>
                </c:pt>
                <c:pt idx="329">
                  <c:v>12.002899999999968</c:v>
                </c:pt>
                <c:pt idx="330">
                  <c:v>12.002999999999968</c:v>
                </c:pt>
                <c:pt idx="331">
                  <c:v>12.003099999999968</c:v>
                </c:pt>
                <c:pt idx="332">
                  <c:v>12.003199999999968</c:v>
                </c:pt>
                <c:pt idx="333">
                  <c:v>12.003299999999967</c:v>
                </c:pt>
                <c:pt idx="334">
                  <c:v>12.003399999999967</c:v>
                </c:pt>
                <c:pt idx="335">
                  <c:v>12.003499999999967</c:v>
                </c:pt>
                <c:pt idx="336">
                  <c:v>12.003599999999967</c:v>
                </c:pt>
                <c:pt idx="337">
                  <c:v>12.003699999999967</c:v>
                </c:pt>
                <c:pt idx="338">
                  <c:v>12.003799999999966</c:v>
                </c:pt>
                <c:pt idx="339">
                  <c:v>12.003899999999966</c:v>
                </c:pt>
                <c:pt idx="340">
                  <c:v>12.003999999999966</c:v>
                </c:pt>
                <c:pt idx="341">
                  <c:v>12.004099999999966</c:v>
                </c:pt>
                <c:pt idx="342">
                  <c:v>12.004199999999965</c:v>
                </c:pt>
                <c:pt idx="343">
                  <c:v>12.004299999999965</c:v>
                </c:pt>
                <c:pt idx="344">
                  <c:v>12.004399999999965</c:v>
                </c:pt>
                <c:pt idx="345">
                  <c:v>12.004499999999965</c:v>
                </c:pt>
                <c:pt idx="346">
                  <c:v>12.004599999999964</c:v>
                </c:pt>
                <c:pt idx="347">
                  <c:v>12.004699999999964</c:v>
                </c:pt>
                <c:pt idx="348">
                  <c:v>12.004799999999964</c:v>
                </c:pt>
                <c:pt idx="349">
                  <c:v>12.004899999999964</c:v>
                </c:pt>
                <c:pt idx="350">
                  <c:v>12.004999999999963</c:v>
                </c:pt>
                <c:pt idx="351">
                  <c:v>12.005099999999963</c:v>
                </c:pt>
                <c:pt idx="352">
                  <c:v>12.005199999999963</c:v>
                </c:pt>
                <c:pt idx="353">
                  <c:v>12.005299999999963</c:v>
                </c:pt>
                <c:pt idx="354">
                  <c:v>12.005399999999963</c:v>
                </c:pt>
                <c:pt idx="355">
                  <c:v>12.005499999999962</c:v>
                </c:pt>
                <c:pt idx="356">
                  <c:v>12.005599999999962</c:v>
                </c:pt>
                <c:pt idx="357">
                  <c:v>12.005699999999962</c:v>
                </c:pt>
                <c:pt idx="358">
                  <c:v>12.005799999999962</c:v>
                </c:pt>
                <c:pt idx="359">
                  <c:v>12.005899999999961</c:v>
                </c:pt>
                <c:pt idx="360">
                  <c:v>12.005999999999961</c:v>
                </c:pt>
                <c:pt idx="361">
                  <c:v>12.006099999999961</c:v>
                </c:pt>
                <c:pt idx="362">
                  <c:v>12.006199999999961</c:v>
                </c:pt>
                <c:pt idx="363">
                  <c:v>12.00629999999996</c:v>
                </c:pt>
                <c:pt idx="364">
                  <c:v>12.00639999999996</c:v>
                </c:pt>
                <c:pt idx="365">
                  <c:v>12.00649999999996</c:v>
                </c:pt>
                <c:pt idx="366">
                  <c:v>12.00659999999996</c:v>
                </c:pt>
                <c:pt idx="367">
                  <c:v>12.00669999999996</c:v>
                </c:pt>
                <c:pt idx="368">
                  <c:v>12.006799999999959</c:v>
                </c:pt>
                <c:pt idx="369">
                  <c:v>12.006899999999959</c:v>
                </c:pt>
                <c:pt idx="370">
                  <c:v>12.006999999999959</c:v>
                </c:pt>
                <c:pt idx="371">
                  <c:v>12.007099999999959</c:v>
                </c:pt>
                <c:pt idx="372">
                  <c:v>12.007199999999958</c:v>
                </c:pt>
                <c:pt idx="373">
                  <c:v>12.007299999999958</c:v>
                </c:pt>
                <c:pt idx="374">
                  <c:v>12.007399999999958</c:v>
                </c:pt>
                <c:pt idx="375">
                  <c:v>12.007499999999958</c:v>
                </c:pt>
                <c:pt idx="376">
                  <c:v>12.007599999999957</c:v>
                </c:pt>
                <c:pt idx="377">
                  <c:v>12.007699999999957</c:v>
                </c:pt>
                <c:pt idx="378">
                  <c:v>12.007799999999957</c:v>
                </c:pt>
                <c:pt idx="379">
                  <c:v>12.007899999999957</c:v>
                </c:pt>
                <c:pt idx="380">
                  <c:v>12.007999999999956</c:v>
                </c:pt>
                <c:pt idx="381">
                  <c:v>12.008099999999956</c:v>
                </c:pt>
                <c:pt idx="382">
                  <c:v>12.008199999999956</c:v>
                </c:pt>
                <c:pt idx="383">
                  <c:v>12.008299999999956</c:v>
                </c:pt>
                <c:pt idx="384">
                  <c:v>12.008399999999956</c:v>
                </c:pt>
                <c:pt idx="385">
                  <c:v>12.008499999999955</c:v>
                </c:pt>
                <c:pt idx="386">
                  <c:v>12.008599999999955</c:v>
                </c:pt>
                <c:pt idx="387">
                  <c:v>12.008699999999955</c:v>
                </c:pt>
                <c:pt idx="388">
                  <c:v>12.008799999999955</c:v>
                </c:pt>
                <c:pt idx="389">
                  <c:v>12.008899999999954</c:v>
                </c:pt>
                <c:pt idx="390">
                  <c:v>12.008999999999954</c:v>
                </c:pt>
                <c:pt idx="391">
                  <c:v>12.009099999999954</c:v>
                </c:pt>
                <c:pt idx="392">
                  <c:v>12.009199999999954</c:v>
                </c:pt>
                <c:pt idx="393">
                  <c:v>12.009299999999953</c:v>
                </c:pt>
                <c:pt idx="394">
                  <c:v>12.009399999999953</c:v>
                </c:pt>
                <c:pt idx="395">
                  <c:v>12.009499999999953</c:v>
                </c:pt>
                <c:pt idx="396">
                  <c:v>12.009599999999953</c:v>
                </c:pt>
                <c:pt idx="397">
                  <c:v>12.009699999999953</c:v>
                </c:pt>
                <c:pt idx="398">
                  <c:v>12.009799999999952</c:v>
                </c:pt>
                <c:pt idx="399">
                  <c:v>12.009899999999952</c:v>
                </c:pt>
                <c:pt idx="400">
                  <c:v>12.009999999999952</c:v>
                </c:pt>
                <c:pt idx="401">
                  <c:v>12.010099999999952</c:v>
                </c:pt>
                <c:pt idx="402">
                  <c:v>12.010199999999951</c:v>
                </c:pt>
                <c:pt idx="403">
                  <c:v>12.010299999999951</c:v>
                </c:pt>
                <c:pt idx="404">
                  <c:v>12.010399999999951</c:v>
                </c:pt>
                <c:pt idx="405">
                  <c:v>12.010499999999951</c:v>
                </c:pt>
                <c:pt idx="406">
                  <c:v>12.01059999999995</c:v>
                </c:pt>
                <c:pt idx="407">
                  <c:v>12.01069999999995</c:v>
                </c:pt>
                <c:pt idx="408">
                  <c:v>12.01079999999995</c:v>
                </c:pt>
                <c:pt idx="409">
                  <c:v>12.01089999999995</c:v>
                </c:pt>
                <c:pt idx="410">
                  <c:v>12.010999999999949</c:v>
                </c:pt>
                <c:pt idx="411">
                  <c:v>12.011099999999949</c:v>
                </c:pt>
                <c:pt idx="412">
                  <c:v>12.011199999999949</c:v>
                </c:pt>
                <c:pt idx="413">
                  <c:v>12.011299999999949</c:v>
                </c:pt>
                <c:pt idx="414">
                  <c:v>12.011399999999949</c:v>
                </c:pt>
                <c:pt idx="415">
                  <c:v>12.011499999999948</c:v>
                </c:pt>
                <c:pt idx="416">
                  <c:v>12.011599999999948</c:v>
                </c:pt>
                <c:pt idx="417">
                  <c:v>12.011699999999948</c:v>
                </c:pt>
                <c:pt idx="418">
                  <c:v>12.011799999999948</c:v>
                </c:pt>
                <c:pt idx="419">
                  <c:v>12.011899999999947</c:v>
                </c:pt>
                <c:pt idx="420">
                  <c:v>12.011999999999947</c:v>
                </c:pt>
                <c:pt idx="421">
                  <c:v>12.012099999999947</c:v>
                </c:pt>
                <c:pt idx="422">
                  <c:v>12.012199999999947</c:v>
                </c:pt>
                <c:pt idx="423">
                  <c:v>12.012299999999946</c:v>
                </c:pt>
                <c:pt idx="424">
                  <c:v>12.012399999999946</c:v>
                </c:pt>
                <c:pt idx="425">
                  <c:v>12.012499999999946</c:v>
                </c:pt>
                <c:pt idx="426">
                  <c:v>12.012599999999946</c:v>
                </c:pt>
                <c:pt idx="427">
                  <c:v>12.012699999999946</c:v>
                </c:pt>
                <c:pt idx="428">
                  <c:v>12.012799999999945</c:v>
                </c:pt>
                <c:pt idx="429">
                  <c:v>12.012899999999945</c:v>
                </c:pt>
                <c:pt idx="430">
                  <c:v>12.012999999999945</c:v>
                </c:pt>
                <c:pt idx="431">
                  <c:v>12.013099999999945</c:v>
                </c:pt>
                <c:pt idx="432">
                  <c:v>12.013199999999944</c:v>
                </c:pt>
                <c:pt idx="433">
                  <c:v>12.013299999999944</c:v>
                </c:pt>
                <c:pt idx="434">
                  <c:v>12.013399999999944</c:v>
                </c:pt>
                <c:pt idx="435">
                  <c:v>12.013499999999944</c:v>
                </c:pt>
                <c:pt idx="436">
                  <c:v>12.013599999999943</c:v>
                </c:pt>
                <c:pt idx="437">
                  <c:v>12.013699999999943</c:v>
                </c:pt>
                <c:pt idx="438">
                  <c:v>12.013799999999943</c:v>
                </c:pt>
                <c:pt idx="439">
                  <c:v>12.013899999999943</c:v>
                </c:pt>
                <c:pt idx="440">
                  <c:v>12.013999999999943</c:v>
                </c:pt>
                <c:pt idx="441">
                  <c:v>12.014099999999942</c:v>
                </c:pt>
                <c:pt idx="442">
                  <c:v>12.014199999999942</c:v>
                </c:pt>
                <c:pt idx="443">
                  <c:v>12.014299999999942</c:v>
                </c:pt>
                <c:pt idx="444">
                  <c:v>12.014399999999942</c:v>
                </c:pt>
                <c:pt idx="445">
                  <c:v>12.014499999999941</c:v>
                </c:pt>
                <c:pt idx="446">
                  <c:v>12.014599999999941</c:v>
                </c:pt>
                <c:pt idx="447">
                  <c:v>12.014699999999941</c:v>
                </c:pt>
                <c:pt idx="448">
                  <c:v>12.014799999999941</c:v>
                </c:pt>
                <c:pt idx="449">
                  <c:v>12.01489999999994</c:v>
                </c:pt>
                <c:pt idx="450">
                  <c:v>12.01499999999994</c:v>
                </c:pt>
                <c:pt idx="451">
                  <c:v>12.01509999999994</c:v>
                </c:pt>
                <c:pt idx="452">
                  <c:v>12.01519999999994</c:v>
                </c:pt>
                <c:pt idx="453">
                  <c:v>12.015299999999939</c:v>
                </c:pt>
                <c:pt idx="454">
                  <c:v>12.015399999999939</c:v>
                </c:pt>
                <c:pt idx="455">
                  <c:v>12.015499999999939</c:v>
                </c:pt>
                <c:pt idx="456">
                  <c:v>12.015599999999939</c:v>
                </c:pt>
                <c:pt idx="457">
                  <c:v>12.015699999999939</c:v>
                </c:pt>
                <c:pt idx="458">
                  <c:v>12.015799999999938</c:v>
                </c:pt>
                <c:pt idx="459">
                  <c:v>12.015899999999938</c:v>
                </c:pt>
                <c:pt idx="460">
                  <c:v>12.015999999999938</c:v>
                </c:pt>
                <c:pt idx="461">
                  <c:v>12.016099999999938</c:v>
                </c:pt>
                <c:pt idx="462">
                  <c:v>12.016199999999937</c:v>
                </c:pt>
                <c:pt idx="463">
                  <c:v>12.016299999999937</c:v>
                </c:pt>
                <c:pt idx="464">
                  <c:v>12.016399999999937</c:v>
                </c:pt>
                <c:pt idx="465">
                  <c:v>12.016499999999937</c:v>
                </c:pt>
                <c:pt idx="466">
                  <c:v>12.016599999999936</c:v>
                </c:pt>
                <c:pt idx="467">
                  <c:v>12.016699999999936</c:v>
                </c:pt>
                <c:pt idx="468">
                  <c:v>12.016799999999936</c:v>
                </c:pt>
                <c:pt idx="469">
                  <c:v>12.016899999999936</c:v>
                </c:pt>
                <c:pt idx="470">
                  <c:v>12.016999999999936</c:v>
                </c:pt>
                <c:pt idx="471">
                  <c:v>12.017099999999935</c:v>
                </c:pt>
                <c:pt idx="472">
                  <c:v>12.017199999999935</c:v>
                </c:pt>
                <c:pt idx="473">
                  <c:v>12.017299999999935</c:v>
                </c:pt>
                <c:pt idx="474">
                  <c:v>12.017399999999935</c:v>
                </c:pt>
                <c:pt idx="475">
                  <c:v>12.017499999999934</c:v>
                </c:pt>
                <c:pt idx="476">
                  <c:v>12.017599999999934</c:v>
                </c:pt>
                <c:pt idx="477">
                  <c:v>12.017699999999934</c:v>
                </c:pt>
                <c:pt idx="478">
                  <c:v>12.017799999999934</c:v>
                </c:pt>
                <c:pt idx="479">
                  <c:v>12.017899999999933</c:v>
                </c:pt>
                <c:pt idx="480">
                  <c:v>12.017999999999933</c:v>
                </c:pt>
                <c:pt idx="481">
                  <c:v>12.018099999999933</c:v>
                </c:pt>
                <c:pt idx="482">
                  <c:v>12.018199999999933</c:v>
                </c:pt>
                <c:pt idx="483">
                  <c:v>12.018299999999932</c:v>
                </c:pt>
                <c:pt idx="484">
                  <c:v>12.018399999999932</c:v>
                </c:pt>
                <c:pt idx="485">
                  <c:v>12.018499999999932</c:v>
                </c:pt>
                <c:pt idx="486">
                  <c:v>12.018599999999932</c:v>
                </c:pt>
                <c:pt idx="487">
                  <c:v>12.018699999999932</c:v>
                </c:pt>
                <c:pt idx="488">
                  <c:v>12.018799999999931</c:v>
                </c:pt>
                <c:pt idx="489">
                  <c:v>12.018899999999931</c:v>
                </c:pt>
                <c:pt idx="490">
                  <c:v>12.018999999999931</c:v>
                </c:pt>
                <c:pt idx="491">
                  <c:v>12.019099999999931</c:v>
                </c:pt>
                <c:pt idx="492">
                  <c:v>12.01919999999993</c:v>
                </c:pt>
                <c:pt idx="493">
                  <c:v>12.01929999999993</c:v>
                </c:pt>
                <c:pt idx="494">
                  <c:v>12.01939999999993</c:v>
                </c:pt>
                <c:pt idx="495">
                  <c:v>12.01949999999993</c:v>
                </c:pt>
                <c:pt idx="496">
                  <c:v>12.019599999999929</c:v>
                </c:pt>
                <c:pt idx="497">
                  <c:v>12.019699999999929</c:v>
                </c:pt>
                <c:pt idx="498">
                  <c:v>12.019799999999929</c:v>
                </c:pt>
                <c:pt idx="499">
                  <c:v>12.019899999999929</c:v>
                </c:pt>
                <c:pt idx="500">
                  <c:v>12.019999999999929</c:v>
                </c:pt>
                <c:pt idx="501">
                  <c:v>12.020099999999928</c:v>
                </c:pt>
                <c:pt idx="502">
                  <c:v>12.020199999999928</c:v>
                </c:pt>
                <c:pt idx="503">
                  <c:v>12.020299999999928</c:v>
                </c:pt>
                <c:pt idx="504">
                  <c:v>12.020399999999928</c:v>
                </c:pt>
                <c:pt idx="505">
                  <c:v>12.020499999999927</c:v>
                </c:pt>
                <c:pt idx="506">
                  <c:v>12.020599999999927</c:v>
                </c:pt>
                <c:pt idx="507">
                  <c:v>12.020699999999927</c:v>
                </c:pt>
                <c:pt idx="508">
                  <c:v>12.020799999999927</c:v>
                </c:pt>
                <c:pt idx="509">
                  <c:v>12.020899999999926</c:v>
                </c:pt>
                <c:pt idx="510">
                  <c:v>12.020999999999926</c:v>
                </c:pt>
                <c:pt idx="511">
                  <c:v>12.021099999999926</c:v>
                </c:pt>
                <c:pt idx="512">
                  <c:v>12.021199999999926</c:v>
                </c:pt>
                <c:pt idx="513">
                  <c:v>12.021299999999925</c:v>
                </c:pt>
                <c:pt idx="514">
                  <c:v>12.021399999999925</c:v>
                </c:pt>
                <c:pt idx="515">
                  <c:v>12.021499999999925</c:v>
                </c:pt>
                <c:pt idx="516">
                  <c:v>12.021599999999925</c:v>
                </c:pt>
                <c:pt idx="517">
                  <c:v>12.021699999999925</c:v>
                </c:pt>
                <c:pt idx="518">
                  <c:v>12.021799999999924</c:v>
                </c:pt>
                <c:pt idx="519">
                  <c:v>12.021899999999924</c:v>
                </c:pt>
                <c:pt idx="520">
                  <c:v>12.021999999999924</c:v>
                </c:pt>
                <c:pt idx="521">
                  <c:v>12.022099999999924</c:v>
                </c:pt>
                <c:pt idx="522">
                  <c:v>12.022199999999923</c:v>
                </c:pt>
                <c:pt idx="523">
                  <c:v>12.022299999999923</c:v>
                </c:pt>
                <c:pt idx="524">
                  <c:v>12.022399999999923</c:v>
                </c:pt>
                <c:pt idx="525">
                  <c:v>12.022499999999923</c:v>
                </c:pt>
                <c:pt idx="526">
                  <c:v>12.022599999999922</c:v>
                </c:pt>
                <c:pt idx="527">
                  <c:v>12.022699999999922</c:v>
                </c:pt>
                <c:pt idx="528">
                  <c:v>12.022799999999922</c:v>
                </c:pt>
                <c:pt idx="529">
                  <c:v>12.022899999999922</c:v>
                </c:pt>
                <c:pt idx="530">
                  <c:v>12.022999999999922</c:v>
                </c:pt>
                <c:pt idx="531">
                  <c:v>12.023099999999921</c:v>
                </c:pt>
                <c:pt idx="532">
                  <c:v>12.023199999999921</c:v>
                </c:pt>
                <c:pt idx="533">
                  <c:v>12.023299999999921</c:v>
                </c:pt>
                <c:pt idx="534">
                  <c:v>12.023399999999921</c:v>
                </c:pt>
                <c:pt idx="535">
                  <c:v>12.02349999999992</c:v>
                </c:pt>
                <c:pt idx="536">
                  <c:v>12.02359999999992</c:v>
                </c:pt>
                <c:pt idx="537">
                  <c:v>12.02369999999992</c:v>
                </c:pt>
                <c:pt idx="538">
                  <c:v>12.02379999999992</c:v>
                </c:pt>
                <c:pt idx="539">
                  <c:v>12.023899999999919</c:v>
                </c:pt>
                <c:pt idx="540">
                  <c:v>12.023999999999919</c:v>
                </c:pt>
                <c:pt idx="541">
                  <c:v>12.024099999999919</c:v>
                </c:pt>
                <c:pt idx="542">
                  <c:v>12.024199999999919</c:v>
                </c:pt>
                <c:pt idx="543">
                  <c:v>12.024299999999918</c:v>
                </c:pt>
                <c:pt idx="544">
                  <c:v>12.024399999999918</c:v>
                </c:pt>
                <c:pt idx="545">
                  <c:v>12.024499999999918</c:v>
                </c:pt>
                <c:pt idx="546">
                  <c:v>12.024599999999918</c:v>
                </c:pt>
                <c:pt idx="547">
                  <c:v>12.024699999999918</c:v>
                </c:pt>
                <c:pt idx="548">
                  <c:v>12.024799999999917</c:v>
                </c:pt>
                <c:pt idx="549">
                  <c:v>12.024899999999917</c:v>
                </c:pt>
                <c:pt idx="550">
                  <c:v>12.024999999999917</c:v>
                </c:pt>
                <c:pt idx="551">
                  <c:v>12.025099999999917</c:v>
                </c:pt>
                <c:pt idx="552">
                  <c:v>12.025199999999916</c:v>
                </c:pt>
                <c:pt idx="553">
                  <c:v>12.025299999999916</c:v>
                </c:pt>
                <c:pt idx="554">
                  <c:v>12.025399999999916</c:v>
                </c:pt>
                <c:pt idx="555">
                  <c:v>12.025499999999916</c:v>
                </c:pt>
                <c:pt idx="556">
                  <c:v>12.025599999999915</c:v>
                </c:pt>
                <c:pt idx="557">
                  <c:v>12.025699999999915</c:v>
                </c:pt>
                <c:pt idx="558">
                  <c:v>12.025799999999915</c:v>
                </c:pt>
                <c:pt idx="559">
                  <c:v>12.025899999999915</c:v>
                </c:pt>
                <c:pt idx="560">
                  <c:v>12.025999999999915</c:v>
                </c:pt>
                <c:pt idx="561">
                  <c:v>12.026099999999914</c:v>
                </c:pt>
                <c:pt idx="562">
                  <c:v>12.026199999999914</c:v>
                </c:pt>
                <c:pt idx="563">
                  <c:v>12.026299999999914</c:v>
                </c:pt>
                <c:pt idx="564">
                  <c:v>12.026399999999914</c:v>
                </c:pt>
                <c:pt idx="565">
                  <c:v>12.026499999999913</c:v>
                </c:pt>
                <c:pt idx="566">
                  <c:v>12.026599999999913</c:v>
                </c:pt>
                <c:pt idx="567">
                  <c:v>12.026699999999913</c:v>
                </c:pt>
                <c:pt idx="568">
                  <c:v>12.026799999999913</c:v>
                </c:pt>
                <c:pt idx="569">
                  <c:v>12.026899999999912</c:v>
                </c:pt>
                <c:pt idx="570">
                  <c:v>12.026999999999912</c:v>
                </c:pt>
                <c:pt idx="571">
                  <c:v>12.027099999999912</c:v>
                </c:pt>
                <c:pt idx="572">
                  <c:v>12.027199999999912</c:v>
                </c:pt>
                <c:pt idx="573">
                  <c:v>12.027299999999912</c:v>
                </c:pt>
                <c:pt idx="574">
                  <c:v>12.027399999999911</c:v>
                </c:pt>
                <c:pt idx="575">
                  <c:v>12.027499999999911</c:v>
                </c:pt>
                <c:pt idx="576">
                  <c:v>12.027599999999911</c:v>
                </c:pt>
                <c:pt idx="577">
                  <c:v>12.027699999999911</c:v>
                </c:pt>
                <c:pt idx="578">
                  <c:v>12.02779999999991</c:v>
                </c:pt>
                <c:pt idx="579">
                  <c:v>12.02789999999991</c:v>
                </c:pt>
                <c:pt idx="580">
                  <c:v>12.02799999999991</c:v>
                </c:pt>
                <c:pt idx="581">
                  <c:v>12.02809999999991</c:v>
                </c:pt>
                <c:pt idx="582">
                  <c:v>12.028199999999909</c:v>
                </c:pt>
                <c:pt idx="583">
                  <c:v>12.028299999999909</c:v>
                </c:pt>
                <c:pt idx="584">
                  <c:v>12.028399999999909</c:v>
                </c:pt>
                <c:pt idx="585">
                  <c:v>12.028499999999909</c:v>
                </c:pt>
                <c:pt idx="586">
                  <c:v>12.028599999999908</c:v>
                </c:pt>
                <c:pt idx="587">
                  <c:v>12.028699999999908</c:v>
                </c:pt>
                <c:pt idx="588">
                  <c:v>12.028799999999908</c:v>
                </c:pt>
                <c:pt idx="589">
                  <c:v>12.028899999999908</c:v>
                </c:pt>
                <c:pt idx="590">
                  <c:v>12.028999999999908</c:v>
                </c:pt>
                <c:pt idx="591">
                  <c:v>12.029099999999907</c:v>
                </c:pt>
                <c:pt idx="592">
                  <c:v>12.029199999999907</c:v>
                </c:pt>
                <c:pt idx="593">
                  <c:v>12.029299999999907</c:v>
                </c:pt>
                <c:pt idx="594">
                  <c:v>12.029399999999907</c:v>
                </c:pt>
                <c:pt idx="595">
                  <c:v>12.029499999999906</c:v>
                </c:pt>
                <c:pt idx="596">
                  <c:v>12.029599999999906</c:v>
                </c:pt>
                <c:pt idx="597">
                  <c:v>12.029699999999906</c:v>
                </c:pt>
                <c:pt idx="598">
                  <c:v>12.029799999999906</c:v>
                </c:pt>
                <c:pt idx="599">
                  <c:v>12.029899999999905</c:v>
                </c:pt>
                <c:pt idx="600">
                  <c:v>12.029999999999905</c:v>
                </c:pt>
                <c:pt idx="601">
                  <c:v>12.030099999999905</c:v>
                </c:pt>
                <c:pt idx="602">
                  <c:v>12.030199999999905</c:v>
                </c:pt>
                <c:pt idx="603">
                  <c:v>12.030299999999905</c:v>
                </c:pt>
                <c:pt idx="604">
                  <c:v>12.030399999999904</c:v>
                </c:pt>
                <c:pt idx="605">
                  <c:v>12.030499999999904</c:v>
                </c:pt>
                <c:pt idx="606">
                  <c:v>12.030599999999904</c:v>
                </c:pt>
                <c:pt idx="607">
                  <c:v>12.030699999999904</c:v>
                </c:pt>
                <c:pt idx="608">
                  <c:v>12.030799999999903</c:v>
                </c:pt>
                <c:pt idx="609">
                  <c:v>12.030899999999903</c:v>
                </c:pt>
                <c:pt idx="610">
                  <c:v>12.030999999999903</c:v>
                </c:pt>
                <c:pt idx="611">
                  <c:v>12.031099999999903</c:v>
                </c:pt>
                <c:pt idx="612">
                  <c:v>12.031199999999902</c:v>
                </c:pt>
                <c:pt idx="613">
                  <c:v>12.031299999999902</c:v>
                </c:pt>
                <c:pt idx="614">
                  <c:v>12.031399999999902</c:v>
                </c:pt>
                <c:pt idx="615">
                  <c:v>12.031499999999902</c:v>
                </c:pt>
                <c:pt idx="616">
                  <c:v>12.031599999999901</c:v>
                </c:pt>
                <c:pt idx="617">
                  <c:v>12.031699999999901</c:v>
                </c:pt>
                <c:pt idx="618">
                  <c:v>12.031799999999901</c:v>
                </c:pt>
                <c:pt idx="619">
                  <c:v>12.031899999999901</c:v>
                </c:pt>
                <c:pt idx="620">
                  <c:v>12.031999999999901</c:v>
                </c:pt>
                <c:pt idx="621">
                  <c:v>12.0320999999999</c:v>
                </c:pt>
                <c:pt idx="622">
                  <c:v>12.0321999999999</c:v>
                </c:pt>
                <c:pt idx="623">
                  <c:v>12.0322999999999</c:v>
                </c:pt>
                <c:pt idx="624">
                  <c:v>12.0323999999999</c:v>
                </c:pt>
                <c:pt idx="625">
                  <c:v>12.032499999999899</c:v>
                </c:pt>
                <c:pt idx="626">
                  <c:v>12.032599999999899</c:v>
                </c:pt>
                <c:pt idx="627">
                  <c:v>12.032699999999899</c:v>
                </c:pt>
                <c:pt idx="628">
                  <c:v>12.032799999999899</c:v>
                </c:pt>
                <c:pt idx="629">
                  <c:v>12.032899999999898</c:v>
                </c:pt>
                <c:pt idx="630">
                  <c:v>12.032999999999898</c:v>
                </c:pt>
                <c:pt idx="631">
                  <c:v>12.033099999999898</c:v>
                </c:pt>
                <c:pt idx="632">
                  <c:v>12.033199999999898</c:v>
                </c:pt>
                <c:pt idx="633">
                  <c:v>12.033299999999898</c:v>
                </c:pt>
                <c:pt idx="634">
                  <c:v>12.033399999999897</c:v>
                </c:pt>
                <c:pt idx="635">
                  <c:v>12.033499999999897</c:v>
                </c:pt>
                <c:pt idx="636">
                  <c:v>12.033599999999897</c:v>
                </c:pt>
                <c:pt idx="637">
                  <c:v>12.033699999999897</c:v>
                </c:pt>
                <c:pt idx="638">
                  <c:v>12.033799999999896</c:v>
                </c:pt>
                <c:pt idx="639">
                  <c:v>12.033899999999896</c:v>
                </c:pt>
                <c:pt idx="640">
                  <c:v>12.033999999999896</c:v>
                </c:pt>
                <c:pt idx="641">
                  <c:v>12.034099999999896</c:v>
                </c:pt>
                <c:pt idx="642">
                  <c:v>12.034199999999895</c:v>
                </c:pt>
                <c:pt idx="643">
                  <c:v>12.034299999999895</c:v>
                </c:pt>
                <c:pt idx="644">
                  <c:v>12.034399999999895</c:v>
                </c:pt>
                <c:pt idx="645">
                  <c:v>12.034499999999895</c:v>
                </c:pt>
                <c:pt idx="646">
                  <c:v>12.034599999999894</c:v>
                </c:pt>
                <c:pt idx="647">
                  <c:v>12.034699999999894</c:v>
                </c:pt>
                <c:pt idx="648">
                  <c:v>12.034799999999894</c:v>
                </c:pt>
                <c:pt idx="649">
                  <c:v>12.034899999999894</c:v>
                </c:pt>
                <c:pt idx="650">
                  <c:v>12.034999999999894</c:v>
                </c:pt>
                <c:pt idx="651">
                  <c:v>12.035099999999893</c:v>
                </c:pt>
                <c:pt idx="652">
                  <c:v>12.035199999999893</c:v>
                </c:pt>
                <c:pt idx="653">
                  <c:v>12.035299999999893</c:v>
                </c:pt>
                <c:pt idx="654">
                  <c:v>12.035399999999893</c:v>
                </c:pt>
                <c:pt idx="655">
                  <c:v>12.035499999999892</c:v>
                </c:pt>
                <c:pt idx="656">
                  <c:v>12.035599999999892</c:v>
                </c:pt>
                <c:pt idx="657">
                  <c:v>12.035699999999892</c:v>
                </c:pt>
                <c:pt idx="658">
                  <c:v>12.035799999999892</c:v>
                </c:pt>
                <c:pt idx="659">
                  <c:v>12.035899999999891</c:v>
                </c:pt>
                <c:pt idx="660">
                  <c:v>12.035999999999891</c:v>
                </c:pt>
                <c:pt idx="661">
                  <c:v>12.036099999999891</c:v>
                </c:pt>
                <c:pt idx="662">
                  <c:v>12.036199999999891</c:v>
                </c:pt>
                <c:pt idx="663">
                  <c:v>12.036299999999891</c:v>
                </c:pt>
                <c:pt idx="664">
                  <c:v>12.03639999999989</c:v>
                </c:pt>
                <c:pt idx="665">
                  <c:v>12.03649999999989</c:v>
                </c:pt>
                <c:pt idx="666">
                  <c:v>12.03659999999989</c:v>
                </c:pt>
                <c:pt idx="667">
                  <c:v>12.03669999999989</c:v>
                </c:pt>
                <c:pt idx="668">
                  <c:v>12.036799999999889</c:v>
                </c:pt>
                <c:pt idx="669">
                  <c:v>12.036899999999889</c:v>
                </c:pt>
                <c:pt idx="670">
                  <c:v>12.036999999999889</c:v>
                </c:pt>
                <c:pt idx="671">
                  <c:v>12.037099999999889</c:v>
                </c:pt>
                <c:pt idx="672">
                  <c:v>12.037199999999888</c:v>
                </c:pt>
                <c:pt idx="673">
                  <c:v>12.037299999999888</c:v>
                </c:pt>
                <c:pt idx="674">
                  <c:v>12.037399999999888</c:v>
                </c:pt>
                <c:pt idx="675">
                  <c:v>12.037499999999888</c:v>
                </c:pt>
                <c:pt idx="676">
                  <c:v>12.037599999999888</c:v>
                </c:pt>
                <c:pt idx="677">
                  <c:v>12.037699999999887</c:v>
                </c:pt>
                <c:pt idx="678">
                  <c:v>12.037799999999887</c:v>
                </c:pt>
                <c:pt idx="679">
                  <c:v>12.037899999999887</c:v>
                </c:pt>
                <c:pt idx="680">
                  <c:v>12.037999999999887</c:v>
                </c:pt>
                <c:pt idx="681">
                  <c:v>12.038099999999886</c:v>
                </c:pt>
                <c:pt idx="682">
                  <c:v>12.038199999999886</c:v>
                </c:pt>
                <c:pt idx="683">
                  <c:v>12.038299999999886</c:v>
                </c:pt>
                <c:pt idx="684">
                  <c:v>12.038399999999886</c:v>
                </c:pt>
                <c:pt idx="685">
                  <c:v>12.038499999999885</c:v>
                </c:pt>
                <c:pt idx="686">
                  <c:v>12.038599999999885</c:v>
                </c:pt>
                <c:pt idx="687">
                  <c:v>12.038699999999885</c:v>
                </c:pt>
                <c:pt idx="688">
                  <c:v>12.038799999999885</c:v>
                </c:pt>
                <c:pt idx="689">
                  <c:v>12.038899999999884</c:v>
                </c:pt>
                <c:pt idx="690">
                  <c:v>12.038999999999884</c:v>
                </c:pt>
                <c:pt idx="691">
                  <c:v>12.039099999999884</c:v>
                </c:pt>
                <c:pt idx="692">
                  <c:v>12.039199999999884</c:v>
                </c:pt>
                <c:pt idx="693">
                  <c:v>12.039299999999884</c:v>
                </c:pt>
                <c:pt idx="694">
                  <c:v>12.039399999999883</c:v>
                </c:pt>
                <c:pt idx="695">
                  <c:v>12.039499999999883</c:v>
                </c:pt>
                <c:pt idx="696">
                  <c:v>12.039599999999883</c:v>
                </c:pt>
                <c:pt idx="697">
                  <c:v>12.039699999999883</c:v>
                </c:pt>
                <c:pt idx="698">
                  <c:v>12.039799999999882</c:v>
                </c:pt>
                <c:pt idx="699">
                  <c:v>12.039899999999882</c:v>
                </c:pt>
                <c:pt idx="700">
                  <c:v>12.039999999999882</c:v>
                </c:pt>
                <c:pt idx="701">
                  <c:v>12.040099999999882</c:v>
                </c:pt>
                <c:pt idx="702">
                  <c:v>12.040199999999881</c:v>
                </c:pt>
                <c:pt idx="703">
                  <c:v>12.040299999999881</c:v>
                </c:pt>
                <c:pt idx="704">
                  <c:v>12.040399999999881</c:v>
                </c:pt>
                <c:pt idx="705">
                  <c:v>12.040499999999881</c:v>
                </c:pt>
                <c:pt idx="706">
                  <c:v>12.040599999999881</c:v>
                </c:pt>
                <c:pt idx="707">
                  <c:v>12.04069999999988</c:v>
                </c:pt>
                <c:pt idx="708">
                  <c:v>12.04079999999988</c:v>
                </c:pt>
                <c:pt idx="709">
                  <c:v>12.04089999999988</c:v>
                </c:pt>
                <c:pt idx="710">
                  <c:v>12.04099999999988</c:v>
                </c:pt>
                <c:pt idx="711">
                  <c:v>12.041099999999879</c:v>
                </c:pt>
                <c:pt idx="712">
                  <c:v>12.041199999999879</c:v>
                </c:pt>
                <c:pt idx="713">
                  <c:v>12.041299999999879</c:v>
                </c:pt>
                <c:pt idx="714">
                  <c:v>12.041399999999879</c:v>
                </c:pt>
                <c:pt idx="715">
                  <c:v>12.041499999999878</c:v>
                </c:pt>
                <c:pt idx="716">
                  <c:v>12.041599999999878</c:v>
                </c:pt>
                <c:pt idx="717">
                  <c:v>12.041699999999878</c:v>
                </c:pt>
                <c:pt idx="718">
                  <c:v>12.041799999999878</c:v>
                </c:pt>
                <c:pt idx="719">
                  <c:v>12.041899999999877</c:v>
                </c:pt>
                <c:pt idx="720">
                  <c:v>12.041999999999877</c:v>
                </c:pt>
                <c:pt idx="721">
                  <c:v>12.042099999999877</c:v>
                </c:pt>
                <c:pt idx="722">
                  <c:v>12.042199999999877</c:v>
                </c:pt>
                <c:pt idx="723">
                  <c:v>12.042299999999877</c:v>
                </c:pt>
                <c:pt idx="724">
                  <c:v>12.042399999999876</c:v>
                </c:pt>
                <c:pt idx="725">
                  <c:v>12.042499999999876</c:v>
                </c:pt>
                <c:pt idx="726">
                  <c:v>12.042599999999876</c:v>
                </c:pt>
                <c:pt idx="727">
                  <c:v>12.042699999999876</c:v>
                </c:pt>
                <c:pt idx="728">
                  <c:v>12.042799999999875</c:v>
                </c:pt>
                <c:pt idx="729">
                  <c:v>12.042899999999875</c:v>
                </c:pt>
                <c:pt idx="730">
                  <c:v>12.042999999999875</c:v>
                </c:pt>
                <c:pt idx="731">
                  <c:v>12.043099999999875</c:v>
                </c:pt>
                <c:pt idx="732">
                  <c:v>12.043199999999874</c:v>
                </c:pt>
                <c:pt idx="733">
                  <c:v>12.043299999999874</c:v>
                </c:pt>
                <c:pt idx="734">
                  <c:v>12.043399999999874</c:v>
                </c:pt>
                <c:pt idx="735">
                  <c:v>12.043499999999874</c:v>
                </c:pt>
                <c:pt idx="736">
                  <c:v>12.043599999999874</c:v>
                </c:pt>
                <c:pt idx="737">
                  <c:v>12.043699999999873</c:v>
                </c:pt>
                <c:pt idx="738">
                  <c:v>12.043799999999873</c:v>
                </c:pt>
                <c:pt idx="739">
                  <c:v>12.043899999999873</c:v>
                </c:pt>
                <c:pt idx="740">
                  <c:v>12.043999999999873</c:v>
                </c:pt>
                <c:pt idx="741">
                  <c:v>12.044099999999872</c:v>
                </c:pt>
                <c:pt idx="742">
                  <c:v>12.044199999999872</c:v>
                </c:pt>
                <c:pt idx="743">
                  <c:v>12.044299999999872</c:v>
                </c:pt>
                <c:pt idx="744">
                  <c:v>12.044399999999872</c:v>
                </c:pt>
                <c:pt idx="745">
                  <c:v>12.044499999999871</c:v>
                </c:pt>
                <c:pt idx="746">
                  <c:v>12.044599999999871</c:v>
                </c:pt>
                <c:pt idx="747">
                  <c:v>12.044699999999871</c:v>
                </c:pt>
                <c:pt idx="748">
                  <c:v>12.044799999999871</c:v>
                </c:pt>
                <c:pt idx="749">
                  <c:v>12.04489999999987</c:v>
                </c:pt>
                <c:pt idx="750">
                  <c:v>12.04499999999987</c:v>
                </c:pt>
                <c:pt idx="751">
                  <c:v>12.04509999999987</c:v>
                </c:pt>
                <c:pt idx="752">
                  <c:v>12.04519999999987</c:v>
                </c:pt>
                <c:pt idx="753">
                  <c:v>12.04529999999987</c:v>
                </c:pt>
                <c:pt idx="754">
                  <c:v>12.045399999999869</c:v>
                </c:pt>
                <c:pt idx="755">
                  <c:v>12.045499999999869</c:v>
                </c:pt>
                <c:pt idx="756">
                  <c:v>12.045599999999869</c:v>
                </c:pt>
                <c:pt idx="757">
                  <c:v>12.045699999999869</c:v>
                </c:pt>
                <c:pt idx="758">
                  <c:v>12.045799999999868</c:v>
                </c:pt>
                <c:pt idx="759">
                  <c:v>12.045899999999868</c:v>
                </c:pt>
                <c:pt idx="760">
                  <c:v>12.045999999999868</c:v>
                </c:pt>
                <c:pt idx="761">
                  <c:v>12.046099999999868</c:v>
                </c:pt>
                <c:pt idx="762">
                  <c:v>12.046199999999867</c:v>
                </c:pt>
                <c:pt idx="763">
                  <c:v>12.046299999999867</c:v>
                </c:pt>
                <c:pt idx="764">
                  <c:v>12.046399999999867</c:v>
                </c:pt>
                <c:pt idx="765">
                  <c:v>12.046499999999867</c:v>
                </c:pt>
                <c:pt idx="766">
                  <c:v>12.046599999999867</c:v>
                </c:pt>
                <c:pt idx="767">
                  <c:v>12.046699999999866</c:v>
                </c:pt>
                <c:pt idx="768">
                  <c:v>12.046799999999866</c:v>
                </c:pt>
                <c:pt idx="769">
                  <c:v>12.046899999999866</c:v>
                </c:pt>
                <c:pt idx="770">
                  <c:v>12.046999999999866</c:v>
                </c:pt>
                <c:pt idx="771">
                  <c:v>12.047099999999865</c:v>
                </c:pt>
                <c:pt idx="772">
                  <c:v>12.047199999999865</c:v>
                </c:pt>
                <c:pt idx="773">
                  <c:v>12.047299999999865</c:v>
                </c:pt>
                <c:pt idx="774">
                  <c:v>12.047399999999865</c:v>
                </c:pt>
                <c:pt idx="775">
                  <c:v>12.047499999999864</c:v>
                </c:pt>
                <c:pt idx="776">
                  <c:v>12.047599999999864</c:v>
                </c:pt>
                <c:pt idx="777">
                  <c:v>12.047699999999864</c:v>
                </c:pt>
                <c:pt idx="778">
                  <c:v>12.047799999999864</c:v>
                </c:pt>
                <c:pt idx="779">
                  <c:v>12.047899999999863</c:v>
                </c:pt>
                <c:pt idx="780">
                  <c:v>12.047999999999863</c:v>
                </c:pt>
                <c:pt idx="781">
                  <c:v>12.048099999999863</c:v>
                </c:pt>
                <c:pt idx="782">
                  <c:v>12.048199999999863</c:v>
                </c:pt>
                <c:pt idx="783">
                  <c:v>12.048299999999863</c:v>
                </c:pt>
                <c:pt idx="784">
                  <c:v>12.048399999999862</c:v>
                </c:pt>
                <c:pt idx="785">
                  <c:v>12.048499999999862</c:v>
                </c:pt>
                <c:pt idx="786">
                  <c:v>12.048599999999862</c:v>
                </c:pt>
                <c:pt idx="787">
                  <c:v>12.048699999999862</c:v>
                </c:pt>
                <c:pt idx="788">
                  <c:v>12.048799999999861</c:v>
                </c:pt>
                <c:pt idx="789">
                  <c:v>12.048899999999861</c:v>
                </c:pt>
                <c:pt idx="790">
                  <c:v>12.048999999999861</c:v>
                </c:pt>
                <c:pt idx="791">
                  <c:v>12.049099999999861</c:v>
                </c:pt>
                <c:pt idx="792">
                  <c:v>12.04919999999986</c:v>
                </c:pt>
                <c:pt idx="793">
                  <c:v>12.04929999999986</c:v>
                </c:pt>
                <c:pt idx="794">
                  <c:v>12.04939999999986</c:v>
                </c:pt>
                <c:pt idx="795">
                  <c:v>12.04949999999986</c:v>
                </c:pt>
                <c:pt idx="796">
                  <c:v>12.04959999999986</c:v>
                </c:pt>
                <c:pt idx="797">
                  <c:v>12.049699999999859</c:v>
                </c:pt>
                <c:pt idx="798">
                  <c:v>12.049799999999859</c:v>
                </c:pt>
                <c:pt idx="799">
                  <c:v>12.049899999999859</c:v>
                </c:pt>
                <c:pt idx="800">
                  <c:v>12.049999999999859</c:v>
                </c:pt>
                <c:pt idx="801">
                  <c:v>12.050099999999858</c:v>
                </c:pt>
                <c:pt idx="802">
                  <c:v>12.050199999999858</c:v>
                </c:pt>
                <c:pt idx="803">
                  <c:v>12.050299999999858</c:v>
                </c:pt>
                <c:pt idx="804">
                  <c:v>12.050399999999858</c:v>
                </c:pt>
                <c:pt idx="805">
                  <c:v>12.050499999999857</c:v>
                </c:pt>
                <c:pt idx="806">
                  <c:v>12.050599999999857</c:v>
                </c:pt>
                <c:pt idx="807">
                  <c:v>12.050699999999857</c:v>
                </c:pt>
                <c:pt idx="808">
                  <c:v>12.050799999999857</c:v>
                </c:pt>
                <c:pt idx="809">
                  <c:v>12.050899999999857</c:v>
                </c:pt>
                <c:pt idx="810">
                  <c:v>12.050999999999856</c:v>
                </c:pt>
                <c:pt idx="811">
                  <c:v>12.051099999999856</c:v>
                </c:pt>
                <c:pt idx="812">
                  <c:v>12.051199999999856</c:v>
                </c:pt>
                <c:pt idx="813">
                  <c:v>12.051299999999856</c:v>
                </c:pt>
                <c:pt idx="814">
                  <c:v>12.051399999999855</c:v>
                </c:pt>
                <c:pt idx="815">
                  <c:v>12.051499999999855</c:v>
                </c:pt>
                <c:pt idx="816">
                  <c:v>12.051599999999855</c:v>
                </c:pt>
                <c:pt idx="817">
                  <c:v>12.051699999999855</c:v>
                </c:pt>
                <c:pt idx="818">
                  <c:v>12.051799999999854</c:v>
                </c:pt>
                <c:pt idx="819">
                  <c:v>12.051899999999854</c:v>
                </c:pt>
                <c:pt idx="820">
                  <c:v>12.051999999999854</c:v>
                </c:pt>
                <c:pt idx="821">
                  <c:v>12.052099999999854</c:v>
                </c:pt>
                <c:pt idx="822">
                  <c:v>12.052199999999853</c:v>
                </c:pt>
                <c:pt idx="823">
                  <c:v>12.052299999999853</c:v>
                </c:pt>
                <c:pt idx="824">
                  <c:v>12.052399999999853</c:v>
                </c:pt>
                <c:pt idx="825">
                  <c:v>12.052499999999853</c:v>
                </c:pt>
                <c:pt idx="826">
                  <c:v>12.052599999999853</c:v>
                </c:pt>
                <c:pt idx="827">
                  <c:v>12.052699999999852</c:v>
                </c:pt>
                <c:pt idx="828">
                  <c:v>12.052799999999852</c:v>
                </c:pt>
                <c:pt idx="829">
                  <c:v>12.052899999999852</c:v>
                </c:pt>
                <c:pt idx="830">
                  <c:v>12.052999999999852</c:v>
                </c:pt>
                <c:pt idx="831">
                  <c:v>12.053099999999851</c:v>
                </c:pt>
                <c:pt idx="832">
                  <c:v>12.053199999999851</c:v>
                </c:pt>
                <c:pt idx="833">
                  <c:v>12.053299999999851</c:v>
                </c:pt>
                <c:pt idx="834">
                  <c:v>12.053399999999851</c:v>
                </c:pt>
                <c:pt idx="835">
                  <c:v>12.05349999999985</c:v>
                </c:pt>
                <c:pt idx="836">
                  <c:v>12.05359999999985</c:v>
                </c:pt>
                <c:pt idx="837">
                  <c:v>12.05369999999985</c:v>
                </c:pt>
                <c:pt idx="838">
                  <c:v>12.05379999999985</c:v>
                </c:pt>
                <c:pt idx="839">
                  <c:v>12.05389999999985</c:v>
                </c:pt>
                <c:pt idx="840">
                  <c:v>12.053999999999849</c:v>
                </c:pt>
                <c:pt idx="841">
                  <c:v>12.054099999999849</c:v>
                </c:pt>
                <c:pt idx="842">
                  <c:v>12.054199999999849</c:v>
                </c:pt>
                <c:pt idx="843">
                  <c:v>12.054299999999849</c:v>
                </c:pt>
                <c:pt idx="844">
                  <c:v>12.054399999999848</c:v>
                </c:pt>
                <c:pt idx="845">
                  <c:v>12.054499999999848</c:v>
                </c:pt>
                <c:pt idx="846">
                  <c:v>12.054599999999848</c:v>
                </c:pt>
                <c:pt idx="847">
                  <c:v>12.054699999999848</c:v>
                </c:pt>
                <c:pt idx="848">
                  <c:v>12.054799999999847</c:v>
                </c:pt>
                <c:pt idx="849">
                  <c:v>12.054899999999847</c:v>
                </c:pt>
                <c:pt idx="850">
                  <c:v>12.054999999999847</c:v>
                </c:pt>
                <c:pt idx="851">
                  <c:v>12.055099999999847</c:v>
                </c:pt>
                <c:pt idx="852">
                  <c:v>12.055199999999846</c:v>
                </c:pt>
                <c:pt idx="853">
                  <c:v>12.055299999999846</c:v>
                </c:pt>
                <c:pt idx="854">
                  <c:v>12.055399999999846</c:v>
                </c:pt>
                <c:pt idx="855">
                  <c:v>12.055499999999846</c:v>
                </c:pt>
                <c:pt idx="856">
                  <c:v>12.055599999999846</c:v>
                </c:pt>
                <c:pt idx="857">
                  <c:v>12.055699999999845</c:v>
                </c:pt>
                <c:pt idx="858">
                  <c:v>12.055799999999845</c:v>
                </c:pt>
                <c:pt idx="859">
                  <c:v>12.055899999999845</c:v>
                </c:pt>
                <c:pt idx="860">
                  <c:v>12.055999999999845</c:v>
                </c:pt>
                <c:pt idx="861">
                  <c:v>12.056099999999844</c:v>
                </c:pt>
                <c:pt idx="862">
                  <c:v>12.056199999999844</c:v>
                </c:pt>
                <c:pt idx="863">
                  <c:v>12.056299999999844</c:v>
                </c:pt>
                <c:pt idx="864">
                  <c:v>12.056399999999844</c:v>
                </c:pt>
                <c:pt idx="865">
                  <c:v>12.056499999999843</c:v>
                </c:pt>
                <c:pt idx="866">
                  <c:v>12.056599999999843</c:v>
                </c:pt>
                <c:pt idx="867">
                  <c:v>12.056699999999843</c:v>
                </c:pt>
                <c:pt idx="868">
                  <c:v>12.056799999999843</c:v>
                </c:pt>
                <c:pt idx="869">
                  <c:v>12.056899999999843</c:v>
                </c:pt>
                <c:pt idx="870">
                  <c:v>12.056999999999842</c:v>
                </c:pt>
                <c:pt idx="871">
                  <c:v>12.057099999999842</c:v>
                </c:pt>
                <c:pt idx="872">
                  <c:v>12.057199999999842</c:v>
                </c:pt>
                <c:pt idx="873">
                  <c:v>12.057299999999842</c:v>
                </c:pt>
                <c:pt idx="874">
                  <c:v>12.057399999999841</c:v>
                </c:pt>
                <c:pt idx="875">
                  <c:v>12.057499999999841</c:v>
                </c:pt>
                <c:pt idx="876">
                  <c:v>12.057599999999841</c:v>
                </c:pt>
                <c:pt idx="877">
                  <c:v>12.057699999999841</c:v>
                </c:pt>
                <c:pt idx="878">
                  <c:v>12.05779999999984</c:v>
                </c:pt>
                <c:pt idx="879">
                  <c:v>12.05789999999984</c:v>
                </c:pt>
                <c:pt idx="880">
                  <c:v>12.05799999999984</c:v>
                </c:pt>
                <c:pt idx="881">
                  <c:v>12.05809999999984</c:v>
                </c:pt>
                <c:pt idx="882">
                  <c:v>12.058199999999839</c:v>
                </c:pt>
                <c:pt idx="883">
                  <c:v>12.058299999999839</c:v>
                </c:pt>
                <c:pt idx="884">
                  <c:v>12.058399999999839</c:v>
                </c:pt>
                <c:pt idx="885">
                  <c:v>12.058499999999839</c:v>
                </c:pt>
                <c:pt idx="886">
                  <c:v>12.058599999999839</c:v>
                </c:pt>
                <c:pt idx="887">
                  <c:v>12.058699999999838</c:v>
                </c:pt>
                <c:pt idx="888">
                  <c:v>12.058799999999838</c:v>
                </c:pt>
                <c:pt idx="889">
                  <c:v>12.058899999999838</c:v>
                </c:pt>
                <c:pt idx="890">
                  <c:v>12.058999999999838</c:v>
                </c:pt>
                <c:pt idx="891">
                  <c:v>12.059099999999837</c:v>
                </c:pt>
                <c:pt idx="892">
                  <c:v>12.059199999999837</c:v>
                </c:pt>
                <c:pt idx="893">
                  <c:v>12.059299999999837</c:v>
                </c:pt>
                <c:pt idx="894">
                  <c:v>12.059399999999837</c:v>
                </c:pt>
                <c:pt idx="895">
                  <c:v>12.059499999999836</c:v>
                </c:pt>
                <c:pt idx="896">
                  <c:v>12.059599999999836</c:v>
                </c:pt>
                <c:pt idx="897">
                  <c:v>12.059699999999836</c:v>
                </c:pt>
                <c:pt idx="898">
                  <c:v>12.059799999999836</c:v>
                </c:pt>
                <c:pt idx="899">
                  <c:v>12.059899999999836</c:v>
                </c:pt>
                <c:pt idx="900">
                  <c:v>12.059999999999835</c:v>
                </c:pt>
                <c:pt idx="901">
                  <c:v>12.060099999999835</c:v>
                </c:pt>
                <c:pt idx="902">
                  <c:v>12.060199999999835</c:v>
                </c:pt>
                <c:pt idx="903">
                  <c:v>12.060299999999835</c:v>
                </c:pt>
                <c:pt idx="904">
                  <c:v>12.060399999999834</c:v>
                </c:pt>
                <c:pt idx="905">
                  <c:v>12.060499999999834</c:v>
                </c:pt>
                <c:pt idx="906">
                  <c:v>12.060599999999834</c:v>
                </c:pt>
                <c:pt idx="907">
                  <c:v>12.060699999999834</c:v>
                </c:pt>
                <c:pt idx="908">
                  <c:v>12.060799999999833</c:v>
                </c:pt>
                <c:pt idx="909">
                  <c:v>12.060899999999833</c:v>
                </c:pt>
                <c:pt idx="910">
                  <c:v>12.060999999999833</c:v>
                </c:pt>
                <c:pt idx="911">
                  <c:v>12.061099999999833</c:v>
                </c:pt>
                <c:pt idx="912">
                  <c:v>12.061199999999832</c:v>
                </c:pt>
                <c:pt idx="913">
                  <c:v>12.061299999999832</c:v>
                </c:pt>
                <c:pt idx="914">
                  <c:v>12.061399999999832</c:v>
                </c:pt>
                <c:pt idx="915">
                  <c:v>12.061499999999832</c:v>
                </c:pt>
                <c:pt idx="916">
                  <c:v>12.061599999999832</c:v>
                </c:pt>
                <c:pt idx="917">
                  <c:v>12.061699999999831</c:v>
                </c:pt>
                <c:pt idx="918">
                  <c:v>12.061799999999831</c:v>
                </c:pt>
                <c:pt idx="919">
                  <c:v>12.061899999999831</c:v>
                </c:pt>
                <c:pt idx="920">
                  <c:v>12.061999999999831</c:v>
                </c:pt>
                <c:pt idx="921">
                  <c:v>12.06209999999983</c:v>
                </c:pt>
                <c:pt idx="922">
                  <c:v>12.06219999999983</c:v>
                </c:pt>
                <c:pt idx="923">
                  <c:v>12.06229999999983</c:v>
                </c:pt>
                <c:pt idx="924">
                  <c:v>12.06239999999983</c:v>
                </c:pt>
                <c:pt idx="925">
                  <c:v>12.062499999999829</c:v>
                </c:pt>
                <c:pt idx="926">
                  <c:v>12.062599999999829</c:v>
                </c:pt>
                <c:pt idx="927">
                  <c:v>12.062699999999829</c:v>
                </c:pt>
                <c:pt idx="928">
                  <c:v>12.062799999999829</c:v>
                </c:pt>
                <c:pt idx="929">
                  <c:v>12.062899999999829</c:v>
                </c:pt>
                <c:pt idx="930">
                  <c:v>12.062999999999828</c:v>
                </c:pt>
                <c:pt idx="931">
                  <c:v>12.063099999999828</c:v>
                </c:pt>
                <c:pt idx="932">
                  <c:v>12.063199999999828</c:v>
                </c:pt>
                <c:pt idx="933">
                  <c:v>12.063299999999828</c:v>
                </c:pt>
                <c:pt idx="934">
                  <c:v>12.063399999999827</c:v>
                </c:pt>
                <c:pt idx="935">
                  <c:v>12.063499999999827</c:v>
                </c:pt>
                <c:pt idx="936">
                  <c:v>12.063599999999827</c:v>
                </c:pt>
                <c:pt idx="937">
                  <c:v>12.063699999999827</c:v>
                </c:pt>
                <c:pt idx="938">
                  <c:v>12.063799999999826</c:v>
                </c:pt>
                <c:pt idx="939">
                  <c:v>12.063899999999826</c:v>
                </c:pt>
                <c:pt idx="940">
                  <c:v>12.063999999999826</c:v>
                </c:pt>
                <c:pt idx="941">
                  <c:v>12.064099999999826</c:v>
                </c:pt>
                <c:pt idx="942">
                  <c:v>12.064199999999826</c:v>
                </c:pt>
                <c:pt idx="943">
                  <c:v>12.064299999999825</c:v>
                </c:pt>
                <c:pt idx="944">
                  <c:v>12.064399999999825</c:v>
                </c:pt>
                <c:pt idx="945">
                  <c:v>12.064499999999825</c:v>
                </c:pt>
                <c:pt idx="946">
                  <c:v>12.064599999999825</c:v>
                </c:pt>
                <c:pt idx="947">
                  <c:v>12.064699999999824</c:v>
                </c:pt>
                <c:pt idx="948">
                  <c:v>12.064799999999824</c:v>
                </c:pt>
                <c:pt idx="949">
                  <c:v>12.064899999999824</c:v>
                </c:pt>
                <c:pt idx="950">
                  <c:v>12.064999999999824</c:v>
                </c:pt>
                <c:pt idx="951">
                  <c:v>12.065099999999823</c:v>
                </c:pt>
                <c:pt idx="952">
                  <c:v>12.065199999999823</c:v>
                </c:pt>
                <c:pt idx="953">
                  <c:v>12.065299999999823</c:v>
                </c:pt>
                <c:pt idx="954">
                  <c:v>12.065399999999823</c:v>
                </c:pt>
                <c:pt idx="955">
                  <c:v>12.065499999999822</c:v>
                </c:pt>
                <c:pt idx="956">
                  <c:v>12.065599999999822</c:v>
                </c:pt>
                <c:pt idx="957">
                  <c:v>12.065699999999822</c:v>
                </c:pt>
                <c:pt idx="958">
                  <c:v>12.065799999999822</c:v>
                </c:pt>
                <c:pt idx="959">
                  <c:v>12.065899999999822</c:v>
                </c:pt>
                <c:pt idx="960">
                  <c:v>12.065999999999821</c:v>
                </c:pt>
                <c:pt idx="961">
                  <c:v>12.066099999999821</c:v>
                </c:pt>
                <c:pt idx="962">
                  <c:v>12.066199999999821</c:v>
                </c:pt>
                <c:pt idx="963">
                  <c:v>12.066299999999821</c:v>
                </c:pt>
                <c:pt idx="964">
                  <c:v>12.06639999999982</c:v>
                </c:pt>
                <c:pt idx="965">
                  <c:v>12.06649999999982</c:v>
                </c:pt>
                <c:pt idx="966">
                  <c:v>12.06659999999982</c:v>
                </c:pt>
                <c:pt idx="967">
                  <c:v>12.06669999999982</c:v>
                </c:pt>
                <c:pt idx="968">
                  <c:v>12.066799999999819</c:v>
                </c:pt>
                <c:pt idx="969">
                  <c:v>12.066899999999819</c:v>
                </c:pt>
                <c:pt idx="970">
                  <c:v>12.066999999999819</c:v>
                </c:pt>
                <c:pt idx="971">
                  <c:v>12.067099999999819</c:v>
                </c:pt>
                <c:pt idx="972">
                  <c:v>12.067199999999819</c:v>
                </c:pt>
                <c:pt idx="973">
                  <c:v>12.067299999999818</c:v>
                </c:pt>
                <c:pt idx="974">
                  <c:v>12.067399999999818</c:v>
                </c:pt>
                <c:pt idx="975">
                  <c:v>12.067499999999818</c:v>
                </c:pt>
                <c:pt idx="976">
                  <c:v>12.067599999999818</c:v>
                </c:pt>
                <c:pt idx="977">
                  <c:v>12.067699999999817</c:v>
                </c:pt>
                <c:pt idx="978">
                  <c:v>12.067799999999817</c:v>
                </c:pt>
                <c:pt idx="979">
                  <c:v>12.067899999999817</c:v>
                </c:pt>
                <c:pt idx="980">
                  <c:v>12.067999999999817</c:v>
                </c:pt>
                <c:pt idx="981">
                  <c:v>12.068099999999816</c:v>
                </c:pt>
                <c:pt idx="982">
                  <c:v>12.068199999999816</c:v>
                </c:pt>
                <c:pt idx="983">
                  <c:v>12.068299999999816</c:v>
                </c:pt>
                <c:pt idx="984">
                  <c:v>12.068399999999816</c:v>
                </c:pt>
                <c:pt idx="985">
                  <c:v>12.068499999999815</c:v>
                </c:pt>
                <c:pt idx="986">
                  <c:v>12.068599999999815</c:v>
                </c:pt>
                <c:pt idx="987">
                  <c:v>12.068699999999815</c:v>
                </c:pt>
                <c:pt idx="988">
                  <c:v>12.068799999999815</c:v>
                </c:pt>
                <c:pt idx="989">
                  <c:v>12.068899999999815</c:v>
                </c:pt>
                <c:pt idx="990">
                  <c:v>12.068999999999814</c:v>
                </c:pt>
                <c:pt idx="991">
                  <c:v>12.069099999999814</c:v>
                </c:pt>
                <c:pt idx="992">
                  <c:v>12.069199999999814</c:v>
                </c:pt>
                <c:pt idx="993">
                  <c:v>12.069299999999814</c:v>
                </c:pt>
                <c:pt idx="994">
                  <c:v>12.069399999999813</c:v>
                </c:pt>
                <c:pt idx="995">
                  <c:v>12.069499999999813</c:v>
                </c:pt>
                <c:pt idx="996">
                  <c:v>12.069599999999813</c:v>
                </c:pt>
                <c:pt idx="997">
                  <c:v>12.069699999999813</c:v>
                </c:pt>
                <c:pt idx="998">
                  <c:v>12.069799999999812</c:v>
                </c:pt>
                <c:pt idx="999">
                  <c:v>12.069899999999812</c:v>
                </c:pt>
                <c:pt idx="1000">
                  <c:v>12.069999999999812</c:v>
                </c:pt>
              </c:numCache>
            </c:numRef>
          </c:xVal>
          <c:yVal>
            <c:numRef>
              <c:f>Calculs!$I$4:$I$1004</c:f>
              <c:numCache>
                <c:formatCode>0.00</c:formatCode>
                <c:ptCount val="1001"/>
                <c:pt idx="0">
                  <c:v>0</c:v>
                </c:pt>
                <c:pt idx="1">
                  <c:v>0.19168299621157736</c:v>
                </c:pt>
                <c:pt idx="2">
                  <c:v>0.96258520303727579</c:v>
                </c:pt>
                <c:pt idx="3">
                  <c:v>1.9773490636872959</c:v>
                </c:pt>
                <c:pt idx="4">
                  <c:v>2.8999195495995447</c:v>
                </c:pt>
                <c:pt idx="5">
                  <c:v>3.7745571842774197</c:v>
                </c:pt>
                <c:pt idx="6">
                  <c:v>4.645619816862415</c:v>
                </c:pt>
                <c:pt idx="7">
                  <c:v>5.5130830614007067</c:v>
                </c:pt>
                <c:pt idx="8">
                  <c:v>6.3769227542268752</c:v>
                </c:pt>
                <c:pt idx="9">
                  <c:v>7.2371149559280745</c:v>
                </c:pt>
                <c:pt idx="10">
                  <c:v>8.0936359532594739</c:v>
                </c:pt>
                <c:pt idx="11">
                  <c:v>8.9464622610106854</c:v>
                </c:pt>
                <c:pt idx="12">
                  <c:v>9.7955706238228775</c:v>
                </c:pt>
                <c:pt idx="13">
                  <c:v>10.64093801795633</c:v>
                </c:pt>
                <c:pt idx="14">
                  <c:v>11.482541653008198</c:v>
                </c:pt>
                <c:pt idx="15">
                  <c:v>12.320358973580221</c:v>
                </c:pt>
                <c:pt idx="16">
                  <c:v>13.154367660896213</c:v>
                </c:pt>
                <c:pt idx="17">
                  <c:v>13.98454563436913</c:v>
                </c:pt>
                <c:pt idx="18">
                  <c:v>14.810871053117534</c:v>
                </c:pt>
                <c:pt idx="19">
                  <c:v>15.63332231743132</c:v>
                </c:pt>
                <c:pt idx="20">
                  <c:v>16.451878070186559</c:v>
                </c:pt>
                <c:pt idx="21">
                  <c:v>17.266517198209357</c:v>
                </c:pt>
                <c:pt idx="22">
                  <c:v>18.077218833588613</c:v>
                </c:pt>
                <c:pt idx="23">
                  <c:v>18.883962354937612</c:v>
                </c:pt>
                <c:pt idx="24">
                  <c:v>19.686727388604385</c:v>
                </c:pt>
                <c:pt idx="25">
                  <c:v>20.485493809830796</c:v>
                </c:pt>
                <c:pt idx="26">
                  <c:v>21.280243419566165</c:v>
                </c:pt>
                <c:pt idx="27">
                  <c:v>22.070958313948353</c:v>
                </c:pt>
                <c:pt idx="28">
                  <c:v>22.857619029406585</c:v>
                </c:pt>
                <c:pt idx="29">
                  <c:v>23.640206361174638</c:v>
                </c:pt>
                <c:pt idx="30">
                  <c:v>24.418701363613248</c:v>
                </c:pt>
                <c:pt idx="31">
                  <c:v>25.1930853505655</c:v>
                </c:pt>
                <c:pt idx="32">
                  <c:v>25.963339895722672</c:v>
                </c:pt>
                <c:pt idx="33">
                  <c:v>26.729446832991382</c:v>
                </c:pt>
                <c:pt idx="34">
                  <c:v>27.491388256854428</c:v>
                </c:pt>
                <c:pt idx="35">
                  <c:v>28.249146522719169</c:v>
                </c:pt>
                <c:pt idx="36">
                  <c:v>29.0027042472482</c:v>
                </c:pt>
                <c:pt idx="37">
                  <c:v>29.752044308668182</c:v>
                </c:pt>
                <c:pt idx="38">
                  <c:v>30.497149847053141</c:v>
                </c:pt>
                <c:pt idx="39">
                  <c:v>31.238004264579331</c:v>
                </c:pt>
                <c:pt idx="40">
                  <c:v>31.974591225749226</c:v>
                </c:pt>
                <c:pt idx="41">
                  <c:v>32.706894657582424</c:v>
                </c:pt>
                <c:pt idx="42">
                  <c:v>33.434898749771911</c:v>
                </c:pt>
                <c:pt idx="43">
                  <c:v>34.158587954804084</c:v>
                </c:pt>
                <c:pt idx="44">
                  <c:v>34.877946988041458</c:v>
                </c:pt>
                <c:pt idx="45">
                  <c:v>35.592960827766959</c:v>
                </c:pt>
                <c:pt idx="46">
                  <c:v>36.303614715189049</c:v>
                </c:pt>
                <c:pt idx="47">
                  <c:v>37.009894154407043</c:v>
                </c:pt>
                <c:pt idx="48">
                  <c:v>37.711784912336014</c:v>
                </c:pt>
                <c:pt idx="49">
                  <c:v>38.409273018590959</c:v>
                </c:pt>
                <c:pt idx="50">
                  <c:v>39.102344765329839</c:v>
                </c:pt>
                <c:pt idx="51">
                  <c:v>39.79098670705536</c:v>
                </c:pt>
                <c:pt idx="52">
                  <c:v>40.475185660375246</c:v>
                </c:pt>
                <c:pt idx="53">
                  <c:v>41.154928703721041</c:v>
                </c:pt>
                <c:pt idx="54">
                  <c:v>41.830203177025325</c:v>
                </c:pt>
                <c:pt idx="55">
                  <c:v>42.500996681357485</c:v>
                </c:pt>
                <c:pt idx="56">
                  <c:v>43.167297078518054</c:v>
                </c:pt>
                <c:pt idx="57">
                  <c:v>43.829092490591776</c:v>
                </c:pt>
                <c:pt idx="58">
                  <c:v>44.486371299459648</c:v>
                </c:pt>
                <c:pt idx="59">
                  <c:v>45.139122146270012</c:v>
                </c:pt>
                <c:pt idx="60">
                  <c:v>45.787333930869053</c:v>
                </c:pt>
                <c:pt idx="61">
                  <c:v>46.430995811191003</c:v>
                </c:pt>
                <c:pt idx="62">
                  <c:v>47.070097202608196</c:v>
                </c:pt>
                <c:pt idx="63">
                  <c:v>47.700723339062414</c:v>
                </c:pt>
                <c:pt idx="64">
                  <c:v>48.318958358408651</c:v>
                </c:pt>
                <c:pt idx="65">
                  <c:v>48.924793218925899</c:v>
                </c:pt>
                <c:pt idx="66">
                  <c:v>49.518219703814566</c:v>
                </c:pt>
                <c:pt idx="67">
                  <c:v>50.095649349945688</c:v>
                </c:pt>
                <c:pt idx="68">
                  <c:v>50.653493970585835</c:v>
                </c:pt>
                <c:pt idx="69">
                  <c:v>51.185379006472935</c:v>
                </c:pt>
                <c:pt idx="70">
                  <c:v>51.684931397606533</c:v>
                </c:pt>
                <c:pt idx="71">
                  <c:v>52.152155569142401</c:v>
                </c:pt>
                <c:pt idx="72">
                  <c:v>52.587058821872034</c:v>
                </c:pt>
                <c:pt idx="73">
                  <c:v>52.989651250152505</c:v>
                </c:pt>
                <c:pt idx="74">
                  <c:v>53.359945659274267</c:v>
                </c:pt>
                <c:pt idx="75">
                  <c:v>53.697957482328754</c:v>
                </c:pt>
                <c:pt idx="76">
                  <c:v>54.003704696636611</c:v>
                </c:pt>
                <c:pt idx="77">
                  <c:v>54.277207739795941</c:v>
                </c:pt>
                <c:pt idx="78">
                  <c:v>54.518489425408504</c:v>
                </c:pt>
                <c:pt idx="79">
                  <c:v>54.72757485854072</c:v>
                </c:pt>
                <c:pt idx="80">
                  <c:v>54.904491350974375</c:v>
                </c:pt>
                <c:pt idx="81">
                  <c:v>55.056854049104523</c:v>
                </c:pt>
                <c:pt idx="82">
                  <c:v>55.192273167403364</c:v>
                </c:pt>
                <c:pt idx="83">
                  <c:v>55.310765317870292</c:v>
                </c:pt>
                <c:pt idx="84">
                  <c:v>55.412347720484391</c:v>
                </c:pt>
                <c:pt idx="85">
                  <c:v>55.497038179409337</c:v>
                </c:pt>
                <c:pt idx="86">
                  <c:v>55.564855059241928</c:v>
                </c:pt>
                <c:pt idx="87">
                  <c:v>55.615817261311435</c:v>
                </c:pt>
                <c:pt idx="88">
                  <c:v>55.649944200036835</c:v>
                </c:pt>
                <c:pt idx="89">
                  <c:v>55.669653278626477</c:v>
                </c:pt>
                <c:pt idx="90">
                  <c:v>55.677359556111739</c:v>
                </c:pt>
                <c:pt idx="91">
                  <c:v>55.673077739662254</c:v>
                </c:pt>
                <c:pt idx="92">
                  <c:v>55.656822751650957</c:v>
                </c:pt>
                <c:pt idx="93">
                  <c:v>55.629209240025148</c:v>
                </c:pt>
                <c:pt idx="94">
                  <c:v>55.590851289760451</c:v>
                </c:pt>
                <c:pt idx="95">
                  <c:v>55.541762804704547</c:v>
                </c:pt>
                <c:pt idx="96">
                  <c:v>55.481957820985564</c:v>
                </c:pt>
                <c:pt idx="97">
                  <c:v>55.413848957047421</c:v>
                </c:pt>
                <c:pt idx="98">
                  <c:v>55.339845755167055</c:v>
                </c:pt>
                <c:pt idx="99">
                  <c:v>55.259956011157094</c:v>
                </c:pt>
                <c:pt idx="100">
                  <c:v>55.174187531823087</c:v>
                </c:pt>
                <c:pt idx="101">
                  <c:v>55.082548132216459</c:v>
                </c:pt>
                <c:pt idx="102">
                  <c:v>54.985045632903848</c:v>
                </c:pt>
                <c:pt idx="103">
                  <c:v>54.881687857253105</c:v>
                </c:pt>
                <c:pt idx="104">
                  <c:v>54.772482628735887</c:v>
                </c:pt>
                <c:pt idx="105">
                  <c:v>54.657437768247028</c:v>
                </c:pt>
                <c:pt idx="106">
                  <c:v>54.536561091440511</c:v>
                </c:pt>
                <c:pt idx="107">
                  <c:v>54.409860406082331</c:v>
                </c:pt>
                <c:pt idx="108">
                  <c:v>54.277343509420149</c:v>
                </c:pt>
                <c:pt idx="109">
                  <c:v>54.142016729264611</c:v>
                </c:pt>
                <c:pt idx="110">
                  <c:v>54.006882112468062</c:v>
                </c:pt>
                <c:pt idx="111">
                  <c:v>53.87193891003362</c:v>
                </c:pt>
                <c:pt idx="112">
                  <c:v>53.737186376299462</c:v>
                </c:pt>
                <c:pt idx="113">
                  <c:v>53.60262376892063</c:v>
                </c:pt>
                <c:pt idx="114">
                  <c:v>53.468250348850965</c:v>
                </c:pt>
                <c:pt idx="115">
                  <c:v>53.334065380325072</c:v>
                </c:pt>
                <c:pt idx="116">
                  <c:v>53.200068130840556</c:v>
                </c:pt>
                <c:pt idx="117">
                  <c:v>53.066257871140344</c:v>
                </c:pt>
                <c:pt idx="118">
                  <c:v>52.932633875195108</c:v>
                </c:pt>
                <c:pt idx="119">
                  <c:v>52.79919542018591</c:v>
                </c:pt>
                <c:pt idx="120">
                  <c:v>52.665941786486918</c:v>
                </c:pt>
                <c:pt idx="121">
                  <c:v>52.532872257648307</c:v>
                </c:pt>
                <c:pt idx="122">
                  <c:v>52.399986120379218</c:v>
                </c:pt>
                <c:pt idx="123">
                  <c:v>52.267282664530953</c:v>
                </c:pt>
                <c:pt idx="124">
                  <c:v>52.134761183080258</c:v>
                </c:pt>
                <c:pt idx="125">
                  <c:v>52.002420972112667</c:v>
                </c:pt>
                <c:pt idx="126">
                  <c:v>51.870261330806159</c:v>
                </c:pt>
                <c:pt idx="127">
                  <c:v>51.738281561414745</c:v>
                </c:pt>
                <c:pt idx="128">
                  <c:v>51.606480969252317</c:v>
                </c:pt>
                <c:pt idx="129">
                  <c:v>51.474858862676598</c:v>
                </c:pt>
                <c:pt idx="130">
                  <c:v>51.343414553073181</c:v>
                </c:pt>
                <c:pt idx="131">
                  <c:v>51.212147354839779</c:v>
                </c:pt>
                <c:pt idx="132">
                  <c:v>51.08105658537049</c:v>
                </c:pt>
                <c:pt idx="133">
                  <c:v>50.950141565040326</c:v>
                </c:pt>
                <c:pt idx="134">
                  <c:v>50.819401617189733</c:v>
                </c:pt>
                <c:pt idx="135">
                  <c:v>50.688836068109339</c:v>
                </c:pt>
                <c:pt idx="136">
                  <c:v>50.558444247024788</c:v>
                </c:pt>
                <c:pt idx="137">
                  <c:v>50.428225486081679</c:v>
                </c:pt>
                <c:pt idx="138">
                  <c:v>50.298179120330687</c:v>
                </c:pt>
                <c:pt idx="139">
                  <c:v>50.168304487712746</c:v>
                </c:pt>
                <c:pt idx="140">
                  <c:v>50.038600929044406</c:v>
                </c:pt>
                <c:pt idx="141">
                  <c:v>49.909067788003256</c:v>
                </c:pt>
                <c:pt idx="142">
                  <c:v>49.779704411113563</c:v>
                </c:pt>
                <c:pt idx="143">
                  <c:v>49.650510147731907</c:v>
                </c:pt>
                <c:pt idx="144">
                  <c:v>49.521484350033049</c:v>
                </c:pt>
                <c:pt idx="145">
                  <c:v>49.392626372995871</c:v>
                </c:pt>
                <c:pt idx="146">
                  <c:v>49.2639355743894</c:v>
                </c:pt>
                <c:pt idx="147">
                  <c:v>49.135411314759054</c:v>
                </c:pt>
                <c:pt idx="148">
                  <c:v>49.007052957412881</c:v>
                </c:pt>
                <c:pt idx="149">
                  <c:v>48.878859868408057</c:v>
                </c:pt>
                <c:pt idx="150">
                  <c:v>48.750831416537338</c:v>
                </c:pt>
                <c:pt idx="151">
                  <c:v>48.622966973315783</c:v>
                </c:pt>
                <c:pt idx="152">
                  <c:v>48.495265912967518</c:v>
                </c:pt>
                <c:pt idx="153">
                  <c:v>48.367727612412601</c:v>
                </c:pt>
                <c:pt idx="154">
                  <c:v>48.240351451254043</c:v>
                </c:pt>
                <c:pt idx="155">
                  <c:v>48.113136811764974</c:v>
                </c:pt>
                <c:pt idx="156">
                  <c:v>47.986083078875815</c:v>
                </c:pt>
                <c:pt idx="157">
                  <c:v>47.859189640161674</c:v>
                </c:pt>
                <c:pt idx="158">
                  <c:v>47.732455885829822</c:v>
                </c:pt>
                <c:pt idx="159">
                  <c:v>47.605881208707252</c:v>
                </c:pt>
                <c:pt idx="160">
                  <c:v>47.479465004228409</c:v>
                </c:pt>
                <c:pt idx="161">
                  <c:v>47.353206670422992</c:v>
                </c:pt>
                <c:pt idx="162">
                  <c:v>47.227105607903859</c:v>
                </c:pt>
                <c:pt idx="163">
                  <c:v>47.101161219855086</c:v>
                </c:pt>
                <c:pt idx="164">
                  <c:v>46.975372912020141</c:v>
                </c:pt>
                <c:pt idx="165">
                  <c:v>46.849740092690126</c:v>
                </c:pt>
                <c:pt idx="166">
                  <c:v>46.724262172692157</c:v>
                </c:pt>
                <c:pt idx="167">
                  <c:v>46.59893856537785</c:v>
                </c:pt>
                <c:pt idx="168">
                  <c:v>46.473768686611955</c:v>
                </c:pt>
                <c:pt idx="169">
                  <c:v>46.348751954761028</c:v>
                </c:pt>
                <c:pt idx="170">
                  <c:v>46.223887790682291</c:v>
                </c:pt>
                <c:pt idx="171">
                  <c:v>46.099175617712554</c:v>
                </c:pt>
                <c:pt idx="172">
                  <c:v>45.974614861657258</c:v>
                </c:pt>
                <c:pt idx="173">
                  <c:v>45.850204950779641</c:v>
                </c:pt>
                <c:pt idx="174">
                  <c:v>45.725945315790035</c:v>
                </c:pt>
                <c:pt idx="175">
                  <c:v>45.601835389835195</c:v>
                </c:pt>
                <c:pt idx="176">
                  <c:v>45.477874608487816</c:v>
                </c:pt>
                <c:pt idx="177">
                  <c:v>45.354062409736144</c:v>
                </c:pt>
                <c:pt idx="178">
                  <c:v>45.230398233973695</c:v>
                </c:pt>
                <c:pt idx="179">
                  <c:v>45.106881523989038</c:v>
                </c:pt>
                <c:pt idx="180">
                  <c:v>44.98351172495574</c:v>
                </c:pt>
                <c:pt idx="181">
                  <c:v>44.860288284422467</c:v>
                </c:pt>
                <c:pt idx="182">
                  <c:v>44.737210652303027</c:v>
                </c:pt>
                <c:pt idx="183">
                  <c:v>44.614278280866735</c:v>
                </c:pt>
                <c:pt idx="184">
                  <c:v>44.491490624728719</c:v>
                </c:pt>
                <c:pt idx="185">
                  <c:v>44.368847140840437</c:v>
                </c:pt>
                <c:pt idx="186">
                  <c:v>44.246347288480244</c:v>
                </c:pt>
                <c:pt idx="187">
                  <c:v>44.123990529244125</c:v>
                </c:pt>
                <c:pt idx="188">
                  <c:v>44.001776327036453</c:v>
                </c:pt>
                <c:pt idx="189">
                  <c:v>43.879704148060981</c:v>
                </c:pt>
                <c:pt idx="190">
                  <c:v>43.757773460811819</c:v>
                </c:pt>
                <c:pt idx="191">
                  <c:v>43.635983736064574</c:v>
                </c:pt>
                <c:pt idx="192">
                  <c:v>43.514334446867657</c:v>
                </c:pt>
                <c:pt idx="193">
                  <c:v>43.392825068533583</c:v>
                </c:pt>
                <c:pt idx="194">
                  <c:v>43.271455078630488</c:v>
                </c:pt>
                <c:pt idx="195">
                  <c:v>43.150223956973676</c:v>
                </c:pt>
                <c:pt idx="196">
                  <c:v>43.029131185617352</c:v>
                </c:pt>
                <c:pt idx="197">
                  <c:v>42.908176248846388</c:v>
                </c:pt>
                <c:pt idx="198">
                  <c:v>42.787358633168267</c:v>
                </c:pt>
                <c:pt idx="199">
                  <c:v>42.666677827305115</c:v>
                </c:pt>
                <c:pt idx="200">
                  <c:v>42.546133322185817</c:v>
                </c:pt>
                <c:pt idx="201">
                  <c:v>41.342216725767017</c:v>
                </c:pt>
                <c:pt idx="202">
                  <c:v>40.151681741954917</c:v>
                </c:pt>
                <c:pt idx="203">
                  <c:v>38.974040109400164</c:v>
                </c:pt>
                <c:pt idx="204">
                  <c:v>37.808825159008435</c:v>
                </c:pt>
                <c:pt idx="205">
                  <c:v>36.655591299199102</c:v>
                </c:pt>
                <c:pt idx="206">
                  <c:v>35.513913640288358</c:v>
                </c:pt>
                <c:pt idx="207">
                  <c:v>34.383387770639068</c:v>
                </c:pt>
                <c:pt idx="208">
                  <c:v>33.263629701525986</c:v>
                </c:pt>
                <c:pt idx="209">
                  <c:v>32.154276003037459</c:v>
                </c:pt>
                <c:pt idx="210">
                  <c:v>31.054984160118906</c:v>
                </c:pt>
                <c:pt idx="211">
                  <c:v>29.965433186521761</c:v>
                </c:pt>
                <c:pt idx="212">
                  <c:v>28.885324545586471</c:v>
                </c:pt>
                <c:pt idx="213">
                  <c:v>27.814383441323422</c:v>
                </c:pt>
                <c:pt idx="214">
                  <c:v>26.752360562358152</c:v>
                </c:pt>
                <c:pt idx="215">
                  <c:v>25.699034386646982</c:v>
                </c:pt>
                <c:pt idx="216">
                  <c:v>24.65421418879902</c:v>
                </c:pt>
                <c:pt idx="217">
                  <c:v>23.617743937708703</c:v>
                </c:pt>
                <c:pt idx="218">
                  <c:v>22.589507334819906</c:v>
                </c:pt>
                <c:pt idx="219">
                  <c:v>21.569434329692402</c:v>
                </c:pt>
                <c:pt idx="220">
                  <c:v>20.557509569870241</c:v>
                </c:pt>
                <c:pt idx="221">
                  <c:v>19.553783411552747</c:v>
                </c:pt>
                <c:pt idx="222">
                  <c:v>18.558386359011745</c:v>
                </c:pt>
                <c:pt idx="223">
                  <c:v>17.571548148566983</c:v>
                </c:pt>
                <c:pt idx="224">
                  <c:v>16.593623199960774</c:v>
                </c:pt>
                <c:pt idx="225">
                  <c:v>15.625124905509198</c:v>
                </c:pt>
                <c:pt idx="226">
                  <c:v>14.666772341720399</c:v>
                </c:pt>
                <c:pt idx="227">
                  <c:v>13.719554665609413</c:v>
                </c:pt>
                <c:pt idx="228">
                  <c:v>12.784821002816436</c:v>
                </c:pt>
                <c:pt idx="229">
                  <c:v>11.864407508962932</c:v>
                </c:pt>
                <c:pt idx="230">
                  <c:v>10.960819159720536</c:v>
                </c:pt>
                <c:pt idx="231">
                  <c:v>10.077492565092575</c:v>
                </c:pt>
                <c:pt idx="232">
                  <c:v>9.2191784800761774</c:v>
                </c:pt>
                <c:pt idx="233">
                  <c:v>8.3924981326049153</c:v>
                </c:pt>
                <c:pt idx="234">
                  <c:v>7.6067400598089892</c:v>
                </c:pt>
                <c:pt idx="235">
                  <c:v>6.8749511358858886</c:v>
                </c:pt>
                <c:pt idx="236">
                  <c:v>6.2152710801274909</c:v>
                </c:pt>
                <c:pt idx="237">
                  <c:v>5.6521160913147019</c:v>
                </c:pt>
                <c:pt idx="238">
                  <c:v>5.2160409506460166</c:v>
                </c:pt>
                <c:pt idx="239">
                  <c:v>4.94011363708504</c:v>
                </c:pt>
                <c:pt idx="240">
                  <c:v>4.8511461212721798</c:v>
                </c:pt>
                <c:pt idx="241">
                  <c:v>4.9587076400550885</c:v>
                </c:pt>
                <c:pt idx="242">
                  <c:v>5.2502776652372933</c:v>
                </c:pt>
                <c:pt idx="243">
                  <c:v>5.6972239019862183</c:v>
                </c:pt>
                <c:pt idx="244">
                  <c:v>6.2659076451054609</c:v>
                </c:pt>
                <c:pt idx="245">
                  <c:v>6.9258857252119093</c:v>
                </c:pt>
                <c:pt idx="246">
                  <c:v>7.6530089590179715</c:v>
                </c:pt>
                <c:pt idx="247">
                  <c:v>8.429309534902556</c:v>
                </c:pt>
                <c:pt idx="248">
                  <c:v>9.2417561329235234</c:v>
                </c:pt>
                <c:pt idx="249">
                  <c:v>10.080934920633988</c:v>
                </c:pt>
                <c:pt idx="250">
                  <c:v>10.939992017233282</c:v>
                </c:pt>
                <c:pt idx="251">
                  <c:v>11.813867237942869</c:v>
                </c:pt>
                <c:pt idx="252">
                  <c:v>12.698760821605907</c:v>
                </c:pt>
                <c:pt idx="253">
                  <c:v>13.591767094831599</c:v>
                </c:pt>
                <c:pt idx="254">
                  <c:v>14.490622685352955</c:v>
                </c:pt>
                <c:pt idx="255">
                  <c:v>15.393532179833528</c:v>
                </c:pt>
                <c:pt idx="256">
                  <c:v>16.299046088588515</c:v>
                </c:pt>
                <c:pt idx="257">
                  <c:v>17.205974356394726</c:v>
                </c:pt>
                <c:pt idx="258">
                  <c:v>18.113324267452217</c:v>
                </c:pt>
                <c:pt idx="259">
                  <c:v>19.02025528681088</c:v>
                </c:pt>
                <c:pt idx="260">
                  <c:v>19.926045806654606</c:v>
                </c:pt>
                <c:pt idx="261">
                  <c:v>20.830068365755903</c:v>
                </c:pt>
                <c:pt idx="262">
                  <c:v>21.731770974000479</c:v>
                </c:pt>
                <c:pt idx="263">
                  <c:v>22.630662888076284</c:v>
                </c:pt>
                <c:pt idx="264">
                  <c:v>23.526303669342536</c:v>
                </c:pt>
                <c:pt idx="265">
                  <c:v>24.418294687945764</c:v>
                </c:pt>
                <c:pt idx="266">
                  <c:v>25.306272468644718</c:v>
                </c:pt>
                <c:pt idx="267">
                  <c:v>26.189903436405373</c:v>
                </c:pt>
                <c:pt idx="268">
                  <c:v>27.068879735350496</c:v>
                </c:pt>
                <c:pt idx="269">
                  <c:v>27.942915877602754</c:v>
                </c:pt>
                <c:pt idx="270">
                  <c:v>28.811746038738573</c:v>
                </c:pt>
                <c:pt idx="271">
                  <c:v>29.675121860654677</c:v>
                </c:pt>
                <c:pt idx="272">
                  <c:v>30.53281065524666</c:v>
                </c:pt>
                <c:pt idx="273">
                  <c:v>31.384593926617988</c:v>
                </c:pt>
                <c:pt idx="274">
                  <c:v>32.230266147835522</c:v>
                </c:pt>
                <c:pt idx="275">
                  <c:v>33.069633742126612</c:v>
                </c:pt>
                <c:pt idx="276">
                  <c:v>33.902514229021982</c:v>
                </c:pt>
                <c:pt idx="277">
                  <c:v>34.728735504117665</c:v>
                </c:pt>
                <c:pt idx="278">
                  <c:v>35.548135227464435</c:v>
                </c:pt>
                <c:pt idx="279">
                  <c:v>36.360560300538729</c:v>
                </c:pt>
                <c:pt idx="280">
                  <c:v>37.165866415634795</c:v>
                </c:pt>
                <c:pt idx="281">
                  <c:v>37.963917664589758</c:v>
                </c:pt>
                <c:pt idx="282">
                  <c:v>38.75458619619571</c:v>
                </c:pt>
                <c:pt idx="283">
                  <c:v>39.537751913606442</c:v>
                </c:pt>
                <c:pt idx="284">
                  <c:v>40.313302204616249</c:v>
                </c:pt>
                <c:pt idx="285">
                  <c:v>41.081131698957492</c:v>
                </c:pt>
                <c:pt idx="286">
                  <c:v>41.841142047793539</c:v>
                </c:pt>
                <c:pt idx="287">
                  <c:v>42.593241721424235</c:v>
                </c:pt>
                <c:pt idx="288">
                  <c:v>43.337345821909679</c:v>
                </c:pt>
                <c:pt idx="289">
                  <c:v>44.073375907884817</c:v>
                </c:pt>
                <c:pt idx="290">
                  <c:v>44.801259829304989</c:v>
                </c:pt>
                <c:pt idx="291">
                  <c:v>45.52093157025103</c:v>
                </c:pt>
                <c:pt idx="292">
                  <c:v>46.232331098244991</c:v>
                </c:pt>
                <c:pt idx="293">
                  <c:v>46.935404218797046</c:v>
                </c:pt>
                <c:pt idx="294">
                  <c:v>47.630102434129476</c:v>
                </c:pt>
                <c:pt idx="295">
                  <c:v>48.316382805212818</c:v>
                </c:pt>
                <c:pt idx="296">
                  <c:v>48.994207816408363</c:v>
                </c:pt>
                <c:pt idx="297">
                  <c:v>49.663545242144764</c:v>
                </c:pt>
                <c:pt idx="298">
                  <c:v>50.324368015170101</c:v>
                </c:pt>
                <c:pt idx="299">
                  <c:v>50.976654096015544</c:v>
                </c:pt>
                <c:pt idx="300">
                  <c:v>51.62038634338775</c:v>
                </c:pt>
                <c:pt idx="301">
                  <c:v>51.621021456457967</c:v>
                </c:pt>
                <c:pt idx="302">
                  <c:v>51.62165656101724</c:v>
                </c:pt>
                <c:pt idx="303">
                  <c:v>51.62229165706556</c:v>
                </c:pt>
                <c:pt idx="304">
                  <c:v>51.622926744602921</c:v>
                </c:pt>
                <c:pt idx="305">
                  <c:v>51.623561823629316</c:v>
                </c:pt>
                <c:pt idx="306">
                  <c:v>51.624196894144745</c:v>
                </c:pt>
                <c:pt idx="307">
                  <c:v>51.624831956149194</c:v>
                </c:pt>
                <c:pt idx="308">
                  <c:v>51.625467009642662</c:v>
                </c:pt>
                <c:pt idx="309">
                  <c:v>51.626102054625136</c:v>
                </c:pt>
                <c:pt idx="310">
                  <c:v>51.626737091096601</c:v>
                </c:pt>
                <c:pt idx="311">
                  <c:v>51.627372119057064</c:v>
                </c:pt>
                <c:pt idx="312">
                  <c:v>51.628007138506511</c:v>
                </c:pt>
                <c:pt idx="313">
                  <c:v>51.628642149444936</c:v>
                </c:pt>
                <c:pt idx="314">
                  <c:v>51.629277151872337</c:v>
                </c:pt>
                <c:pt idx="315">
                  <c:v>51.629912145788694</c:v>
                </c:pt>
                <c:pt idx="316">
                  <c:v>51.630547131194014</c:v>
                </c:pt>
                <c:pt idx="317">
                  <c:v>51.631182108088289</c:v>
                </c:pt>
                <c:pt idx="318">
                  <c:v>51.631817076471499</c:v>
                </c:pt>
                <c:pt idx="319">
                  <c:v>51.632452036343651</c:v>
                </c:pt>
                <c:pt idx="320">
                  <c:v>51.633086987704729</c:v>
                </c:pt>
                <c:pt idx="321">
                  <c:v>51.633721930554728</c:v>
                </c:pt>
                <c:pt idx="322">
                  <c:v>51.63435686489364</c:v>
                </c:pt>
                <c:pt idx="323">
                  <c:v>51.634991790721465</c:v>
                </c:pt>
                <c:pt idx="324">
                  <c:v>51.635626708038195</c:v>
                </c:pt>
                <c:pt idx="325">
                  <c:v>51.636261616843818</c:v>
                </c:pt>
                <c:pt idx="326">
                  <c:v>51.636896517138325</c:v>
                </c:pt>
                <c:pt idx="327">
                  <c:v>51.637531408921717</c:v>
                </c:pt>
                <c:pt idx="328">
                  <c:v>51.638166292193979</c:v>
                </c:pt>
                <c:pt idx="329">
                  <c:v>51.638801166955105</c:v>
                </c:pt>
                <c:pt idx="330">
                  <c:v>51.639436033205087</c:v>
                </c:pt>
                <c:pt idx="331">
                  <c:v>51.640070890943925</c:v>
                </c:pt>
                <c:pt idx="332">
                  <c:v>51.640705740171612</c:v>
                </c:pt>
                <c:pt idx="333">
                  <c:v>51.641340580888127</c:v>
                </c:pt>
                <c:pt idx="334">
                  <c:v>51.64197541309349</c:v>
                </c:pt>
                <c:pt idx="335">
                  <c:v>51.642610236787668</c:v>
                </c:pt>
                <c:pt idx="336">
                  <c:v>51.643245051970659</c:v>
                </c:pt>
                <c:pt idx="337">
                  <c:v>51.643879858642471</c:v>
                </c:pt>
                <c:pt idx="338">
                  <c:v>51.644514656803075</c:v>
                </c:pt>
                <c:pt idx="339">
                  <c:v>51.645149446452486</c:v>
                </c:pt>
                <c:pt idx="340">
                  <c:v>51.645784227590681</c:v>
                </c:pt>
                <c:pt idx="341">
                  <c:v>51.646419000217662</c:v>
                </c:pt>
                <c:pt idx="342">
                  <c:v>51.647053764333414</c:v>
                </c:pt>
                <c:pt idx="343">
                  <c:v>51.647688519937944</c:v>
                </c:pt>
                <c:pt idx="344">
                  <c:v>51.648323267031238</c:v>
                </c:pt>
                <c:pt idx="345">
                  <c:v>51.648958005613274</c:v>
                </c:pt>
                <c:pt idx="346">
                  <c:v>51.649592735684067</c:v>
                </c:pt>
                <c:pt idx="347">
                  <c:v>51.650227457243595</c:v>
                </c:pt>
                <c:pt idx="348">
                  <c:v>51.650862170291866</c:v>
                </c:pt>
                <c:pt idx="349">
                  <c:v>51.651496874828858</c:v>
                </c:pt>
                <c:pt idx="350">
                  <c:v>51.652131570854571</c:v>
                </c:pt>
                <c:pt idx="351">
                  <c:v>51.652766258369006</c:v>
                </c:pt>
                <c:pt idx="352">
                  <c:v>51.653400937372147</c:v>
                </c:pt>
                <c:pt idx="353">
                  <c:v>51.654035607863982</c:v>
                </c:pt>
                <c:pt idx="354">
                  <c:v>51.654670269844509</c:v>
                </c:pt>
                <c:pt idx="355">
                  <c:v>51.655304923313729</c:v>
                </c:pt>
                <c:pt idx="356">
                  <c:v>51.655939568271627</c:v>
                </c:pt>
                <c:pt idx="357">
                  <c:v>51.65657420471819</c:v>
                </c:pt>
                <c:pt idx="358">
                  <c:v>51.657208832653431</c:v>
                </c:pt>
                <c:pt idx="359">
                  <c:v>51.657843452077323</c:v>
                </c:pt>
                <c:pt idx="360">
                  <c:v>51.658478062989872</c:v>
                </c:pt>
                <c:pt idx="361">
                  <c:v>51.659112665391056</c:v>
                </c:pt>
                <c:pt idx="362">
                  <c:v>51.659747259280891</c:v>
                </c:pt>
                <c:pt idx="363">
                  <c:v>51.660381844659355</c:v>
                </c:pt>
                <c:pt idx="364">
                  <c:v>51.661016421526448</c:v>
                </c:pt>
                <c:pt idx="365">
                  <c:v>51.661650989882148</c:v>
                </c:pt>
                <c:pt idx="366">
                  <c:v>51.662285549726462</c:v>
                </c:pt>
                <c:pt idx="367">
                  <c:v>51.662920101059385</c:v>
                </c:pt>
                <c:pt idx="368">
                  <c:v>51.663554643880907</c:v>
                </c:pt>
                <c:pt idx="369">
                  <c:v>51.664189178191023</c:v>
                </c:pt>
                <c:pt idx="370">
                  <c:v>51.664823703989711</c:v>
                </c:pt>
                <c:pt idx="371">
                  <c:v>51.665458221276985</c:v>
                </c:pt>
                <c:pt idx="372">
                  <c:v>51.666092730052824</c:v>
                </c:pt>
                <c:pt idx="373">
                  <c:v>51.666727230317235</c:v>
                </c:pt>
                <c:pt idx="374">
                  <c:v>51.667361722070197</c:v>
                </c:pt>
                <c:pt idx="375">
                  <c:v>51.667996205311709</c:v>
                </c:pt>
                <c:pt idx="376">
                  <c:v>51.668630680041765</c:v>
                </c:pt>
                <c:pt idx="377">
                  <c:v>51.669265146260358</c:v>
                </c:pt>
                <c:pt idx="378">
                  <c:v>51.66989960396748</c:v>
                </c:pt>
                <c:pt idx="379">
                  <c:v>51.670534053163124</c:v>
                </c:pt>
                <c:pt idx="380">
                  <c:v>51.671168493847283</c:v>
                </c:pt>
                <c:pt idx="381">
                  <c:v>51.671802926019957</c:v>
                </c:pt>
                <c:pt idx="382">
                  <c:v>51.672437349681125</c:v>
                </c:pt>
                <c:pt idx="383">
                  <c:v>51.673071764830794</c:v>
                </c:pt>
                <c:pt idx="384">
                  <c:v>51.673706171468957</c:v>
                </c:pt>
                <c:pt idx="385">
                  <c:v>51.6743405695956</c:v>
                </c:pt>
                <c:pt idx="386">
                  <c:v>51.674974959210715</c:v>
                </c:pt>
                <c:pt idx="387">
                  <c:v>51.675609340314303</c:v>
                </c:pt>
                <c:pt idx="388">
                  <c:v>51.676243712906349</c:v>
                </c:pt>
                <c:pt idx="389">
                  <c:v>51.676878076986846</c:v>
                </c:pt>
                <c:pt idx="390">
                  <c:v>51.677512432555801</c:v>
                </c:pt>
                <c:pt idx="391">
                  <c:v>51.678146779613193</c:v>
                </c:pt>
                <c:pt idx="392">
                  <c:v>51.678781118159023</c:v>
                </c:pt>
                <c:pt idx="393">
                  <c:v>51.679415448193282</c:v>
                </c:pt>
                <c:pt idx="394">
                  <c:v>51.680049769715971</c:v>
                </c:pt>
                <c:pt idx="395">
                  <c:v>51.680684082727069</c:v>
                </c:pt>
                <c:pt idx="396">
                  <c:v>51.681318387226568</c:v>
                </c:pt>
                <c:pt idx="397">
                  <c:v>51.681952683214476</c:v>
                </c:pt>
                <c:pt idx="398">
                  <c:v>51.682586970690785</c:v>
                </c:pt>
                <c:pt idx="399">
                  <c:v>51.683221249655475</c:v>
                </c:pt>
                <c:pt idx="400">
                  <c:v>51.683855520108551</c:v>
                </c:pt>
                <c:pt idx="401">
                  <c:v>51.684489782050001</c:v>
                </c:pt>
                <c:pt idx="402">
                  <c:v>51.685124035479824</c:v>
                </c:pt>
                <c:pt idx="403">
                  <c:v>51.685758280398005</c:v>
                </c:pt>
                <c:pt idx="404">
                  <c:v>51.686392516804538</c:v>
                </c:pt>
                <c:pt idx="405">
                  <c:v>51.687026744699423</c:v>
                </c:pt>
                <c:pt idx="406">
                  <c:v>51.687660964082646</c:v>
                </c:pt>
                <c:pt idx="407">
                  <c:v>51.688295174954213</c:v>
                </c:pt>
                <c:pt idx="408">
                  <c:v>51.688929377314111</c:v>
                </c:pt>
                <c:pt idx="409">
                  <c:v>51.689563571162324</c:v>
                </c:pt>
                <c:pt idx="410">
                  <c:v>51.690197756498854</c:v>
                </c:pt>
                <c:pt idx="411">
                  <c:v>51.690831933323693</c:v>
                </c:pt>
                <c:pt idx="412">
                  <c:v>51.691466101636834</c:v>
                </c:pt>
                <c:pt idx="413">
                  <c:v>51.69210026143827</c:v>
                </c:pt>
                <c:pt idx="414">
                  <c:v>51.692734412728008</c:v>
                </c:pt>
                <c:pt idx="415">
                  <c:v>51.693368555506019</c:v>
                </c:pt>
                <c:pt idx="416">
                  <c:v>51.694002689772304</c:v>
                </c:pt>
                <c:pt idx="417">
                  <c:v>51.694636815526863</c:v>
                </c:pt>
                <c:pt idx="418">
                  <c:v>51.695270932769688</c:v>
                </c:pt>
                <c:pt idx="419">
                  <c:v>51.695905041500758</c:v>
                </c:pt>
                <c:pt idx="420">
                  <c:v>51.696539141720081</c:v>
                </c:pt>
                <c:pt idx="421">
                  <c:v>51.697173233427655</c:v>
                </c:pt>
                <c:pt idx="422">
                  <c:v>51.697807316623461</c:v>
                </c:pt>
                <c:pt idx="423">
                  <c:v>51.698441391307497</c:v>
                </c:pt>
                <c:pt idx="424">
                  <c:v>51.699075457479758</c:v>
                </c:pt>
                <c:pt idx="425">
                  <c:v>51.699709515140235</c:v>
                </c:pt>
                <c:pt idx="426">
                  <c:v>51.700343564288922</c:v>
                </c:pt>
                <c:pt idx="427">
                  <c:v>51.700977604925811</c:v>
                </c:pt>
                <c:pt idx="428">
                  <c:v>51.701611637050902</c:v>
                </c:pt>
                <c:pt idx="429">
                  <c:v>51.702245660664175</c:v>
                </c:pt>
                <c:pt idx="430">
                  <c:v>51.702879675765644</c:v>
                </c:pt>
                <c:pt idx="431">
                  <c:v>51.703513682355286</c:v>
                </c:pt>
                <c:pt idx="432">
                  <c:v>51.704147680433103</c:v>
                </c:pt>
                <c:pt idx="433">
                  <c:v>51.704781669999086</c:v>
                </c:pt>
                <c:pt idx="434">
                  <c:v>51.705415651053229</c:v>
                </c:pt>
                <c:pt idx="435">
                  <c:v>51.706049623595511</c:v>
                </c:pt>
                <c:pt idx="436">
                  <c:v>51.706683587625946</c:v>
                </c:pt>
                <c:pt idx="437">
                  <c:v>51.707317543144519</c:v>
                </c:pt>
                <c:pt idx="438">
                  <c:v>51.707951490151231</c:v>
                </c:pt>
                <c:pt idx="439">
                  <c:v>51.708585428646067</c:v>
                </c:pt>
                <c:pt idx="440">
                  <c:v>51.709219358629014</c:v>
                </c:pt>
                <c:pt idx="441">
                  <c:v>51.709853280100084</c:v>
                </c:pt>
                <c:pt idx="442">
                  <c:v>51.710487193059244</c:v>
                </c:pt>
                <c:pt idx="443">
                  <c:v>51.711121097506513</c:v>
                </c:pt>
                <c:pt idx="444">
                  <c:v>51.711754993441879</c:v>
                </c:pt>
                <c:pt idx="445">
                  <c:v>51.712388880865333</c:v>
                </c:pt>
                <c:pt idx="446">
                  <c:v>51.713022759776869</c:v>
                </c:pt>
                <c:pt idx="447">
                  <c:v>51.713656630176473</c:v>
                </c:pt>
                <c:pt idx="448">
                  <c:v>51.714290492064144</c:v>
                </c:pt>
                <c:pt idx="449">
                  <c:v>51.714924345439883</c:v>
                </c:pt>
                <c:pt idx="450">
                  <c:v>51.715558190303668</c:v>
                </c:pt>
                <c:pt idx="451">
                  <c:v>51.716192026655506</c:v>
                </c:pt>
                <c:pt idx="452">
                  <c:v>51.716825854495383</c:v>
                </c:pt>
                <c:pt idx="453">
                  <c:v>51.717459673823306</c:v>
                </c:pt>
                <c:pt idx="454">
                  <c:v>51.718093484639247</c:v>
                </c:pt>
                <c:pt idx="455">
                  <c:v>51.718727286943214</c:v>
                </c:pt>
                <c:pt idx="456">
                  <c:v>51.719361080735204</c:v>
                </c:pt>
                <c:pt idx="457">
                  <c:v>51.719994866015192</c:v>
                </c:pt>
                <c:pt idx="458">
                  <c:v>51.72062864278319</c:v>
                </c:pt>
                <c:pt idx="459">
                  <c:v>51.721262411039184</c:v>
                </c:pt>
                <c:pt idx="460">
                  <c:v>51.721896170783168</c:v>
                </c:pt>
                <c:pt idx="461">
                  <c:v>51.722529922015141</c:v>
                </c:pt>
                <c:pt idx="462">
                  <c:v>51.723163664735083</c:v>
                </c:pt>
                <c:pt idx="463">
                  <c:v>51.723797398942999</c:v>
                </c:pt>
                <c:pt idx="464">
                  <c:v>51.724431124638883</c:v>
                </c:pt>
                <c:pt idx="465">
                  <c:v>51.725064841822729</c:v>
                </c:pt>
                <c:pt idx="466">
                  <c:v>51.725698550494521</c:v>
                </c:pt>
                <c:pt idx="467">
                  <c:v>51.726332250654259</c:v>
                </c:pt>
                <c:pt idx="468">
                  <c:v>51.726965942301931</c:v>
                </c:pt>
                <c:pt idx="469">
                  <c:v>51.727599625437549</c:v>
                </c:pt>
                <c:pt idx="470">
                  <c:v>51.728233300061092</c:v>
                </c:pt>
                <c:pt idx="471">
                  <c:v>51.728866966172554</c:v>
                </c:pt>
                <c:pt idx="472">
                  <c:v>51.729500623771933</c:v>
                </c:pt>
                <c:pt idx="473">
                  <c:v>51.730134272859218</c:v>
                </c:pt>
                <c:pt idx="474">
                  <c:v>51.730767913434406</c:v>
                </c:pt>
                <c:pt idx="475">
                  <c:v>51.731401545497476</c:v>
                </c:pt>
                <c:pt idx="476">
                  <c:v>51.732035169048451</c:v>
                </c:pt>
                <c:pt idx="477">
                  <c:v>51.732668784087302</c:v>
                </c:pt>
                <c:pt idx="478">
                  <c:v>51.733302390614035</c:v>
                </c:pt>
                <c:pt idx="479">
                  <c:v>51.73393598862863</c:v>
                </c:pt>
                <c:pt idx="480">
                  <c:v>51.734569578131094</c:v>
                </c:pt>
                <c:pt idx="481">
                  <c:v>51.735203159121411</c:v>
                </c:pt>
                <c:pt idx="482">
                  <c:v>51.735836731599591</c:v>
                </c:pt>
                <c:pt idx="483">
                  <c:v>51.736470295565603</c:v>
                </c:pt>
                <c:pt idx="484">
                  <c:v>51.737103851019462</c:v>
                </c:pt>
                <c:pt idx="485">
                  <c:v>51.737737397961148</c:v>
                </c:pt>
                <c:pt idx="486">
                  <c:v>51.738370936390652</c:v>
                </c:pt>
                <c:pt idx="487">
                  <c:v>51.739004466307989</c:v>
                </c:pt>
                <c:pt idx="488">
                  <c:v>51.739637987713138</c:v>
                </c:pt>
                <c:pt idx="489">
                  <c:v>51.740271500606092</c:v>
                </c:pt>
                <c:pt idx="490">
                  <c:v>51.740905004986843</c:v>
                </c:pt>
                <c:pt idx="491">
                  <c:v>51.741538500855398</c:v>
                </c:pt>
                <c:pt idx="492">
                  <c:v>51.74217198821173</c:v>
                </c:pt>
                <c:pt idx="493">
                  <c:v>51.742805467055845</c:v>
                </c:pt>
                <c:pt idx="494">
                  <c:v>51.743438937387744</c:v>
                </c:pt>
                <c:pt idx="495">
                  <c:v>51.744072399207411</c:v>
                </c:pt>
                <c:pt idx="496">
                  <c:v>51.744705852514848</c:v>
                </c:pt>
                <c:pt idx="497">
                  <c:v>51.745339297310025</c:v>
                </c:pt>
                <c:pt idx="498">
                  <c:v>51.745972733592964</c:v>
                </c:pt>
                <c:pt idx="499">
                  <c:v>51.746606161363644</c:v>
                </c:pt>
                <c:pt idx="500">
                  <c:v>51.747239580622072</c:v>
                </c:pt>
                <c:pt idx="501">
                  <c:v>51.747872991368226</c:v>
                </c:pt>
                <c:pt idx="502">
                  <c:v>51.748506393602106</c:v>
                </c:pt>
                <c:pt idx="503">
                  <c:v>51.749139787323706</c:v>
                </c:pt>
                <c:pt idx="504">
                  <c:v>51.749773172533025</c:v>
                </c:pt>
                <c:pt idx="505">
                  <c:v>51.750406549230043</c:v>
                </c:pt>
                <c:pt idx="506">
                  <c:v>51.751039917414758</c:v>
                </c:pt>
                <c:pt idx="507">
                  <c:v>51.751673277087178</c:v>
                </c:pt>
                <c:pt idx="508">
                  <c:v>51.752306628247283</c:v>
                </c:pt>
                <c:pt idx="509">
                  <c:v>51.752939970895078</c:v>
                </c:pt>
                <c:pt idx="510">
                  <c:v>51.753573305030542</c:v>
                </c:pt>
                <c:pt idx="511">
                  <c:v>51.754206630653677</c:v>
                </c:pt>
                <c:pt idx="512">
                  <c:v>51.754839947764481</c:v>
                </c:pt>
                <c:pt idx="513">
                  <c:v>51.75547325636294</c:v>
                </c:pt>
                <c:pt idx="514">
                  <c:v>51.756106556449048</c:v>
                </c:pt>
                <c:pt idx="515">
                  <c:v>51.756739848022811</c:v>
                </c:pt>
                <c:pt idx="516">
                  <c:v>51.757373131084201</c:v>
                </c:pt>
                <c:pt idx="517">
                  <c:v>51.758006405633232</c:v>
                </c:pt>
                <c:pt idx="518">
                  <c:v>51.75863967166989</c:v>
                </c:pt>
                <c:pt idx="519">
                  <c:v>51.759272929194168</c:v>
                </c:pt>
                <c:pt idx="520">
                  <c:v>51.759906178206066</c:v>
                </c:pt>
                <c:pt idx="521">
                  <c:v>51.760539418705577</c:v>
                </c:pt>
                <c:pt idx="522">
                  <c:v>51.761172650692679</c:v>
                </c:pt>
                <c:pt idx="523">
                  <c:v>51.761805874167379</c:v>
                </c:pt>
                <c:pt idx="524">
                  <c:v>51.762439089129678</c:v>
                </c:pt>
                <c:pt idx="525">
                  <c:v>51.763072295579548</c:v>
                </c:pt>
                <c:pt idx="526">
                  <c:v>51.763705493517008</c:v>
                </c:pt>
                <c:pt idx="527">
                  <c:v>51.764338682942039</c:v>
                </c:pt>
                <c:pt idx="528">
                  <c:v>51.764971863854633</c:v>
                </c:pt>
                <c:pt idx="529">
                  <c:v>51.76560503625479</c:v>
                </c:pt>
                <c:pt idx="530">
                  <c:v>51.766238200142503</c:v>
                </c:pt>
                <c:pt idx="531">
                  <c:v>51.766871355517758</c:v>
                </c:pt>
                <c:pt idx="532">
                  <c:v>51.767504502380561</c:v>
                </c:pt>
                <c:pt idx="533">
                  <c:v>51.768137640730892</c:v>
                </c:pt>
                <c:pt idx="534">
                  <c:v>51.768770770568764</c:v>
                </c:pt>
                <c:pt idx="535">
                  <c:v>51.769403891894157</c:v>
                </c:pt>
                <c:pt idx="536">
                  <c:v>51.770037004707063</c:v>
                </c:pt>
                <c:pt idx="537">
                  <c:v>51.770670109007483</c:v>
                </c:pt>
                <c:pt idx="538">
                  <c:v>51.771303204795416</c:v>
                </c:pt>
                <c:pt idx="539">
                  <c:v>51.771936292070841</c:v>
                </c:pt>
                <c:pt idx="540">
                  <c:v>51.772569370833757</c:v>
                </c:pt>
                <c:pt idx="541">
                  <c:v>51.773202441084166</c:v>
                </c:pt>
                <c:pt idx="542">
                  <c:v>51.773835502822052</c:v>
                </c:pt>
                <c:pt idx="543">
                  <c:v>51.774468556047424</c:v>
                </c:pt>
                <c:pt idx="544">
                  <c:v>51.775101600760259</c:v>
                </c:pt>
                <c:pt idx="545">
                  <c:v>51.775734636960557</c:v>
                </c:pt>
                <c:pt idx="546">
                  <c:v>51.776367664648305</c:v>
                </c:pt>
                <c:pt idx="547">
                  <c:v>51.777000683823516</c:v>
                </c:pt>
                <c:pt idx="548">
                  <c:v>51.77763369448617</c:v>
                </c:pt>
                <c:pt idx="549">
                  <c:v>51.778266696636265</c:v>
                </c:pt>
                <c:pt idx="550">
                  <c:v>51.778899690273796</c:v>
                </c:pt>
                <c:pt idx="551">
                  <c:v>51.779532675398741</c:v>
                </c:pt>
                <c:pt idx="552">
                  <c:v>51.780165652011121</c:v>
                </c:pt>
                <c:pt idx="553">
                  <c:v>51.780798620110907</c:v>
                </c:pt>
                <c:pt idx="554">
                  <c:v>51.781431579698108</c:v>
                </c:pt>
                <c:pt idx="555">
                  <c:v>51.782064530772715</c:v>
                </c:pt>
                <c:pt idx="556">
                  <c:v>51.782697473334714</c:v>
                </c:pt>
                <c:pt idx="557">
                  <c:v>51.783330407384106</c:v>
                </c:pt>
                <c:pt idx="558">
                  <c:v>51.783963332920891</c:v>
                </c:pt>
                <c:pt idx="559">
                  <c:v>51.784596249945047</c:v>
                </c:pt>
                <c:pt idx="560">
                  <c:v>51.785229158456588</c:v>
                </c:pt>
                <c:pt idx="561">
                  <c:v>51.785862058455486</c:v>
                </c:pt>
                <c:pt idx="562">
                  <c:v>51.786494949941748</c:v>
                </c:pt>
                <c:pt idx="563">
                  <c:v>51.787127832915367</c:v>
                </c:pt>
                <c:pt idx="564">
                  <c:v>51.787760707376336</c:v>
                </c:pt>
                <c:pt idx="565">
                  <c:v>51.788393573324647</c:v>
                </c:pt>
                <c:pt idx="566">
                  <c:v>51.789026430760302</c:v>
                </c:pt>
                <c:pt idx="567">
                  <c:v>51.789659279683285</c:v>
                </c:pt>
                <c:pt idx="568">
                  <c:v>51.790292120093596</c:v>
                </c:pt>
                <c:pt idx="569">
                  <c:v>51.790924951991222</c:v>
                </c:pt>
                <c:pt idx="570">
                  <c:v>51.791557775376177</c:v>
                </c:pt>
                <c:pt idx="571">
                  <c:v>51.792190590248431</c:v>
                </c:pt>
                <c:pt idx="572">
                  <c:v>51.792823396607993</c:v>
                </c:pt>
                <c:pt idx="573">
                  <c:v>51.793456194454848</c:v>
                </c:pt>
                <c:pt idx="574">
                  <c:v>51.794088983788988</c:v>
                </c:pt>
                <c:pt idx="575">
                  <c:v>51.794721764610422</c:v>
                </c:pt>
                <c:pt idx="576">
                  <c:v>51.795354536919135</c:v>
                </c:pt>
                <c:pt idx="577">
                  <c:v>51.795987300715119</c:v>
                </c:pt>
                <c:pt idx="578">
                  <c:v>51.796620055998375</c:v>
                </c:pt>
                <c:pt idx="579">
                  <c:v>51.797252802768888</c:v>
                </c:pt>
                <c:pt idx="580">
                  <c:v>51.797885541026659</c:v>
                </c:pt>
                <c:pt idx="581">
                  <c:v>51.798518270771673</c:v>
                </c:pt>
                <c:pt idx="582">
                  <c:v>51.799150992003938</c:v>
                </c:pt>
                <c:pt idx="583">
                  <c:v>51.799783704723438</c:v>
                </c:pt>
                <c:pt idx="584">
                  <c:v>51.800416408930182</c:v>
                </c:pt>
                <c:pt idx="585">
                  <c:v>51.801049104624148</c:v>
                </c:pt>
                <c:pt idx="586">
                  <c:v>51.801681791805322</c:v>
                </c:pt>
                <c:pt idx="587">
                  <c:v>51.802314470473725</c:v>
                </c:pt>
                <c:pt idx="588">
                  <c:v>51.802947140629328</c:v>
                </c:pt>
                <c:pt idx="589">
                  <c:v>51.803579802272139</c:v>
                </c:pt>
                <c:pt idx="590">
                  <c:v>51.804212455402151</c:v>
                </c:pt>
                <c:pt idx="591">
                  <c:v>51.80484510001935</c:v>
                </c:pt>
                <c:pt idx="592">
                  <c:v>51.805477736123741</c:v>
                </c:pt>
                <c:pt idx="593">
                  <c:v>51.806110363715305</c:v>
                </c:pt>
                <c:pt idx="594">
                  <c:v>51.806742982794049</c:v>
                </c:pt>
                <c:pt idx="595">
                  <c:v>51.80737559335995</c:v>
                </c:pt>
                <c:pt idx="596">
                  <c:v>51.808008195413031</c:v>
                </c:pt>
                <c:pt idx="597">
                  <c:v>51.808640788953262</c:v>
                </c:pt>
                <c:pt idx="598">
                  <c:v>51.809273373980638</c:v>
                </c:pt>
                <c:pt idx="599">
                  <c:v>51.809905950495164</c:v>
                </c:pt>
                <c:pt idx="600">
                  <c:v>51.810538518496834</c:v>
                </c:pt>
                <c:pt idx="601">
                  <c:v>51.811171077985627</c:v>
                </c:pt>
                <c:pt idx="602">
                  <c:v>51.811803628961556</c:v>
                </c:pt>
                <c:pt idx="603">
                  <c:v>51.812436171424608</c:v>
                </c:pt>
                <c:pt idx="604">
                  <c:v>51.813068705374768</c:v>
                </c:pt>
                <c:pt idx="605">
                  <c:v>51.813701230812043</c:v>
                </c:pt>
                <c:pt idx="606">
                  <c:v>51.814333747736434</c:v>
                </c:pt>
                <c:pt idx="607">
                  <c:v>51.814966256147912</c:v>
                </c:pt>
                <c:pt idx="608">
                  <c:v>51.815598756046484</c:v>
                </c:pt>
                <c:pt idx="609">
                  <c:v>51.81623124743215</c:v>
                </c:pt>
                <c:pt idx="610">
                  <c:v>51.816863730304895</c:v>
                </c:pt>
                <c:pt idx="611">
                  <c:v>51.817496204664721</c:v>
                </c:pt>
                <c:pt idx="612">
                  <c:v>51.818128670511612</c:v>
                </c:pt>
                <c:pt idx="613">
                  <c:v>51.818761127845576</c:v>
                </c:pt>
                <c:pt idx="614">
                  <c:v>51.819393576666599</c:v>
                </c:pt>
                <c:pt idx="615">
                  <c:v>51.820026016974673</c:v>
                </c:pt>
                <c:pt idx="616">
                  <c:v>51.820658448769791</c:v>
                </c:pt>
                <c:pt idx="617">
                  <c:v>51.821290872051954</c:v>
                </c:pt>
                <c:pt idx="618">
                  <c:v>51.821923286821153</c:v>
                </c:pt>
                <c:pt idx="619">
                  <c:v>51.822555693077383</c:v>
                </c:pt>
                <c:pt idx="620">
                  <c:v>51.823188090820636</c:v>
                </c:pt>
                <c:pt idx="621">
                  <c:v>51.823820480050912</c:v>
                </c:pt>
                <c:pt idx="622">
                  <c:v>51.824452860768197</c:v>
                </c:pt>
                <c:pt idx="623">
                  <c:v>51.825085232972491</c:v>
                </c:pt>
                <c:pt idx="624">
                  <c:v>51.825717596663793</c:v>
                </c:pt>
                <c:pt idx="625">
                  <c:v>51.82634995184209</c:v>
                </c:pt>
                <c:pt idx="626">
                  <c:v>51.826982298507382</c:v>
                </c:pt>
                <c:pt idx="627">
                  <c:v>51.827614636659654</c:v>
                </c:pt>
                <c:pt idx="628">
                  <c:v>51.828246966298899</c:v>
                </c:pt>
                <c:pt idx="629">
                  <c:v>51.828879287425131</c:v>
                </c:pt>
                <c:pt idx="630">
                  <c:v>51.829511600038337</c:v>
                </c:pt>
                <c:pt idx="631">
                  <c:v>51.830143904138488</c:v>
                </c:pt>
                <c:pt idx="632">
                  <c:v>51.830776199725612</c:v>
                </c:pt>
                <c:pt idx="633">
                  <c:v>51.831408486799681</c:v>
                </c:pt>
                <c:pt idx="634">
                  <c:v>51.832040765360695</c:v>
                </c:pt>
                <c:pt idx="635">
                  <c:v>51.832673035408661</c:v>
                </c:pt>
                <c:pt idx="636">
                  <c:v>51.83330529694355</c:v>
                </c:pt>
                <c:pt idx="637">
                  <c:v>51.833937549965363</c:v>
                </c:pt>
                <c:pt idx="638">
                  <c:v>51.834569794474113</c:v>
                </c:pt>
                <c:pt idx="639">
                  <c:v>51.835202030469766</c:v>
                </c:pt>
                <c:pt idx="640">
                  <c:v>51.835834257952342</c:v>
                </c:pt>
                <c:pt idx="641">
                  <c:v>51.836466476921835</c:v>
                </c:pt>
                <c:pt idx="642">
                  <c:v>51.837098687378216</c:v>
                </c:pt>
                <c:pt idx="643">
                  <c:v>51.837730889321492</c:v>
                </c:pt>
                <c:pt idx="644">
                  <c:v>51.838363082751663</c:v>
                </c:pt>
                <c:pt idx="645">
                  <c:v>51.838995267668722</c:v>
                </c:pt>
                <c:pt idx="646">
                  <c:v>51.839627444072654</c:v>
                </c:pt>
                <c:pt idx="647">
                  <c:v>51.840259611963461</c:v>
                </c:pt>
                <c:pt idx="648">
                  <c:v>51.840891771341141</c:v>
                </c:pt>
                <c:pt idx="649">
                  <c:v>51.841523922205681</c:v>
                </c:pt>
                <c:pt idx="650">
                  <c:v>51.842156064557074</c:v>
                </c:pt>
                <c:pt idx="651">
                  <c:v>51.842788198395318</c:v>
                </c:pt>
                <c:pt idx="652">
                  <c:v>51.843420323720409</c:v>
                </c:pt>
                <c:pt idx="653">
                  <c:v>51.844052440532344</c:v>
                </c:pt>
                <c:pt idx="654">
                  <c:v>51.844684548831111</c:v>
                </c:pt>
                <c:pt idx="655">
                  <c:v>51.845316648616709</c:v>
                </c:pt>
                <c:pt idx="656">
                  <c:v>51.845948739889138</c:v>
                </c:pt>
                <c:pt idx="657">
                  <c:v>51.846580822648377</c:v>
                </c:pt>
                <c:pt idx="658">
                  <c:v>51.847212896894433</c:v>
                </c:pt>
                <c:pt idx="659">
                  <c:v>51.847844962627292</c:v>
                </c:pt>
                <c:pt idx="660">
                  <c:v>51.848477019846953</c:v>
                </c:pt>
                <c:pt idx="661">
                  <c:v>51.849109068553403</c:v>
                </c:pt>
                <c:pt idx="662">
                  <c:v>51.849741108746656</c:v>
                </c:pt>
                <c:pt idx="663">
                  <c:v>51.85037314042669</c:v>
                </c:pt>
                <c:pt idx="664">
                  <c:v>51.851005163593506</c:v>
                </c:pt>
                <c:pt idx="665">
                  <c:v>51.851637178247096</c:v>
                </c:pt>
                <c:pt idx="666">
                  <c:v>51.852269184387453</c:v>
                </c:pt>
                <c:pt idx="667">
                  <c:v>51.85290118201457</c:v>
                </c:pt>
                <c:pt idx="668">
                  <c:v>51.853533171128454</c:v>
                </c:pt>
                <c:pt idx="669">
                  <c:v>51.854165151729084</c:v>
                </c:pt>
                <c:pt idx="670">
                  <c:v>51.854797123816454</c:v>
                </c:pt>
                <c:pt idx="671">
                  <c:v>51.855429087390576</c:v>
                </c:pt>
                <c:pt idx="672">
                  <c:v>51.856061042451429</c:v>
                </c:pt>
                <c:pt idx="673">
                  <c:v>51.856692988999015</c:v>
                </c:pt>
                <c:pt idx="674">
                  <c:v>51.857324927033325</c:v>
                </c:pt>
                <c:pt idx="675">
                  <c:v>51.857956856554352</c:v>
                </c:pt>
                <c:pt idx="676">
                  <c:v>51.858588777562098</c:v>
                </c:pt>
                <c:pt idx="677">
                  <c:v>51.859220690056553</c:v>
                </c:pt>
                <c:pt idx="678">
                  <c:v>51.859852594037704</c:v>
                </c:pt>
                <c:pt idx="679">
                  <c:v>51.860484489505573</c:v>
                </c:pt>
                <c:pt idx="680">
                  <c:v>51.861116376460117</c:v>
                </c:pt>
                <c:pt idx="681">
                  <c:v>51.86174825490135</c:v>
                </c:pt>
                <c:pt idx="682">
                  <c:v>51.862380124829265</c:v>
                </c:pt>
                <c:pt idx="683">
                  <c:v>51.863011986243862</c:v>
                </c:pt>
                <c:pt idx="684">
                  <c:v>51.863643839145126</c:v>
                </c:pt>
                <c:pt idx="685">
                  <c:v>51.864275683533059</c:v>
                </c:pt>
                <c:pt idx="686">
                  <c:v>51.864907519407652</c:v>
                </c:pt>
                <c:pt idx="687">
                  <c:v>51.865539346768898</c:v>
                </c:pt>
                <c:pt idx="688">
                  <c:v>51.866171165616798</c:v>
                </c:pt>
                <c:pt idx="689">
                  <c:v>51.866802975951337</c:v>
                </c:pt>
                <c:pt idx="690">
                  <c:v>51.867434777772516</c:v>
                </c:pt>
                <c:pt idx="691">
                  <c:v>51.868066571080327</c:v>
                </c:pt>
                <c:pt idx="692">
                  <c:v>51.86869835587477</c:v>
                </c:pt>
                <c:pt idx="693">
                  <c:v>51.869330132155838</c:v>
                </c:pt>
                <c:pt idx="694">
                  <c:v>51.869961899923517</c:v>
                </c:pt>
                <c:pt idx="695">
                  <c:v>51.870593659177807</c:v>
                </c:pt>
                <c:pt idx="696">
                  <c:v>51.871225409918708</c:v>
                </c:pt>
                <c:pt idx="697">
                  <c:v>51.871857152146212</c:v>
                </c:pt>
                <c:pt idx="698">
                  <c:v>51.872488885860307</c:v>
                </c:pt>
                <c:pt idx="699">
                  <c:v>51.87312061106099</c:v>
                </c:pt>
                <c:pt idx="700">
                  <c:v>51.873752327748271</c:v>
                </c:pt>
                <c:pt idx="701">
                  <c:v>51.87438403592212</c:v>
                </c:pt>
                <c:pt idx="702">
                  <c:v>51.875015735582544</c:v>
                </c:pt>
                <c:pt idx="703">
                  <c:v>51.875647426729536</c:v>
                </c:pt>
                <c:pt idx="704">
                  <c:v>51.876279109363097</c:v>
                </c:pt>
                <c:pt idx="705">
                  <c:v>51.876910783483218</c:v>
                </c:pt>
                <c:pt idx="706">
                  <c:v>51.877542449089887</c:v>
                </c:pt>
                <c:pt idx="707">
                  <c:v>51.87817410618311</c:v>
                </c:pt>
                <c:pt idx="708">
                  <c:v>51.878805754762872</c:v>
                </c:pt>
                <c:pt idx="709">
                  <c:v>51.879437394829175</c:v>
                </c:pt>
                <c:pt idx="710">
                  <c:v>51.880069026382003</c:v>
                </c:pt>
                <c:pt idx="711">
                  <c:v>51.880700649421364</c:v>
                </c:pt>
                <c:pt idx="712">
                  <c:v>51.88133226394725</c:v>
                </c:pt>
                <c:pt idx="713">
                  <c:v>51.881963869959648</c:v>
                </c:pt>
                <c:pt idx="714">
                  <c:v>51.882595467458557</c:v>
                </c:pt>
                <c:pt idx="715">
                  <c:v>51.883227056443978</c:v>
                </c:pt>
                <c:pt idx="716">
                  <c:v>51.883858636915896</c:v>
                </c:pt>
                <c:pt idx="717">
                  <c:v>51.884490208874304</c:v>
                </c:pt>
                <c:pt idx="718">
                  <c:v>51.885121772319216</c:v>
                </c:pt>
                <c:pt idx="719">
                  <c:v>51.885753327250605</c:v>
                </c:pt>
                <c:pt idx="720">
                  <c:v>51.886384873668469</c:v>
                </c:pt>
                <c:pt idx="721">
                  <c:v>51.887016411572816</c:v>
                </c:pt>
                <c:pt idx="722">
                  <c:v>51.887647940963632</c:v>
                </c:pt>
                <c:pt idx="723">
                  <c:v>51.888279461840909</c:v>
                </c:pt>
                <c:pt idx="724">
                  <c:v>51.888910974204649</c:v>
                </c:pt>
                <c:pt idx="725">
                  <c:v>51.889542478054835</c:v>
                </c:pt>
                <c:pt idx="726">
                  <c:v>51.890173973391477</c:v>
                </c:pt>
                <c:pt idx="727">
                  <c:v>51.890805460214565</c:v>
                </c:pt>
                <c:pt idx="728">
                  <c:v>51.891436938524087</c:v>
                </c:pt>
                <c:pt idx="729">
                  <c:v>51.892068408320036</c:v>
                </c:pt>
                <c:pt idx="730">
                  <c:v>51.892699869602417</c:v>
                </c:pt>
                <c:pt idx="731">
                  <c:v>51.893331322371225</c:v>
                </c:pt>
                <c:pt idx="732">
                  <c:v>51.893962766626444</c:v>
                </c:pt>
                <c:pt idx="733">
                  <c:v>51.894594202368076</c:v>
                </c:pt>
                <c:pt idx="734">
                  <c:v>51.895225629596112</c:v>
                </c:pt>
                <c:pt idx="735">
                  <c:v>51.895857048310553</c:v>
                </c:pt>
                <c:pt idx="736">
                  <c:v>51.896488458511399</c:v>
                </c:pt>
                <c:pt idx="737">
                  <c:v>51.897119860198636</c:v>
                </c:pt>
                <c:pt idx="738">
                  <c:v>51.897751253372256</c:v>
                </c:pt>
                <c:pt idx="739">
                  <c:v>51.898382638032253</c:v>
                </c:pt>
                <c:pt idx="740">
                  <c:v>51.899014014178633</c:v>
                </c:pt>
                <c:pt idx="741">
                  <c:v>51.899645381811375</c:v>
                </c:pt>
                <c:pt idx="742">
                  <c:v>51.900276740930487</c:v>
                </c:pt>
                <c:pt idx="743">
                  <c:v>51.90090809153596</c:v>
                </c:pt>
                <c:pt idx="744">
                  <c:v>51.901539433627789</c:v>
                </c:pt>
                <c:pt idx="745">
                  <c:v>51.902170767205973</c:v>
                </c:pt>
                <c:pt idx="746">
                  <c:v>51.902802092270498</c:v>
                </c:pt>
                <c:pt idx="747">
                  <c:v>51.903433408821364</c:v>
                </c:pt>
                <c:pt idx="748">
                  <c:v>51.904064716858564</c:v>
                </c:pt>
                <c:pt idx="749">
                  <c:v>51.904696016382097</c:v>
                </c:pt>
                <c:pt idx="750">
                  <c:v>51.905327307391943</c:v>
                </c:pt>
                <c:pt idx="751">
                  <c:v>51.905958589888122</c:v>
                </c:pt>
                <c:pt idx="752">
                  <c:v>51.906589863870614</c:v>
                </c:pt>
                <c:pt idx="753">
                  <c:v>51.907221129339405</c:v>
                </c:pt>
                <c:pt idx="754">
                  <c:v>51.907852386294515</c:v>
                </c:pt>
                <c:pt idx="755">
                  <c:v>51.908483634735909</c:v>
                </c:pt>
                <c:pt idx="756">
                  <c:v>51.909114874663608</c:v>
                </c:pt>
                <c:pt idx="757">
                  <c:v>51.909746106077598</c:v>
                </c:pt>
                <c:pt idx="758">
                  <c:v>51.910377328977873</c:v>
                </c:pt>
                <c:pt idx="759">
                  <c:v>51.911008543364424</c:v>
                </c:pt>
                <c:pt idx="760">
                  <c:v>51.911639749237253</c:v>
                </c:pt>
                <c:pt idx="761">
                  <c:v>51.912270946596344</c:v>
                </c:pt>
                <c:pt idx="762">
                  <c:v>51.912902135441705</c:v>
                </c:pt>
                <c:pt idx="763">
                  <c:v>51.913533315773321</c:v>
                </c:pt>
                <c:pt idx="764">
                  <c:v>51.914164487591194</c:v>
                </c:pt>
                <c:pt idx="765">
                  <c:v>51.914795650895307</c:v>
                </c:pt>
                <c:pt idx="766">
                  <c:v>51.915426805685676</c:v>
                </c:pt>
                <c:pt idx="767">
                  <c:v>51.91605795196228</c:v>
                </c:pt>
                <c:pt idx="768">
                  <c:v>51.916689089725118</c:v>
                </c:pt>
                <c:pt idx="769">
                  <c:v>51.917320218974183</c:v>
                </c:pt>
                <c:pt idx="770">
                  <c:v>51.917951339709475</c:v>
                </c:pt>
                <c:pt idx="771">
                  <c:v>51.918582451930988</c:v>
                </c:pt>
                <c:pt idx="772">
                  <c:v>51.919213555638706</c:v>
                </c:pt>
                <c:pt idx="773">
                  <c:v>51.91984465083263</c:v>
                </c:pt>
                <c:pt idx="774">
                  <c:v>51.920475737512767</c:v>
                </c:pt>
                <c:pt idx="775">
                  <c:v>51.921106815679096</c:v>
                </c:pt>
                <c:pt idx="776">
                  <c:v>51.921737885331623</c:v>
                </c:pt>
                <c:pt idx="777">
                  <c:v>51.922368946470336</c:v>
                </c:pt>
                <c:pt idx="778">
                  <c:v>51.922999999095239</c:v>
                </c:pt>
                <c:pt idx="779">
                  <c:v>51.923631043206321</c:v>
                </c:pt>
                <c:pt idx="780">
                  <c:v>51.924262078803579</c:v>
                </c:pt>
                <c:pt idx="781">
                  <c:v>51.924893105887001</c:v>
                </c:pt>
                <c:pt idx="782">
                  <c:v>51.92552412445658</c:v>
                </c:pt>
                <c:pt idx="783">
                  <c:v>51.926155134512328</c:v>
                </c:pt>
                <c:pt idx="784">
                  <c:v>51.926786136054226</c:v>
                </c:pt>
                <c:pt idx="785">
                  <c:v>51.927417129082279</c:v>
                </c:pt>
                <c:pt idx="786">
                  <c:v>51.928048113596475</c:v>
                </c:pt>
                <c:pt idx="787">
                  <c:v>51.928679089596805</c:v>
                </c:pt>
                <c:pt idx="788">
                  <c:v>51.929310057083271</c:v>
                </c:pt>
                <c:pt idx="789">
                  <c:v>51.929941016055871</c:v>
                </c:pt>
                <c:pt idx="790">
                  <c:v>51.930571966514592</c:v>
                </c:pt>
                <c:pt idx="791">
                  <c:v>51.931202908459433</c:v>
                </c:pt>
                <c:pt idx="792">
                  <c:v>51.931833841890388</c:v>
                </c:pt>
                <c:pt idx="793">
                  <c:v>51.932464766807456</c:v>
                </c:pt>
                <c:pt idx="794">
                  <c:v>51.933095683210624</c:v>
                </c:pt>
                <c:pt idx="795">
                  <c:v>51.933726591099891</c:v>
                </c:pt>
                <c:pt idx="796">
                  <c:v>51.934357490475257</c:v>
                </c:pt>
                <c:pt idx="797">
                  <c:v>51.934988381336716</c:v>
                </c:pt>
                <c:pt idx="798">
                  <c:v>51.935619263684252</c:v>
                </c:pt>
                <c:pt idx="799">
                  <c:v>51.936250137517874</c:v>
                </c:pt>
                <c:pt idx="800">
                  <c:v>51.936881002837573</c:v>
                </c:pt>
                <c:pt idx="801">
                  <c:v>51.937511859643337</c:v>
                </c:pt>
                <c:pt idx="802">
                  <c:v>51.938142707935178</c:v>
                </c:pt>
                <c:pt idx="803">
                  <c:v>51.938773547713069</c:v>
                </c:pt>
                <c:pt idx="804">
                  <c:v>51.939404378977009</c:v>
                </c:pt>
                <c:pt idx="805">
                  <c:v>51.940035201727014</c:v>
                </c:pt>
                <c:pt idx="806">
                  <c:v>51.94066601596306</c:v>
                </c:pt>
                <c:pt idx="807">
                  <c:v>51.94129682168515</c:v>
                </c:pt>
                <c:pt idx="808">
                  <c:v>51.941927618893281</c:v>
                </c:pt>
                <c:pt idx="809">
                  <c:v>51.942558407587427</c:v>
                </c:pt>
                <c:pt idx="810">
                  <c:v>51.943189187767615</c:v>
                </c:pt>
                <c:pt idx="811">
                  <c:v>51.943819959433824</c:v>
                </c:pt>
                <c:pt idx="812">
                  <c:v>51.944450722586055</c:v>
                </c:pt>
                <c:pt idx="813">
                  <c:v>51.945081477224285</c:v>
                </c:pt>
                <c:pt idx="814">
                  <c:v>51.945712223348536</c:v>
                </c:pt>
                <c:pt idx="815">
                  <c:v>51.946342960958781</c:v>
                </c:pt>
                <c:pt idx="816">
                  <c:v>51.946973690055017</c:v>
                </c:pt>
                <c:pt idx="817">
                  <c:v>51.947604410637261</c:v>
                </c:pt>
                <c:pt idx="818">
                  <c:v>51.948235122705483</c:v>
                </c:pt>
                <c:pt idx="819">
                  <c:v>51.948865826259691</c:v>
                </c:pt>
                <c:pt idx="820">
                  <c:v>51.949496521299878</c:v>
                </c:pt>
                <c:pt idx="821">
                  <c:v>51.950127207826043</c:v>
                </c:pt>
                <c:pt idx="822">
                  <c:v>51.950757885838179</c:v>
                </c:pt>
                <c:pt idx="823">
                  <c:v>51.951388555336273</c:v>
                </c:pt>
                <c:pt idx="824">
                  <c:v>51.95201921632033</c:v>
                </c:pt>
                <c:pt idx="825">
                  <c:v>51.952649868790346</c:v>
                </c:pt>
                <c:pt idx="826">
                  <c:v>51.953280512746304</c:v>
                </c:pt>
                <c:pt idx="827">
                  <c:v>51.953911148188212</c:v>
                </c:pt>
                <c:pt idx="828">
                  <c:v>51.954541775116063</c:v>
                </c:pt>
                <c:pt idx="829">
                  <c:v>51.95517239352985</c:v>
                </c:pt>
                <c:pt idx="830">
                  <c:v>51.955803003429565</c:v>
                </c:pt>
                <c:pt idx="831">
                  <c:v>51.95643360481521</c:v>
                </c:pt>
                <c:pt idx="832">
                  <c:v>51.957064197686776</c:v>
                </c:pt>
                <c:pt idx="833">
                  <c:v>51.957694782044257</c:v>
                </c:pt>
                <c:pt idx="834">
                  <c:v>51.958325357887659</c:v>
                </c:pt>
                <c:pt idx="835">
                  <c:v>51.958955925216955</c:v>
                </c:pt>
                <c:pt idx="836">
                  <c:v>51.959586484032165</c:v>
                </c:pt>
                <c:pt idx="837">
                  <c:v>51.960217034333262</c:v>
                </c:pt>
                <c:pt idx="838">
                  <c:v>51.960847576120258</c:v>
                </c:pt>
                <c:pt idx="839">
                  <c:v>51.961478109393141</c:v>
                </c:pt>
                <c:pt idx="840">
                  <c:v>51.96210863415191</c:v>
                </c:pt>
                <c:pt idx="841">
                  <c:v>51.962739150396558</c:v>
                </c:pt>
                <c:pt idx="842">
                  <c:v>51.963369658127078</c:v>
                </c:pt>
                <c:pt idx="843">
                  <c:v>51.96400015734347</c:v>
                </c:pt>
                <c:pt idx="844">
                  <c:v>51.964630648045727</c:v>
                </c:pt>
                <c:pt idx="845">
                  <c:v>51.965261130233856</c:v>
                </c:pt>
                <c:pt idx="846">
                  <c:v>51.965891603907821</c:v>
                </c:pt>
                <c:pt idx="847">
                  <c:v>51.966522069067651</c:v>
                </c:pt>
                <c:pt idx="848">
                  <c:v>51.967152525713317</c:v>
                </c:pt>
                <c:pt idx="849">
                  <c:v>51.967782973844827</c:v>
                </c:pt>
                <c:pt idx="850">
                  <c:v>51.96841341346218</c:v>
                </c:pt>
                <c:pt idx="851">
                  <c:v>51.969043844565363</c:v>
                </c:pt>
                <c:pt idx="852">
                  <c:v>51.969674267154382</c:v>
                </c:pt>
                <c:pt idx="853">
                  <c:v>51.970304681229209</c:v>
                </c:pt>
                <c:pt idx="854">
                  <c:v>51.970935086789865</c:v>
                </c:pt>
                <c:pt idx="855">
                  <c:v>51.971565483836336</c:v>
                </c:pt>
                <c:pt idx="856">
                  <c:v>51.972195872368609</c:v>
                </c:pt>
                <c:pt idx="857">
                  <c:v>51.972826252386689</c:v>
                </c:pt>
                <c:pt idx="858">
                  <c:v>51.97345662389057</c:v>
                </c:pt>
                <c:pt idx="859">
                  <c:v>51.974086986880252</c:v>
                </c:pt>
                <c:pt idx="860">
                  <c:v>51.974717341355721</c:v>
                </c:pt>
                <c:pt idx="861">
                  <c:v>51.975347687316976</c:v>
                </c:pt>
                <c:pt idx="862">
                  <c:v>51.975978024764011</c:v>
                </c:pt>
                <c:pt idx="863">
                  <c:v>51.976608353696825</c:v>
                </c:pt>
                <c:pt idx="864">
                  <c:v>51.977238674115412</c:v>
                </c:pt>
                <c:pt idx="865">
                  <c:v>51.977868986019764</c:v>
                </c:pt>
                <c:pt idx="866">
                  <c:v>51.978499289409882</c:v>
                </c:pt>
                <c:pt idx="867">
                  <c:v>51.979129584285758</c:v>
                </c:pt>
                <c:pt idx="868">
                  <c:v>51.979759870647392</c:v>
                </c:pt>
                <c:pt idx="869">
                  <c:v>51.980390148494777</c:v>
                </c:pt>
                <c:pt idx="870">
                  <c:v>51.981020417827892</c:v>
                </c:pt>
                <c:pt idx="871">
                  <c:v>51.981650678646758</c:v>
                </c:pt>
                <c:pt idx="872">
                  <c:v>51.982280930951354</c:v>
                </c:pt>
                <c:pt idx="873">
                  <c:v>51.982911174741687</c:v>
                </c:pt>
                <c:pt idx="874">
                  <c:v>51.98354141001775</c:v>
                </c:pt>
                <c:pt idx="875">
                  <c:v>51.984171636779536</c:v>
                </c:pt>
                <c:pt idx="876">
                  <c:v>51.98480185502703</c:v>
                </c:pt>
                <c:pt idx="877">
                  <c:v>51.985432064760239</c:v>
                </c:pt>
                <c:pt idx="878">
                  <c:v>51.986062265979157</c:v>
                </c:pt>
                <c:pt idx="879">
                  <c:v>51.986692458683784</c:v>
                </c:pt>
                <c:pt idx="880">
                  <c:v>51.987322642874112</c:v>
                </c:pt>
                <c:pt idx="881">
                  <c:v>51.987952818550127</c:v>
                </c:pt>
                <c:pt idx="882">
                  <c:v>51.988582985711844</c:v>
                </c:pt>
                <c:pt idx="883">
                  <c:v>51.98921314435924</c:v>
                </c:pt>
                <c:pt idx="884">
                  <c:v>51.989843294492317</c:v>
                </c:pt>
                <c:pt idx="885">
                  <c:v>51.990473436111074</c:v>
                </c:pt>
                <c:pt idx="886">
                  <c:v>51.991103569215497</c:v>
                </c:pt>
                <c:pt idx="887">
                  <c:v>51.991733693805593</c:v>
                </c:pt>
                <c:pt idx="888">
                  <c:v>51.992363809881347</c:v>
                </c:pt>
                <c:pt idx="889">
                  <c:v>51.992993917442767</c:v>
                </c:pt>
                <c:pt idx="890">
                  <c:v>51.993624016489839</c:v>
                </c:pt>
                <c:pt idx="891">
                  <c:v>51.99425410702257</c:v>
                </c:pt>
                <c:pt idx="892">
                  <c:v>51.994884189040938</c:v>
                </c:pt>
                <c:pt idx="893">
                  <c:v>51.995514262544951</c:v>
                </c:pt>
                <c:pt idx="894">
                  <c:v>51.996144327534601</c:v>
                </c:pt>
                <c:pt idx="895">
                  <c:v>51.996774384009875</c:v>
                </c:pt>
                <c:pt idx="896">
                  <c:v>51.997404431970779</c:v>
                </c:pt>
                <c:pt idx="897">
                  <c:v>51.998034471417306</c:v>
                </c:pt>
                <c:pt idx="898">
                  <c:v>51.998664502349449</c:v>
                </c:pt>
                <c:pt idx="899">
                  <c:v>51.999294524767215</c:v>
                </c:pt>
                <c:pt idx="900">
                  <c:v>51.999924538670591</c:v>
                </c:pt>
                <c:pt idx="901">
                  <c:v>52.000554544059568</c:v>
                </c:pt>
                <c:pt idx="902">
                  <c:v>52.001184540934155</c:v>
                </c:pt>
                <c:pt idx="903">
                  <c:v>52.001814529294329</c:v>
                </c:pt>
                <c:pt idx="904">
                  <c:v>52.002444509140098</c:v>
                </c:pt>
                <c:pt idx="905">
                  <c:v>52.003074480471447</c:v>
                </c:pt>
                <c:pt idx="906">
                  <c:v>52.003704443288392</c:v>
                </c:pt>
                <c:pt idx="907">
                  <c:v>52.00433439759091</c:v>
                </c:pt>
                <c:pt idx="908">
                  <c:v>52.004964343379001</c:v>
                </c:pt>
                <c:pt idx="909">
                  <c:v>52.005594280652666</c:v>
                </c:pt>
                <c:pt idx="910">
                  <c:v>52.006224209411904</c:v>
                </c:pt>
                <c:pt idx="911">
                  <c:v>52.006854129656695</c:v>
                </c:pt>
                <c:pt idx="912">
                  <c:v>52.007484041387045</c:v>
                </c:pt>
                <c:pt idx="913">
                  <c:v>52.008113944602947</c:v>
                </c:pt>
                <c:pt idx="914">
                  <c:v>52.008743839304401</c:v>
                </c:pt>
                <c:pt idx="915">
                  <c:v>52.009373725491393</c:v>
                </c:pt>
                <c:pt idx="916">
                  <c:v>52.010003603163923</c:v>
                </c:pt>
                <c:pt idx="917">
                  <c:v>52.010633472321992</c:v>
                </c:pt>
                <c:pt idx="918">
                  <c:v>52.011263332965598</c:v>
                </c:pt>
                <c:pt idx="919">
                  <c:v>52.011893185094721</c:v>
                </c:pt>
                <c:pt idx="920">
                  <c:v>52.012523028709381</c:v>
                </c:pt>
                <c:pt idx="921">
                  <c:v>52.013152863809545</c:v>
                </c:pt>
                <c:pt idx="922">
                  <c:v>52.013782690395225</c:v>
                </c:pt>
                <c:pt idx="923">
                  <c:v>52.014412508466414</c:v>
                </c:pt>
                <c:pt idx="924">
                  <c:v>52.015042318023113</c:v>
                </c:pt>
                <c:pt idx="925">
                  <c:v>52.0156721190653</c:v>
                </c:pt>
                <c:pt idx="926">
                  <c:v>52.01630191159299</c:v>
                </c:pt>
                <c:pt idx="927">
                  <c:v>52.016931695606175</c:v>
                </c:pt>
                <c:pt idx="928">
                  <c:v>52.017561471104848</c:v>
                </c:pt>
                <c:pt idx="929">
                  <c:v>52.018191238088995</c:v>
                </c:pt>
                <c:pt idx="930">
                  <c:v>52.018820996558624</c:v>
                </c:pt>
                <c:pt idx="931">
                  <c:v>52.019450746513733</c:v>
                </c:pt>
                <c:pt idx="932">
                  <c:v>52.02008048795431</c:v>
                </c:pt>
                <c:pt idx="933">
                  <c:v>52.020710220880353</c:v>
                </c:pt>
                <c:pt idx="934">
                  <c:v>52.021339945291857</c:v>
                </c:pt>
                <c:pt idx="935">
                  <c:v>52.02196966118882</c:v>
                </c:pt>
                <c:pt idx="936">
                  <c:v>52.022599368571228</c:v>
                </c:pt>
                <c:pt idx="937">
                  <c:v>52.023229067439097</c:v>
                </c:pt>
                <c:pt idx="938">
                  <c:v>52.023858757792404</c:v>
                </c:pt>
                <c:pt idx="939">
                  <c:v>52.024488439631156</c:v>
                </c:pt>
                <c:pt idx="940">
                  <c:v>52.02511811295534</c:v>
                </c:pt>
                <c:pt idx="941">
                  <c:v>52.025747777764963</c:v>
                </c:pt>
                <c:pt idx="942">
                  <c:v>52.026377434060009</c:v>
                </c:pt>
                <c:pt idx="943">
                  <c:v>52.02700708184048</c:v>
                </c:pt>
                <c:pt idx="944">
                  <c:v>52.027636721106369</c:v>
                </c:pt>
                <c:pt idx="945">
                  <c:v>52.028266351857674</c:v>
                </c:pt>
                <c:pt idx="946">
                  <c:v>52.028895974094389</c:v>
                </c:pt>
                <c:pt idx="947">
                  <c:v>52.029525587816508</c:v>
                </c:pt>
                <c:pt idx="948">
                  <c:v>52.030155193024022</c:v>
                </c:pt>
                <c:pt idx="949">
                  <c:v>52.030784789716947</c:v>
                </c:pt>
                <c:pt idx="950">
                  <c:v>52.031414377895267</c:v>
                </c:pt>
                <c:pt idx="951">
                  <c:v>52.032043957558969</c:v>
                </c:pt>
                <c:pt idx="952">
                  <c:v>52.032673528708067</c:v>
                </c:pt>
                <c:pt idx="953">
                  <c:v>52.033303091342532</c:v>
                </c:pt>
                <c:pt idx="954">
                  <c:v>52.033932645462379</c:v>
                </c:pt>
                <c:pt idx="955">
                  <c:v>52.0345621910676</c:v>
                </c:pt>
                <c:pt idx="956">
                  <c:v>52.035191728158189</c:v>
                </c:pt>
                <c:pt idx="957">
                  <c:v>52.035821256734145</c:v>
                </c:pt>
                <c:pt idx="958">
                  <c:v>52.036450776795462</c:v>
                </c:pt>
                <c:pt idx="959">
                  <c:v>52.037080288342132</c:v>
                </c:pt>
                <c:pt idx="960">
                  <c:v>52.037709791374155</c:v>
                </c:pt>
                <c:pt idx="961">
                  <c:v>52.038339285891517</c:v>
                </c:pt>
                <c:pt idx="962">
                  <c:v>52.03896877189424</c:v>
                </c:pt>
                <c:pt idx="963">
                  <c:v>52.039598249382294</c:v>
                </c:pt>
                <c:pt idx="964">
                  <c:v>52.040227718355681</c:v>
                </c:pt>
                <c:pt idx="965">
                  <c:v>52.040857178814392</c:v>
                </c:pt>
                <c:pt idx="966">
                  <c:v>52.041486630758442</c:v>
                </c:pt>
                <c:pt idx="967">
                  <c:v>52.042116074187803</c:v>
                </c:pt>
                <c:pt idx="968">
                  <c:v>52.042745509102495</c:v>
                </c:pt>
                <c:pt idx="969">
                  <c:v>52.043374935502499</c:v>
                </c:pt>
                <c:pt idx="970">
                  <c:v>52.044004353387805</c:v>
                </c:pt>
                <c:pt idx="971">
                  <c:v>52.044633762758437</c:v>
                </c:pt>
                <c:pt idx="972">
                  <c:v>52.045263163614351</c:v>
                </c:pt>
                <c:pt idx="973">
                  <c:v>52.045892555955575</c:v>
                </c:pt>
                <c:pt idx="974">
                  <c:v>52.046521939782089</c:v>
                </c:pt>
                <c:pt idx="975">
                  <c:v>52.047151315093892</c:v>
                </c:pt>
                <c:pt idx="976">
                  <c:v>52.047780681890984</c:v>
                </c:pt>
                <c:pt idx="977">
                  <c:v>52.048410040173351</c:v>
                </c:pt>
                <c:pt idx="978">
                  <c:v>52.049039389941001</c:v>
                </c:pt>
                <c:pt idx="979">
                  <c:v>52.049668731193918</c:v>
                </c:pt>
                <c:pt idx="980">
                  <c:v>52.050298063932111</c:v>
                </c:pt>
                <c:pt idx="981">
                  <c:v>52.050927388155564</c:v>
                </c:pt>
                <c:pt idx="982">
                  <c:v>52.051556703864279</c:v>
                </c:pt>
                <c:pt idx="983">
                  <c:v>52.052186011058254</c:v>
                </c:pt>
                <c:pt idx="984">
                  <c:v>52.052815309737476</c:v>
                </c:pt>
                <c:pt idx="985">
                  <c:v>52.053444599901951</c:v>
                </c:pt>
                <c:pt idx="986">
                  <c:v>52.054073881551673</c:v>
                </c:pt>
                <c:pt idx="987">
                  <c:v>52.054703154686635</c:v>
                </c:pt>
                <c:pt idx="988">
                  <c:v>52.055332419306836</c:v>
                </c:pt>
                <c:pt idx="989">
                  <c:v>52.05596167541227</c:v>
                </c:pt>
                <c:pt idx="990">
                  <c:v>52.056590923002929</c:v>
                </c:pt>
                <c:pt idx="991">
                  <c:v>52.057220162078821</c:v>
                </c:pt>
                <c:pt idx="992">
                  <c:v>52.05784939263993</c:v>
                </c:pt>
                <c:pt idx="993">
                  <c:v>52.058478614686251</c:v>
                </c:pt>
                <c:pt idx="994">
                  <c:v>52.05910782821779</c:v>
                </c:pt>
                <c:pt idx="995">
                  <c:v>52.059737033234533</c:v>
                </c:pt>
                <c:pt idx="996">
                  <c:v>52.060366229736481</c:v>
                </c:pt>
                <c:pt idx="997">
                  <c:v>52.060995417723632</c:v>
                </c:pt>
                <c:pt idx="998">
                  <c:v>52.06162459719598</c:v>
                </c:pt>
                <c:pt idx="999">
                  <c:v>52.062253768153518</c:v>
                </c:pt>
                <c:pt idx="1000">
                  <c:v>52.062882930596246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5-5B4B-A9BE-4FC1D788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20192"/>
        <c:axId val="1"/>
      </c:scatterChart>
      <c:valAx>
        <c:axId val="18059201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Courbes!$B$141</c:f>
              <c:strCache>
                <c:ptCount val="1"/>
                <c:pt idx="0">
                  <c:v>Vitesse [m/s]</c:v>
                </c:pt>
              </c:strCache>
            </c:strRef>
          </c:tx>
          <c:layout>
            <c:manualLayout>
              <c:xMode val="edge"/>
              <c:yMode val="edge"/>
              <c:x val="2.5943396226415096E-2"/>
              <c:y val="0.2287587051618547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59201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40934540816568"/>
          <c:y val="0.46582833845835819"/>
          <c:w val="0.1219196919265597"/>
          <c:h val="7.69257806628481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Accélérations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4339622641509524E-2"/>
          <c:y val="9.4771241830065356E-2"/>
          <c:w val="0.88679245283019092"/>
          <c:h val="0.81699346405228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Courbes!$B$137</c:f>
              <c:strCache>
                <c:ptCount val="1"/>
                <c:pt idx="0">
                  <c:v>Accélération longitudinale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2.1000000000000014</c:v>
                </c:pt>
                <c:pt idx="202">
                  <c:v>2.2000000000000015</c:v>
                </c:pt>
                <c:pt idx="203">
                  <c:v>2.3000000000000016</c:v>
                </c:pt>
                <c:pt idx="204">
                  <c:v>2.4000000000000017</c:v>
                </c:pt>
                <c:pt idx="205">
                  <c:v>2.5000000000000018</c:v>
                </c:pt>
                <c:pt idx="206">
                  <c:v>2.6000000000000019</c:v>
                </c:pt>
                <c:pt idx="207">
                  <c:v>2.700000000000002</c:v>
                </c:pt>
                <c:pt idx="208">
                  <c:v>2.800000000000002</c:v>
                </c:pt>
                <c:pt idx="209">
                  <c:v>2.9000000000000021</c:v>
                </c:pt>
                <c:pt idx="210">
                  <c:v>3.0000000000000022</c:v>
                </c:pt>
                <c:pt idx="211">
                  <c:v>3.1000000000000023</c:v>
                </c:pt>
                <c:pt idx="212">
                  <c:v>3.2000000000000024</c:v>
                </c:pt>
                <c:pt idx="213">
                  <c:v>3.3000000000000025</c:v>
                </c:pt>
                <c:pt idx="214">
                  <c:v>3.4000000000000026</c:v>
                </c:pt>
                <c:pt idx="215">
                  <c:v>3.5000000000000027</c:v>
                </c:pt>
                <c:pt idx="216">
                  <c:v>3.6000000000000028</c:v>
                </c:pt>
                <c:pt idx="217">
                  <c:v>3.7000000000000028</c:v>
                </c:pt>
                <c:pt idx="218">
                  <c:v>3.8000000000000029</c:v>
                </c:pt>
                <c:pt idx="219">
                  <c:v>3.900000000000003</c:v>
                </c:pt>
                <c:pt idx="220">
                  <c:v>4.0000000000000027</c:v>
                </c:pt>
                <c:pt idx="221">
                  <c:v>4.1000000000000023</c:v>
                </c:pt>
                <c:pt idx="222">
                  <c:v>4.200000000000002</c:v>
                </c:pt>
                <c:pt idx="223">
                  <c:v>4.3000000000000016</c:v>
                </c:pt>
                <c:pt idx="224">
                  <c:v>4.4000000000000012</c:v>
                </c:pt>
                <c:pt idx="225">
                  <c:v>4.5000000000000009</c:v>
                </c:pt>
                <c:pt idx="226">
                  <c:v>4.6000000000000005</c:v>
                </c:pt>
                <c:pt idx="227">
                  <c:v>4.7</c:v>
                </c:pt>
                <c:pt idx="228">
                  <c:v>4.8</c:v>
                </c:pt>
                <c:pt idx="229">
                  <c:v>4.8999999999999995</c:v>
                </c:pt>
                <c:pt idx="230">
                  <c:v>4.9999999999999991</c:v>
                </c:pt>
                <c:pt idx="231">
                  <c:v>5.0999999999999988</c:v>
                </c:pt>
                <c:pt idx="232">
                  <c:v>5.1999999999999984</c:v>
                </c:pt>
                <c:pt idx="233">
                  <c:v>5.299999999999998</c:v>
                </c:pt>
                <c:pt idx="234">
                  <c:v>5.3999999999999977</c:v>
                </c:pt>
                <c:pt idx="235">
                  <c:v>5.4999999999999973</c:v>
                </c:pt>
                <c:pt idx="236">
                  <c:v>5.599999999999997</c:v>
                </c:pt>
                <c:pt idx="237">
                  <c:v>5.6999999999999966</c:v>
                </c:pt>
                <c:pt idx="238">
                  <c:v>5.7999999999999963</c:v>
                </c:pt>
                <c:pt idx="239">
                  <c:v>5.8999999999999959</c:v>
                </c:pt>
                <c:pt idx="240">
                  <c:v>5.9999999999999956</c:v>
                </c:pt>
                <c:pt idx="241">
                  <c:v>6.0999999999999952</c:v>
                </c:pt>
                <c:pt idx="242">
                  <c:v>6.1999999999999948</c:v>
                </c:pt>
                <c:pt idx="243">
                  <c:v>6.2999999999999945</c:v>
                </c:pt>
                <c:pt idx="244">
                  <c:v>6.3999999999999941</c:v>
                </c:pt>
                <c:pt idx="245">
                  <c:v>6.4999999999999938</c:v>
                </c:pt>
                <c:pt idx="246">
                  <c:v>6.5999999999999934</c:v>
                </c:pt>
                <c:pt idx="247">
                  <c:v>6.6999999999999931</c:v>
                </c:pt>
                <c:pt idx="248">
                  <c:v>6.7999999999999927</c:v>
                </c:pt>
                <c:pt idx="249">
                  <c:v>6.8999999999999924</c:v>
                </c:pt>
                <c:pt idx="250">
                  <c:v>6.999999999999992</c:v>
                </c:pt>
                <c:pt idx="251">
                  <c:v>7.0999999999999917</c:v>
                </c:pt>
                <c:pt idx="252">
                  <c:v>7.1999999999999913</c:v>
                </c:pt>
                <c:pt idx="253">
                  <c:v>7.2999999999999909</c:v>
                </c:pt>
                <c:pt idx="254">
                  <c:v>7.3999999999999906</c:v>
                </c:pt>
                <c:pt idx="255">
                  <c:v>7.4999999999999902</c:v>
                </c:pt>
                <c:pt idx="256">
                  <c:v>7.5999999999999899</c:v>
                </c:pt>
                <c:pt idx="257">
                  <c:v>7.6999999999999895</c:v>
                </c:pt>
                <c:pt idx="258">
                  <c:v>7.7999999999999892</c:v>
                </c:pt>
                <c:pt idx="259">
                  <c:v>7.8999999999999888</c:v>
                </c:pt>
                <c:pt idx="260">
                  <c:v>7.9999999999999885</c:v>
                </c:pt>
                <c:pt idx="261">
                  <c:v>8.099999999999989</c:v>
                </c:pt>
                <c:pt idx="262">
                  <c:v>8.1999999999999886</c:v>
                </c:pt>
                <c:pt idx="263">
                  <c:v>8.2999999999999883</c:v>
                </c:pt>
                <c:pt idx="264">
                  <c:v>8.3999999999999879</c:v>
                </c:pt>
                <c:pt idx="265">
                  <c:v>8.4999999999999876</c:v>
                </c:pt>
                <c:pt idx="266">
                  <c:v>8.5999999999999872</c:v>
                </c:pt>
                <c:pt idx="267">
                  <c:v>8.6999999999999869</c:v>
                </c:pt>
                <c:pt idx="268">
                  <c:v>8.7999999999999865</c:v>
                </c:pt>
                <c:pt idx="269">
                  <c:v>8.8999999999999861</c:v>
                </c:pt>
                <c:pt idx="270">
                  <c:v>8.9999999999999858</c:v>
                </c:pt>
                <c:pt idx="271">
                  <c:v>9.0999999999999854</c:v>
                </c:pt>
                <c:pt idx="272">
                  <c:v>9.1999999999999851</c:v>
                </c:pt>
                <c:pt idx="273">
                  <c:v>9.2999999999999847</c:v>
                </c:pt>
                <c:pt idx="274">
                  <c:v>9.3999999999999844</c:v>
                </c:pt>
                <c:pt idx="275">
                  <c:v>9.499999999999984</c:v>
                </c:pt>
                <c:pt idx="276">
                  <c:v>9.5999999999999837</c:v>
                </c:pt>
                <c:pt idx="277">
                  <c:v>9.6999999999999833</c:v>
                </c:pt>
                <c:pt idx="278">
                  <c:v>9.7999999999999829</c:v>
                </c:pt>
                <c:pt idx="279">
                  <c:v>9.8999999999999826</c:v>
                </c:pt>
                <c:pt idx="280">
                  <c:v>9.9999999999999822</c:v>
                </c:pt>
                <c:pt idx="281">
                  <c:v>10.099999999999982</c:v>
                </c:pt>
                <c:pt idx="282">
                  <c:v>10.199999999999982</c:v>
                </c:pt>
                <c:pt idx="283">
                  <c:v>10.299999999999981</c:v>
                </c:pt>
                <c:pt idx="284">
                  <c:v>10.399999999999981</c:v>
                </c:pt>
                <c:pt idx="285">
                  <c:v>10.49999999999998</c:v>
                </c:pt>
                <c:pt idx="286">
                  <c:v>10.59999999999998</c:v>
                </c:pt>
                <c:pt idx="287">
                  <c:v>10.69999999999998</c:v>
                </c:pt>
                <c:pt idx="288">
                  <c:v>10.799999999999979</c:v>
                </c:pt>
                <c:pt idx="289">
                  <c:v>10.899999999999979</c:v>
                </c:pt>
                <c:pt idx="290">
                  <c:v>10.999999999999979</c:v>
                </c:pt>
                <c:pt idx="291">
                  <c:v>11.099999999999978</c:v>
                </c:pt>
                <c:pt idx="292">
                  <c:v>11.199999999999978</c:v>
                </c:pt>
                <c:pt idx="293">
                  <c:v>11.299999999999978</c:v>
                </c:pt>
                <c:pt idx="294">
                  <c:v>11.399999999999977</c:v>
                </c:pt>
                <c:pt idx="295">
                  <c:v>11.499999999999977</c:v>
                </c:pt>
                <c:pt idx="296">
                  <c:v>11.599999999999977</c:v>
                </c:pt>
                <c:pt idx="297">
                  <c:v>11.699999999999976</c:v>
                </c:pt>
                <c:pt idx="298">
                  <c:v>11.799999999999976</c:v>
                </c:pt>
                <c:pt idx="299">
                  <c:v>11.899999999999975</c:v>
                </c:pt>
                <c:pt idx="300">
                  <c:v>11.999999999999975</c:v>
                </c:pt>
                <c:pt idx="301">
                  <c:v>12.000099999999975</c:v>
                </c:pt>
                <c:pt idx="302">
                  <c:v>12.000199999999975</c:v>
                </c:pt>
                <c:pt idx="303">
                  <c:v>12.000299999999974</c:v>
                </c:pt>
                <c:pt idx="304">
                  <c:v>12.000399999999974</c:v>
                </c:pt>
                <c:pt idx="305">
                  <c:v>12.000499999999974</c:v>
                </c:pt>
                <c:pt idx="306">
                  <c:v>12.000599999999974</c:v>
                </c:pt>
                <c:pt idx="307">
                  <c:v>12.000699999999973</c:v>
                </c:pt>
                <c:pt idx="308">
                  <c:v>12.000799999999973</c:v>
                </c:pt>
                <c:pt idx="309">
                  <c:v>12.000899999999973</c:v>
                </c:pt>
                <c:pt idx="310">
                  <c:v>12.000999999999973</c:v>
                </c:pt>
                <c:pt idx="311">
                  <c:v>12.001099999999973</c:v>
                </c:pt>
                <c:pt idx="312">
                  <c:v>12.001199999999972</c:v>
                </c:pt>
                <c:pt idx="313">
                  <c:v>12.001299999999972</c:v>
                </c:pt>
                <c:pt idx="314">
                  <c:v>12.001399999999972</c:v>
                </c:pt>
                <c:pt idx="315">
                  <c:v>12.001499999999972</c:v>
                </c:pt>
                <c:pt idx="316">
                  <c:v>12.001599999999971</c:v>
                </c:pt>
                <c:pt idx="317">
                  <c:v>12.001699999999971</c:v>
                </c:pt>
                <c:pt idx="318">
                  <c:v>12.001799999999971</c:v>
                </c:pt>
                <c:pt idx="319">
                  <c:v>12.001899999999971</c:v>
                </c:pt>
                <c:pt idx="320">
                  <c:v>12.00199999999997</c:v>
                </c:pt>
                <c:pt idx="321">
                  <c:v>12.00209999999997</c:v>
                </c:pt>
                <c:pt idx="322">
                  <c:v>12.00219999999997</c:v>
                </c:pt>
                <c:pt idx="323">
                  <c:v>12.00229999999997</c:v>
                </c:pt>
                <c:pt idx="324">
                  <c:v>12.00239999999997</c:v>
                </c:pt>
                <c:pt idx="325">
                  <c:v>12.002499999999969</c:v>
                </c:pt>
                <c:pt idx="326">
                  <c:v>12.002599999999969</c:v>
                </c:pt>
                <c:pt idx="327">
                  <c:v>12.002699999999969</c:v>
                </c:pt>
                <c:pt idx="328">
                  <c:v>12.002799999999969</c:v>
                </c:pt>
                <c:pt idx="329">
                  <c:v>12.002899999999968</c:v>
                </c:pt>
                <c:pt idx="330">
                  <c:v>12.002999999999968</c:v>
                </c:pt>
                <c:pt idx="331">
                  <c:v>12.003099999999968</c:v>
                </c:pt>
                <c:pt idx="332">
                  <c:v>12.003199999999968</c:v>
                </c:pt>
                <c:pt idx="333">
                  <c:v>12.003299999999967</c:v>
                </c:pt>
                <c:pt idx="334">
                  <c:v>12.003399999999967</c:v>
                </c:pt>
                <c:pt idx="335">
                  <c:v>12.003499999999967</c:v>
                </c:pt>
                <c:pt idx="336">
                  <c:v>12.003599999999967</c:v>
                </c:pt>
                <c:pt idx="337">
                  <c:v>12.003699999999967</c:v>
                </c:pt>
                <c:pt idx="338">
                  <c:v>12.003799999999966</c:v>
                </c:pt>
                <c:pt idx="339">
                  <c:v>12.003899999999966</c:v>
                </c:pt>
                <c:pt idx="340">
                  <c:v>12.003999999999966</c:v>
                </c:pt>
                <c:pt idx="341">
                  <c:v>12.004099999999966</c:v>
                </c:pt>
                <c:pt idx="342">
                  <c:v>12.004199999999965</c:v>
                </c:pt>
                <c:pt idx="343">
                  <c:v>12.004299999999965</c:v>
                </c:pt>
                <c:pt idx="344">
                  <c:v>12.004399999999965</c:v>
                </c:pt>
                <c:pt idx="345">
                  <c:v>12.004499999999965</c:v>
                </c:pt>
                <c:pt idx="346">
                  <c:v>12.004599999999964</c:v>
                </c:pt>
                <c:pt idx="347">
                  <c:v>12.004699999999964</c:v>
                </c:pt>
                <c:pt idx="348">
                  <c:v>12.004799999999964</c:v>
                </c:pt>
                <c:pt idx="349">
                  <c:v>12.004899999999964</c:v>
                </c:pt>
                <c:pt idx="350">
                  <c:v>12.004999999999963</c:v>
                </c:pt>
                <c:pt idx="351">
                  <c:v>12.005099999999963</c:v>
                </c:pt>
                <c:pt idx="352">
                  <c:v>12.005199999999963</c:v>
                </c:pt>
                <c:pt idx="353">
                  <c:v>12.005299999999963</c:v>
                </c:pt>
                <c:pt idx="354">
                  <c:v>12.005399999999963</c:v>
                </c:pt>
                <c:pt idx="355">
                  <c:v>12.005499999999962</c:v>
                </c:pt>
                <c:pt idx="356">
                  <c:v>12.005599999999962</c:v>
                </c:pt>
                <c:pt idx="357">
                  <c:v>12.005699999999962</c:v>
                </c:pt>
                <c:pt idx="358">
                  <c:v>12.005799999999962</c:v>
                </c:pt>
                <c:pt idx="359">
                  <c:v>12.005899999999961</c:v>
                </c:pt>
                <c:pt idx="360">
                  <c:v>12.005999999999961</c:v>
                </c:pt>
                <c:pt idx="361">
                  <c:v>12.006099999999961</c:v>
                </c:pt>
                <c:pt idx="362">
                  <c:v>12.006199999999961</c:v>
                </c:pt>
                <c:pt idx="363">
                  <c:v>12.00629999999996</c:v>
                </c:pt>
                <c:pt idx="364">
                  <c:v>12.00639999999996</c:v>
                </c:pt>
                <c:pt idx="365">
                  <c:v>12.00649999999996</c:v>
                </c:pt>
                <c:pt idx="366">
                  <c:v>12.00659999999996</c:v>
                </c:pt>
                <c:pt idx="367">
                  <c:v>12.00669999999996</c:v>
                </c:pt>
                <c:pt idx="368">
                  <c:v>12.006799999999959</c:v>
                </c:pt>
                <c:pt idx="369">
                  <c:v>12.006899999999959</c:v>
                </c:pt>
                <c:pt idx="370">
                  <c:v>12.006999999999959</c:v>
                </c:pt>
                <c:pt idx="371">
                  <c:v>12.007099999999959</c:v>
                </c:pt>
                <c:pt idx="372">
                  <c:v>12.007199999999958</c:v>
                </c:pt>
                <c:pt idx="373">
                  <c:v>12.007299999999958</c:v>
                </c:pt>
                <c:pt idx="374">
                  <c:v>12.007399999999958</c:v>
                </c:pt>
                <c:pt idx="375">
                  <c:v>12.007499999999958</c:v>
                </c:pt>
                <c:pt idx="376">
                  <c:v>12.007599999999957</c:v>
                </c:pt>
                <c:pt idx="377">
                  <c:v>12.007699999999957</c:v>
                </c:pt>
                <c:pt idx="378">
                  <c:v>12.007799999999957</c:v>
                </c:pt>
                <c:pt idx="379">
                  <c:v>12.007899999999957</c:v>
                </c:pt>
                <c:pt idx="380">
                  <c:v>12.007999999999956</c:v>
                </c:pt>
                <c:pt idx="381">
                  <c:v>12.008099999999956</c:v>
                </c:pt>
                <c:pt idx="382">
                  <c:v>12.008199999999956</c:v>
                </c:pt>
                <c:pt idx="383">
                  <c:v>12.008299999999956</c:v>
                </c:pt>
                <c:pt idx="384">
                  <c:v>12.008399999999956</c:v>
                </c:pt>
                <c:pt idx="385">
                  <c:v>12.008499999999955</c:v>
                </c:pt>
                <c:pt idx="386">
                  <c:v>12.008599999999955</c:v>
                </c:pt>
                <c:pt idx="387">
                  <c:v>12.008699999999955</c:v>
                </c:pt>
                <c:pt idx="388">
                  <c:v>12.008799999999955</c:v>
                </c:pt>
                <c:pt idx="389">
                  <c:v>12.008899999999954</c:v>
                </c:pt>
                <c:pt idx="390">
                  <c:v>12.008999999999954</c:v>
                </c:pt>
                <c:pt idx="391">
                  <c:v>12.009099999999954</c:v>
                </c:pt>
                <c:pt idx="392">
                  <c:v>12.009199999999954</c:v>
                </c:pt>
                <c:pt idx="393">
                  <c:v>12.009299999999953</c:v>
                </c:pt>
                <c:pt idx="394">
                  <c:v>12.009399999999953</c:v>
                </c:pt>
                <c:pt idx="395">
                  <c:v>12.009499999999953</c:v>
                </c:pt>
                <c:pt idx="396">
                  <c:v>12.009599999999953</c:v>
                </c:pt>
                <c:pt idx="397">
                  <c:v>12.009699999999953</c:v>
                </c:pt>
                <c:pt idx="398">
                  <c:v>12.009799999999952</c:v>
                </c:pt>
                <c:pt idx="399">
                  <c:v>12.009899999999952</c:v>
                </c:pt>
                <c:pt idx="400">
                  <c:v>12.009999999999952</c:v>
                </c:pt>
                <c:pt idx="401">
                  <c:v>12.010099999999952</c:v>
                </c:pt>
                <c:pt idx="402">
                  <c:v>12.010199999999951</c:v>
                </c:pt>
                <c:pt idx="403">
                  <c:v>12.010299999999951</c:v>
                </c:pt>
                <c:pt idx="404">
                  <c:v>12.010399999999951</c:v>
                </c:pt>
                <c:pt idx="405">
                  <c:v>12.010499999999951</c:v>
                </c:pt>
                <c:pt idx="406">
                  <c:v>12.01059999999995</c:v>
                </c:pt>
                <c:pt idx="407">
                  <c:v>12.01069999999995</c:v>
                </c:pt>
                <c:pt idx="408">
                  <c:v>12.01079999999995</c:v>
                </c:pt>
                <c:pt idx="409">
                  <c:v>12.01089999999995</c:v>
                </c:pt>
                <c:pt idx="410">
                  <c:v>12.010999999999949</c:v>
                </c:pt>
                <c:pt idx="411">
                  <c:v>12.011099999999949</c:v>
                </c:pt>
                <c:pt idx="412">
                  <c:v>12.011199999999949</c:v>
                </c:pt>
                <c:pt idx="413">
                  <c:v>12.011299999999949</c:v>
                </c:pt>
                <c:pt idx="414">
                  <c:v>12.011399999999949</c:v>
                </c:pt>
                <c:pt idx="415">
                  <c:v>12.011499999999948</c:v>
                </c:pt>
                <c:pt idx="416">
                  <c:v>12.011599999999948</c:v>
                </c:pt>
                <c:pt idx="417">
                  <c:v>12.011699999999948</c:v>
                </c:pt>
                <c:pt idx="418">
                  <c:v>12.011799999999948</c:v>
                </c:pt>
                <c:pt idx="419">
                  <c:v>12.011899999999947</c:v>
                </c:pt>
                <c:pt idx="420">
                  <c:v>12.011999999999947</c:v>
                </c:pt>
                <c:pt idx="421">
                  <c:v>12.012099999999947</c:v>
                </c:pt>
                <c:pt idx="422">
                  <c:v>12.012199999999947</c:v>
                </c:pt>
                <c:pt idx="423">
                  <c:v>12.012299999999946</c:v>
                </c:pt>
                <c:pt idx="424">
                  <c:v>12.012399999999946</c:v>
                </c:pt>
                <c:pt idx="425">
                  <c:v>12.012499999999946</c:v>
                </c:pt>
                <c:pt idx="426">
                  <c:v>12.012599999999946</c:v>
                </c:pt>
                <c:pt idx="427">
                  <c:v>12.012699999999946</c:v>
                </c:pt>
                <c:pt idx="428">
                  <c:v>12.012799999999945</c:v>
                </c:pt>
                <c:pt idx="429">
                  <c:v>12.012899999999945</c:v>
                </c:pt>
                <c:pt idx="430">
                  <c:v>12.012999999999945</c:v>
                </c:pt>
                <c:pt idx="431">
                  <c:v>12.013099999999945</c:v>
                </c:pt>
                <c:pt idx="432">
                  <c:v>12.013199999999944</c:v>
                </c:pt>
                <c:pt idx="433">
                  <c:v>12.013299999999944</c:v>
                </c:pt>
                <c:pt idx="434">
                  <c:v>12.013399999999944</c:v>
                </c:pt>
                <c:pt idx="435">
                  <c:v>12.013499999999944</c:v>
                </c:pt>
                <c:pt idx="436">
                  <c:v>12.013599999999943</c:v>
                </c:pt>
                <c:pt idx="437">
                  <c:v>12.013699999999943</c:v>
                </c:pt>
                <c:pt idx="438">
                  <c:v>12.013799999999943</c:v>
                </c:pt>
                <c:pt idx="439">
                  <c:v>12.013899999999943</c:v>
                </c:pt>
                <c:pt idx="440">
                  <c:v>12.013999999999943</c:v>
                </c:pt>
                <c:pt idx="441">
                  <c:v>12.014099999999942</c:v>
                </c:pt>
                <c:pt idx="442">
                  <c:v>12.014199999999942</c:v>
                </c:pt>
                <c:pt idx="443">
                  <c:v>12.014299999999942</c:v>
                </c:pt>
                <c:pt idx="444">
                  <c:v>12.014399999999942</c:v>
                </c:pt>
                <c:pt idx="445">
                  <c:v>12.014499999999941</c:v>
                </c:pt>
                <c:pt idx="446">
                  <c:v>12.014599999999941</c:v>
                </c:pt>
                <c:pt idx="447">
                  <c:v>12.014699999999941</c:v>
                </c:pt>
                <c:pt idx="448">
                  <c:v>12.014799999999941</c:v>
                </c:pt>
                <c:pt idx="449">
                  <c:v>12.01489999999994</c:v>
                </c:pt>
                <c:pt idx="450">
                  <c:v>12.01499999999994</c:v>
                </c:pt>
                <c:pt idx="451">
                  <c:v>12.01509999999994</c:v>
                </c:pt>
                <c:pt idx="452">
                  <c:v>12.01519999999994</c:v>
                </c:pt>
                <c:pt idx="453">
                  <c:v>12.015299999999939</c:v>
                </c:pt>
                <c:pt idx="454">
                  <c:v>12.015399999999939</c:v>
                </c:pt>
                <c:pt idx="455">
                  <c:v>12.015499999999939</c:v>
                </c:pt>
                <c:pt idx="456">
                  <c:v>12.015599999999939</c:v>
                </c:pt>
                <c:pt idx="457">
                  <c:v>12.015699999999939</c:v>
                </c:pt>
                <c:pt idx="458">
                  <c:v>12.015799999999938</c:v>
                </c:pt>
                <c:pt idx="459">
                  <c:v>12.015899999999938</c:v>
                </c:pt>
                <c:pt idx="460">
                  <c:v>12.015999999999938</c:v>
                </c:pt>
                <c:pt idx="461">
                  <c:v>12.016099999999938</c:v>
                </c:pt>
                <c:pt idx="462">
                  <c:v>12.016199999999937</c:v>
                </c:pt>
                <c:pt idx="463">
                  <c:v>12.016299999999937</c:v>
                </c:pt>
                <c:pt idx="464">
                  <c:v>12.016399999999937</c:v>
                </c:pt>
                <c:pt idx="465">
                  <c:v>12.016499999999937</c:v>
                </c:pt>
                <c:pt idx="466">
                  <c:v>12.016599999999936</c:v>
                </c:pt>
                <c:pt idx="467">
                  <c:v>12.016699999999936</c:v>
                </c:pt>
                <c:pt idx="468">
                  <c:v>12.016799999999936</c:v>
                </c:pt>
                <c:pt idx="469">
                  <c:v>12.016899999999936</c:v>
                </c:pt>
                <c:pt idx="470">
                  <c:v>12.016999999999936</c:v>
                </c:pt>
                <c:pt idx="471">
                  <c:v>12.017099999999935</c:v>
                </c:pt>
                <c:pt idx="472">
                  <c:v>12.017199999999935</c:v>
                </c:pt>
                <c:pt idx="473">
                  <c:v>12.017299999999935</c:v>
                </c:pt>
                <c:pt idx="474">
                  <c:v>12.017399999999935</c:v>
                </c:pt>
                <c:pt idx="475">
                  <c:v>12.017499999999934</c:v>
                </c:pt>
                <c:pt idx="476">
                  <c:v>12.017599999999934</c:v>
                </c:pt>
                <c:pt idx="477">
                  <c:v>12.017699999999934</c:v>
                </c:pt>
                <c:pt idx="478">
                  <c:v>12.017799999999934</c:v>
                </c:pt>
                <c:pt idx="479">
                  <c:v>12.017899999999933</c:v>
                </c:pt>
                <c:pt idx="480">
                  <c:v>12.017999999999933</c:v>
                </c:pt>
                <c:pt idx="481">
                  <c:v>12.018099999999933</c:v>
                </c:pt>
                <c:pt idx="482">
                  <c:v>12.018199999999933</c:v>
                </c:pt>
                <c:pt idx="483">
                  <c:v>12.018299999999932</c:v>
                </c:pt>
                <c:pt idx="484">
                  <c:v>12.018399999999932</c:v>
                </c:pt>
                <c:pt idx="485">
                  <c:v>12.018499999999932</c:v>
                </c:pt>
                <c:pt idx="486">
                  <c:v>12.018599999999932</c:v>
                </c:pt>
                <c:pt idx="487">
                  <c:v>12.018699999999932</c:v>
                </c:pt>
                <c:pt idx="488">
                  <c:v>12.018799999999931</c:v>
                </c:pt>
                <c:pt idx="489">
                  <c:v>12.018899999999931</c:v>
                </c:pt>
                <c:pt idx="490">
                  <c:v>12.018999999999931</c:v>
                </c:pt>
                <c:pt idx="491">
                  <c:v>12.019099999999931</c:v>
                </c:pt>
                <c:pt idx="492">
                  <c:v>12.01919999999993</c:v>
                </c:pt>
                <c:pt idx="493">
                  <c:v>12.01929999999993</c:v>
                </c:pt>
                <c:pt idx="494">
                  <c:v>12.01939999999993</c:v>
                </c:pt>
                <c:pt idx="495">
                  <c:v>12.01949999999993</c:v>
                </c:pt>
                <c:pt idx="496">
                  <c:v>12.019599999999929</c:v>
                </c:pt>
                <c:pt idx="497">
                  <c:v>12.019699999999929</c:v>
                </c:pt>
                <c:pt idx="498">
                  <c:v>12.019799999999929</c:v>
                </c:pt>
                <c:pt idx="499">
                  <c:v>12.019899999999929</c:v>
                </c:pt>
                <c:pt idx="500">
                  <c:v>12.019999999999929</c:v>
                </c:pt>
                <c:pt idx="501">
                  <c:v>12.020099999999928</c:v>
                </c:pt>
                <c:pt idx="502">
                  <c:v>12.020199999999928</c:v>
                </c:pt>
                <c:pt idx="503">
                  <c:v>12.020299999999928</c:v>
                </c:pt>
                <c:pt idx="504">
                  <c:v>12.020399999999928</c:v>
                </c:pt>
                <c:pt idx="505">
                  <c:v>12.020499999999927</c:v>
                </c:pt>
                <c:pt idx="506">
                  <c:v>12.020599999999927</c:v>
                </c:pt>
                <c:pt idx="507">
                  <c:v>12.020699999999927</c:v>
                </c:pt>
                <c:pt idx="508">
                  <c:v>12.020799999999927</c:v>
                </c:pt>
                <c:pt idx="509">
                  <c:v>12.020899999999926</c:v>
                </c:pt>
                <c:pt idx="510">
                  <c:v>12.020999999999926</c:v>
                </c:pt>
                <c:pt idx="511">
                  <c:v>12.021099999999926</c:v>
                </c:pt>
                <c:pt idx="512">
                  <c:v>12.021199999999926</c:v>
                </c:pt>
                <c:pt idx="513">
                  <c:v>12.021299999999925</c:v>
                </c:pt>
                <c:pt idx="514">
                  <c:v>12.021399999999925</c:v>
                </c:pt>
                <c:pt idx="515">
                  <c:v>12.021499999999925</c:v>
                </c:pt>
                <c:pt idx="516">
                  <c:v>12.021599999999925</c:v>
                </c:pt>
                <c:pt idx="517">
                  <c:v>12.021699999999925</c:v>
                </c:pt>
                <c:pt idx="518">
                  <c:v>12.021799999999924</c:v>
                </c:pt>
                <c:pt idx="519">
                  <c:v>12.021899999999924</c:v>
                </c:pt>
                <c:pt idx="520">
                  <c:v>12.021999999999924</c:v>
                </c:pt>
                <c:pt idx="521">
                  <c:v>12.022099999999924</c:v>
                </c:pt>
                <c:pt idx="522">
                  <c:v>12.022199999999923</c:v>
                </c:pt>
                <c:pt idx="523">
                  <c:v>12.022299999999923</c:v>
                </c:pt>
                <c:pt idx="524">
                  <c:v>12.022399999999923</c:v>
                </c:pt>
                <c:pt idx="525">
                  <c:v>12.022499999999923</c:v>
                </c:pt>
                <c:pt idx="526">
                  <c:v>12.022599999999922</c:v>
                </c:pt>
                <c:pt idx="527">
                  <c:v>12.022699999999922</c:v>
                </c:pt>
                <c:pt idx="528">
                  <c:v>12.022799999999922</c:v>
                </c:pt>
                <c:pt idx="529">
                  <c:v>12.022899999999922</c:v>
                </c:pt>
                <c:pt idx="530">
                  <c:v>12.022999999999922</c:v>
                </c:pt>
                <c:pt idx="531">
                  <c:v>12.023099999999921</c:v>
                </c:pt>
                <c:pt idx="532">
                  <c:v>12.023199999999921</c:v>
                </c:pt>
                <c:pt idx="533">
                  <c:v>12.023299999999921</c:v>
                </c:pt>
                <c:pt idx="534">
                  <c:v>12.023399999999921</c:v>
                </c:pt>
                <c:pt idx="535">
                  <c:v>12.02349999999992</c:v>
                </c:pt>
                <c:pt idx="536">
                  <c:v>12.02359999999992</c:v>
                </c:pt>
                <c:pt idx="537">
                  <c:v>12.02369999999992</c:v>
                </c:pt>
                <c:pt idx="538">
                  <c:v>12.02379999999992</c:v>
                </c:pt>
                <c:pt idx="539">
                  <c:v>12.023899999999919</c:v>
                </c:pt>
                <c:pt idx="540">
                  <c:v>12.023999999999919</c:v>
                </c:pt>
                <c:pt idx="541">
                  <c:v>12.024099999999919</c:v>
                </c:pt>
                <c:pt idx="542">
                  <c:v>12.024199999999919</c:v>
                </c:pt>
                <c:pt idx="543">
                  <c:v>12.024299999999918</c:v>
                </c:pt>
                <c:pt idx="544">
                  <c:v>12.024399999999918</c:v>
                </c:pt>
                <c:pt idx="545">
                  <c:v>12.024499999999918</c:v>
                </c:pt>
                <c:pt idx="546">
                  <c:v>12.024599999999918</c:v>
                </c:pt>
                <c:pt idx="547">
                  <c:v>12.024699999999918</c:v>
                </c:pt>
                <c:pt idx="548">
                  <c:v>12.024799999999917</c:v>
                </c:pt>
                <c:pt idx="549">
                  <c:v>12.024899999999917</c:v>
                </c:pt>
                <c:pt idx="550">
                  <c:v>12.024999999999917</c:v>
                </c:pt>
                <c:pt idx="551">
                  <c:v>12.025099999999917</c:v>
                </c:pt>
                <c:pt idx="552">
                  <c:v>12.025199999999916</c:v>
                </c:pt>
                <c:pt idx="553">
                  <c:v>12.025299999999916</c:v>
                </c:pt>
                <c:pt idx="554">
                  <c:v>12.025399999999916</c:v>
                </c:pt>
                <c:pt idx="555">
                  <c:v>12.025499999999916</c:v>
                </c:pt>
                <c:pt idx="556">
                  <c:v>12.025599999999915</c:v>
                </c:pt>
                <c:pt idx="557">
                  <c:v>12.025699999999915</c:v>
                </c:pt>
                <c:pt idx="558">
                  <c:v>12.025799999999915</c:v>
                </c:pt>
                <c:pt idx="559">
                  <c:v>12.025899999999915</c:v>
                </c:pt>
                <c:pt idx="560">
                  <c:v>12.025999999999915</c:v>
                </c:pt>
                <c:pt idx="561">
                  <c:v>12.026099999999914</c:v>
                </c:pt>
                <c:pt idx="562">
                  <c:v>12.026199999999914</c:v>
                </c:pt>
                <c:pt idx="563">
                  <c:v>12.026299999999914</c:v>
                </c:pt>
                <c:pt idx="564">
                  <c:v>12.026399999999914</c:v>
                </c:pt>
                <c:pt idx="565">
                  <c:v>12.026499999999913</c:v>
                </c:pt>
                <c:pt idx="566">
                  <c:v>12.026599999999913</c:v>
                </c:pt>
                <c:pt idx="567">
                  <c:v>12.026699999999913</c:v>
                </c:pt>
                <c:pt idx="568">
                  <c:v>12.026799999999913</c:v>
                </c:pt>
                <c:pt idx="569">
                  <c:v>12.026899999999912</c:v>
                </c:pt>
                <c:pt idx="570">
                  <c:v>12.026999999999912</c:v>
                </c:pt>
                <c:pt idx="571">
                  <c:v>12.027099999999912</c:v>
                </c:pt>
                <c:pt idx="572">
                  <c:v>12.027199999999912</c:v>
                </c:pt>
                <c:pt idx="573">
                  <c:v>12.027299999999912</c:v>
                </c:pt>
                <c:pt idx="574">
                  <c:v>12.027399999999911</c:v>
                </c:pt>
                <c:pt idx="575">
                  <c:v>12.027499999999911</c:v>
                </c:pt>
                <c:pt idx="576">
                  <c:v>12.027599999999911</c:v>
                </c:pt>
                <c:pt idx="577">
                  <c:v>12.027699999999911</c:v>
                </c:pt>
                <c:pt idx="578">
                  <c:v>12.02779999999991</c:v>
                </c:pt>
                <c:pt idx="579">
                  <c:v>12.02789999999991</c:v>
                </c:pt>
                <c:pt idx="580">
                  <c:v>12.02799999999991</c:v>
                </c:pt>
                <c:pt idx="581">
                  <c:v>12.02809999999991</c:v>
                </c:pt>
                <c:pt idx="582">
                  <c:v>12.028199999999909</c:v>
                </c:pt>
                <c:pt idx="583">
                  <c:v>12.028299999999909</c:v>
                </c:pt>
                <c:pt idx="584">
                  <c:v>12.028399999999909</c:v>
                </c:pt>
                <c:pt idx="585">
                  <c:v>12.028499999999909</c:v>
                </c:pt>
                <c:pt idx="586">
                  <c:v>12.028599999999908</c:v>
                </c:pt>
                <c:pt idx="587">
                  <c:v>12.028699999999908</c:v>
                </c:pt>
                <c:pt idx="588">
                  <c:v>12.028799999999908</c:v>
                </c:pt>
                <c:pt idx="589">
                  <c:v>12.028899999999908</c:v>
                </c:pt>
                <c:pt idx="590">
                  <c:v>12.028999999999908</c:v>
                </c:pt>
                <c:pt idx="591">
                  <c:v>12.029099999999907</c:v>
                </c:pt>
                <c:pt idx="592">
                  <c:v>12.029199999999907</c:v>
                </c:pt>
                <c:pt idx="593">
                  <c:v>12.029299999999907</c:v>
                </c:pt>
                <c:pt idx="594">
                  <c:v>12.029399999999907</c:v>
                </c:pt>
                <c:pt idx="595">
                  <c:v>12.029499999999906</c:v>
                </c:pt>
                <c:pt idx="596">
                  <c:v>12.029599999999906</c:v>
                </c:pt>
                <c:pt idx="597">
                  <c:v>12.029699999999906</c:v>
                </c:pt>
                <c:pt idx="598">
                  <c:v>12.029799999999906</c:v>
                </c:pt>
                <c:pt idx="599">
                  <c:v>12.029899999999905</c:v>
                </c:pt>
                <c:pt idx="600">
                  <c:v>12.029999999999905</c:v>
                </c:pt>
                <c:pt idx="601">
                  <c:v>12.030099999999905</c:v>
                </c:pt>
                <c:pt idx="602">
                  <c:v>12.030199999999905</c:v>
                </c:pt>
                <c:pt idx="603">
                  <c:v>12.030299999999905</c:v>
                </c:pt>
                <c:pt idx="604">
                  <c:v>12.030399999999904</c:v>
                </c:pt>
                <c:pt idx="605">
                  <c:v>12.030499999999904</c:v>
                </c:pt>
                <c:pt idx="606">
                  <c:v>12.030599999999904</c:v>
                </c:pt>
                <c:pt idx="607">
                  <c:v>12.030699999999904</c:v>
                </c:pt>
                <c:pt idx="608">
                  <c:v>12.030799999999903</c:v>
                </c:pt>
                <c:pt idx="609">
                  <c:v>12.030899999999903</c:v>
                </c:pt>
                <c:pt idx="610">
                  <c:v>12.030999999999903</c:v>
                </c:pt>
                <c:pt idx="611">
                  <c:v>12.031099999999903</c:v>
                </c:pt>
                <c:pt idx="612">
                  <c:v>12.031199999999902</c:v>
                </c:pt>
                <c:pt idx="613">
                  <c:v>12.031299999999902</c:v>
                </c:pt>
                <c:pt idx="614">
                  <c:v>12.031399999999902</c:v>
                </c:pt>
                <c:pt idx="615">
                  <c:v>12.031499999999902</c:v>
                </c:pt>
                <c:pt idx="616">
                  <c:v>12.031599999999901</c:v>
                </c:pt>
                <c:pt idx="617">
                  <c:v>12.031699999999901</c:v>
                </c:pt>
                <c:pt idx="618">
                  <c:v>12.031799999999901</c:v>
                </c:pt>
                <c:pt idx="619">
                  <c:v>12.031899999999901</c:v>
                </c:pt>
                <c:pt idx="620">
                  <c:v>12.031999999999901</c:v>
                </c:pt>
                <c:pt idx="621">
                  <c:v>12.0320999999999</c:v>
                </c:pt>
                <c:pt idx="622">
                  <c:v>12.0321999999999</c:v>
                </c:pt>
                <c:pt idx="623">
                  <c:v>12.0322999999999</c:v>
                </c:pt>
                <c:pt idx="624">
                  <c:v>12.0323999999999</c:v>
                </c:pt>
                <c:pt idx="625">
                  <c:v>12.032499999999899</c:v>
                </c:pt>
                <c:pt idx="626">
                  <c:v>12.032599999999899</c:v>
                </c:pt>
                <c:pt idx="627">
                  <c:v>12.032699999999899</c:v>
                </c:pt>
                <c:pt idx="628">
                  <c:v>12.032799999999899</c:v>
                </c:pt>
                <c:pt idx="629">
                  <c:v>12.032899999999898</c:v>
                </c:pt>
                <c:pt idx="630">
                  <c:v>12.032999999999898</c:v>
                </c:pt>
                <c:pt idx="631">
                  <c:v>12.033099999999898</c:v>
                </c:pt>
                <c:pt idx="632">
                  <c:v>12.033199999999898</c:v>
                </c:pt>
                <c:pt idx="633">
                  <c:v>12.033299999999898</c:v>
                </c:pt>
                <c:pt idx="634">
                  <c:v>12.033399999999897</c:v>
                </c:pt>
                <c:pt idx="635">
                  <c:v>12.033499999999897</c:v>
                </c:pt>
                <c:pt idx="636">
                  <c:v>12.033599999999897</c:v>
                </c:pt>
                <c:pt idx="637">
                  <c:v>12.033699999999897</c:v>
                </c:pt>
                <c:pt idx="638">
                  <c:v>12.033799999999896</c:v>
                </c:pt>
                <c:pt idx="639">
                  <c:v>12.033899999999896</c:v>
                </c:pt>
                <c:pt idx="640">
                  <c:v>12.033999999999896</c:v>
                </c:pt>
                <c:pt idx="641">
                  <c:v>12.034099999999896</c:v>
                </c:pt>
                <c:pt idx="642">
                  <c:v>12.034199999999895</c:v>
                </c:pt>
                <c:pt idx="643">
                  <c:v>12.034299999999895</c:v>
                </c:pt>
                <c:pt idx="644">
                  <c:v>12.034399999999895</c:v>
                </c:pt>
                <c:pt idx="645">
                  <c:v>12.034499999999895</c:v>
                </c:pt>
                <c:pt idx="646">
                  <c:v>12.034599999999894</c:v>
                </c:pt>
                <c:pt idx="647">
                  <c:v>12.034699999999894</c:v>
                </c:pt>
                <c:pt idx="648">
                  <c:v>12.034799999999894</c:v>
                </c:pt>
                <c:pt idx="649">
                  <c:v>12.034899999999894</c:v>
                </c:pt>
                <c:pt idx="650">
                  <c:v>12.034999999999894</c:v>
                </c:pt>
                <c:pt idx="651">
                  <c:v>12.035099999999893</c:v>
                </c:pt>
                <c:pt idx="652">
                  <c:v>12.035199999999893</c:v>
                </c:pt>
                <c:pt idx="653">
                  <c:v>12.035299999999893</c:v>
                </c:pt>
                <c:pt idx="654">
                  <c:v>12.035399999999893</c:v>
                </c:pt>
                <c:pt idx="655">
                  <c:v>12.035499999999892</c:v>
                </c:pt>
                <c:pt idx="656">
                  <c:v>12.035599999999892</c:v>
                </c:pt>
                <c:pt idx="657">
                  <c:v>12.035699999999892</c:v>
                </c:pt>
                <c:pt idx="658">
                  <c:v>12.035799999999892</c:v>
                </c:pt>
                <c:pt idx="659">
                  <c:v>12.035899999999891</c:v>
                </c:pt>
                <c:pt idx="660">
                  <c:v>12.035999999999891</c:v>
                </c:pt>
                <c:pt idx="661">
                  <c:v>12.036099999999891</c:v>
                </c:pt>
                <c:pt idx="662">
                  <c:v>12.036199999999891</c:v>
                </c:pt>
                <c:pt idx="663">
                  <c:v>12.036299999999891</c:v>
                </c:pt>
                <c:pt idx="664">
                  <c:v>12.03639999999989</c:v>
                </c:pt>
                <c:pt idx="665">
                  <c:v>12.03649999999989</c:v>
                </c:pt>
                <c:pt idx="666">
                  <c:v>12.03659999999989</c:v>
                </c:pt>
                <c:pt idx="667">
                  <c:v>12.03669999999989</c:v>
                </c:pt>
                <c:pt idx="668">
                  <c:v>12.036799999999889</c:v>
                </c:pt>
                <c:pt idx="669">
                  <c:v>12.036899999999889</c:v>
                </c:pt>
                <c:pt idx="670">
                  <c:v>12.036999999999889</c:v>
                </c:pt>
                <c:pt idx="671">
                  <c:v>12.037099999999889</c:v>
                </c:pt>
                <c:pt idx="672">
                  <c:v>12.037199999999888</c:v>
                </c:pt>
                <c:pt idx="673">
                  <c:v>12.037299999999888</c:v>
                </c:pt>
                <c:pt idx="674">
                  <c:v>12.037399999999888</c:v>
                </c:pt>
                <c:pt idx="675">
                  <c:v>12.037499999999888</c:v>
                </c:pt>
                <c:pt idx="676">
                  <c:v>12.037599999999888</c:v>
                </c:pt>
                <c:pt idx="677">
                  <c:v>12.037699999999887</c:v>
                </c:pt>
                <c:pt idx="678">
                  <c:v>12.037799999999887</c:v>
                </c:pt>
                <c:pt idx="679">
                  <c:v>12.037899999999887</c:v>
                </c:pt>
                <c:pt idx="680">
                  <c:v>12.037999999999887</c:v>
                </c:pt>
                <c:pt idx="681">
                  <c:v>12.038099999999886</c:v>
                </c:pt>
                <c:pt idx="682">
                  <c:v>12.038199999999886</c:v>
                </c:pt>
                <c:pt idx="683">
                  <c:v>12.038299999999886</c:v>
                </c:pt>
                <c:pt idx="684">
                  <c:v>12.038399999999886</c:v>
                </c:pt>
                <c:pt idx="685">
                  <c:v>12.038499999999885</c:v>
                </c:pt>
                <c:pt idx="686">
                  <c:v>12.038599999999885</c:v>
                </c:pt>
                <c:pt idx="687">
                  <c:v>12.038699999999885</c:v>
                </c:pt>
                <c:pt idx="688">
                  <c:v>12.038799999999885</c:v>
                </c:pt>
                <c:pt idx="689">
                  <c:v>12.038899999999884</c:v>
                </c:pt>
                <c:pt idx="690">
                  <c:v>12.038999999999884</c:v>
                </c:pt>
                <c:pt idx="691">
                  <c:v>12.039099999999884</c:v>
                </c:pt>
                <c:pt idx="692">
                  <c:v>12.039199999999884</c:v>
                </c:pt>
                <c:pt idx="693">
                  <c:v>12.039299999999884</c:v>
                </c:pt>
                <c:pt idx="694">
                  <c:v>12.039399999999883</c:v>
                </c:pt>
                <c:pt idx="695">
                  <c:v>12.039499999999883</c:v>
                </c:pt>
                <c:pt idx="696">
                  <c:v>12.039599999999883</c:v>
                </c:pt>
                <c:pt idx="697">
                  <c:v>12.039699999999883</c:v>
                </c:pt>
                <c:pt idx="698">
                  <c:v>12.039799999999882</c:v>
                </c:pt>
                <c:pt idx="699">
                  <c:v>12.039899999999882</c:v>
                </c:pt>
                <c:pt idx="700">
                  <c:v>12.039999999999882</c:v>
                </c:pt>
                <c:pt idx="701">
                  <c:v>12.040099999999882</c:v>
                </c:pt>
                <c:pt idx="702">
                  <c:v>12.040199999999881</c:v>
                </c:pt>
                <c:pt idx="703">
                  <c:v>12.040299999999881</c:v>
                </c:pt>
                <c:pt idx="704">
                  <c:v>12.040399999999881</c:v>
                </c:pt>
                <c:pt idx="705">
                  <c:v>12.040499999999881</c:v>
                </c:pt>
                <c:pt idx="706">
                  <c:v>12.040599999999881</c:v>
                </c:pt>
                <c:pt idx="707">
                  <c:v>12.04069999999988</c:v>
                </c:pt>
                <c:pt idx="708">
                  <c:v>12.04079999999988</c:v>
                </c:pt>
                <c:pt idx="709">
                  <c:v>12.04089999999988</c:v>
                </c:pt>
                <c:pt idx="710">
                  <c:v>12.04099999999988</c:v>
                </c:pt>
                <c:pt idx="711">
                  <c:v>12.041099999999879</c:v>
                </c:pt>
                <c:pt idx="712">
                  <c:v>12.041199999999879</c:v>
                </c:pt>
                <c:pt idx="713">
                  <c:v>12.041299999999879</c:v>
                </c:pt>
                <c:pt idx="714">
                  <c:v>12.041399999999879</c:v>
                </c:pt>
                <c:pt idx="715">
                  <c:v>12.041499999999878</c:v>
                </c:pt>
                <c:pt idx="716">
                  <c:v>12.041599999999878</c:v>
                </c:pt>
                <c:pt idx="717">
                  <c:v>12.041699999999878</c:v>
                </c:pt>
                <c:pt idx="718">
                  <c:v>12.041799999999878</c:v>
                </c:pt>
                <c:pt idx="719">
                  <c:v>12.041899999999877</c:v>
                </c:pt>
                <c:pt idx="720">
                  <c:v>12.041999999999877</c:v>
                </c:pt>
                <c:pt idx="721">
                  <c:v>12.042099999999877</c:v>
                </c:pt>
                <c:pt idx="722">
                  <c:v>12.042199999999877</c:v>
                </c:pt>
                <c:pt idx="723">
                  <c:v>12.042299999999877</c:v>
                </c:pt>
                <c:pt idx="724">
                  <c:v>12.042399999999876</c:v>
                </c:pt>
                <c:pt idx="725">
                  <c:v>12.042499999999876</c:v>
                </c:pt>
                <c:pt idx="726">
                  <c:v>12.042599999999876</c:v>
                </c:pt>
                <c:pt idx="727">
                  <c:v>12.042699999999876</c:v>
                </c:pt>
                <c:pt idx="728">
                  <c:v>12.042799999999875</c:v>
                </c:pt>
                <c:pt idx="729">
                  <c:v>12.042899999999875</c:v>
                </c:pt>
                <c:pt idx="730">
                  <c:v>12.042999999999875</c:v>
                </c:pt>
                <c:pt idx="731">
                  <c:v>12.043099999999875</c:v>
                </c:pt>
                <c:pt idx="732">
                  <c:v>12.043199999999874</c:v>
                </c:pt>
                <c:pt idx="733">
                  <c:v>12.043299999999874</c:v>
                </c:pt>
                <c:pt idx="734">
                  <c:v>12.043399999999874</c:v>
                </c:pt>
                <c:pt idx="735">
                  <c:v>12.043499999999874</c:v>
                </c:pt>
                <c:pt idx="736">
                  <c:v>12.043599999999874</c:v>
                </c:pt>
                <c:pt idx="737">
                  <c:v>12.043699999999873</c:v>
                </c:pt>
                <c:pt idx="738">
                  <c:v>12.043799999999873</c:v>
                </c:pt>
                <c:pt idx="739">
                  <c:v>12.043899999999873</c:v>
                </c:pt>
                <c:pt idx="740">
                  <c:v>12.043999999999873</c:v>
                </c:pt>
                <c:pt idx="741">
                  <c:v>12.044099999999872</c:v>
                </c:pt>
                <c:pt idx="742">
                  <c:v>12.044199999999872</c:v>
                </c:pt>
                <c:pt idx="743">
                  <c:v>12.044299999999872</c:v>
                </c:pt>
                <c:pt idx="744">
                  <c:v>12.044399999999872</c:v>
                </c:pt>
                <c:pt idx="745">
                  <c:v>12.044499999999871</c:v>
                </c:pt>
                <c:pt idx="746">
                  <c:v>12.044599999999871</c:v>
                </c:pt>
                <c:pt idx="747">
                  <c:v>12.044699999999871</c:v>
                </c:pt>
                <c:pt idx="748">
                  <c:v>12.044799999999871</c:v>
                </c:pt>
                <c:pt idx="749">
                  <c:v>12.04489999999987</c:v>
                </c:pt>
                <c:pt idx="750">
                  <c:v>12.04499999999987</c:v>
                </c:pt>
                <c:pt idx="751">
                  <c:v>12.04509999999987</c:v>
                </c:pt>
                <c:pt idx="752">
                  <c:v>12.04519999999987</c:v>
                </c:pt>
                <c:pt idx="753">
                  <c:v>12.04529999999987</c:v>
                </c:pt>
                <c:pt idx="754">
                  <c:v>12.045399999999869</c:v>
                </c:pt>
                <c:pt idx="755">
                  <c:v>12.045499999999869</c:v>
                </c:pt>
                <c:pt idx="756">
                  <c:v>12.045599999999869</c:v>
                </c:pt>
                <c:pt idx="757">
                  <c:v>12.045699999999869</c:v>
                </c:pt>
                <c:pt idx="758">
                  <c:v>12.045799999999868</c:v>
                </c:pt>
                <c:pt idx="759">
                  <c:v>12.045899999999868</c:v>
                </c:pt>
                <c:pt idx="760">
                  <c:v>12.045999999999868</c:v>
                </c:pt>
                <c:pt idx="761">
                  <c:v>12.046099999999868</c:v>
                </c:pt>
                <c:pt idx="762">
                  <c:v>12.046199999999867</c:v>
                </c:pt>
                <c:pt idx="763">
                  <c:v>12.046299999999867</c:v>
                </c:pt>
                <c:pt idx="764">
                  <c:v>12.046399999999867</c:v>
                </c:pt>
                <c:pt idx="765">
                  <c:v>12.046499999999867</c:v>
                </c:pt>
                <c:pt idx="766">
                  <c:v>12.046599999999867</c:v>
                </c:pt>
                <c:pt idx="767">
                  <c:v>12.046699999999866</c:v>
                </c:pt>
                <c:pt idx="768">
                  <c:v>12.046799999999866</c:v>
                </c:pt>
                <c:pt idx="769">
                  <c:v>12.046899999999866</c:v>
                </c:pt>
                <c:pt idx="770">
                  <c:v>12.046999999999866</c:v>
                </c:pt>
                <c:pt idx="771">
                  <c:v>12.047099999999865</c:v>
                </c:pt>
                <c:pt idx="772">
                  <c:v>12.047199999999865</c:v>
                </c:pt>
                <c:pt idx="773">
                  <c:v>12.047299999999865</c:v>
                </c:pt>
                <c:pt idx="774">
                  <c:v>12.047399999999865</c:v>
                </c:pt>
                <c:pt idx="775">
                  <c:v>12.047499999999864</c:v>
                </c:pt>
                <c:pt idx="776">
                  <c:v>12.047599999999864</c:v>
                </c:pt>
                <c:pt idx="777">
                  <c:v>12.047699999999864</c:v>
                </c:pt>
                <c:pt idx="778">
                  <c:v>12.047799999999864</c:v>
                </c:pt>
                <c:pt idx="779">
                  <c:v>12.047899999999863</c:v>
                </c:pt>
                <c:pt idx="780">
                  <c:v>12.047999999999863</c:v>
                </c:pt>
                <c:pt idx="781">
                  <c:v>12.048099999999863</c:v>
                </c:pt>
                <c:pt idx="782">
                  <c:v>12.048199999999863</c:v>
                </c:pt>
                <c:pt idx="783">
                  <c:v>12.048299999999863</c:v>
                </c:pt>
                <c:pt idx="784">
                  <c:v>12.048399999999862</c:v>
                </c:pt>
                <c:pt idx="785">
                  <c:v>12.048499999999862</c:v>
                </c:pt>
                <c:pt idx="786">
                  <c:v>12.048599999999862</c:v>
                </c:pt>
                <c:pt idx="787">
                  <c:v>12.048699999999862</c:v>
                </c:pt>
                <c:pt idx="788">
                  <c:v>12.048799999999861</c:v>
                </c:pt>
                <c:pt idx="789">
                  <c:v>12.048899999999861</c:v>
                </c:pt>
                <c:pt idx="790">
                  <c:v>12.048999999999861</c:v>
                </c:pt>
                <c:pt idx="791">
                  <c:v>12.049099999999861</c:v>
                </c:pt>
                <c:pt idx="792">
                  <c:v>12.04919999999986</c:v>
                </c:pt>
                <c:pt idx="793">
                  <c:v>12.04929999999986</c:v>
                </c:pt>
                <c:pt idx="794">
                  <c:v>12.04939999999986</c:v>
                </c:pt>
                <c:pt idx="795">
                  <c:v>12.04949999999986</c:v>
                </c:pt>
                <c:pt idx="796">
                  <c:v>12.04959999999986</c:v>
                </c:pt>
                <c:pt idx="797">
                  <c:v>12.049699999999859</c:v>
                </c:pt>
                <c:pt idx="798">
                  <c:v>12.049799999999859</c:v>
                </c:pt>
                <c:pt idx="799">
                  <c:v>12.049899999999859</c:v>
                </c:pt>
                <c:pt idx="800">
                  <c:v>12.049999999999859</c:v>
                </c:pt>
                <c:pt idx="801">
                  <c:v>12.050099999999858</c:v>
                </c:pt>
                <c:pt idx="802">
                  <c:v>12.050199999999858</c:v>
                </c:pt>
                <c:pt idx="803">
                  <c:v>12.050299999999858</c:v>
                </c:pt>
                <c:pt idx="804">
                  <c:v>12.050399999999858</c:v>
                </c:pt>
                <c:pt idx="805">
                  <c:v>12.050499999999857</c:v>
                </c:pt>
                <c:pt idx="806">
                  <c:v>12.050599999999857</c:v>
                </c:pt>
                <c:pt idx="807">
                  <c:v>12.050699999999857</c:v>
                </c:pt>
                <c:pt idx="808">
                  <c:v>12.050799999999857</c:v>
                </c:pt>
                <c:pt idx="809">
                  <c:v>12.050899999999857</c:v>
                </c:pt>
                <c:pt idx="810">
                  <c:v>12.050999999999856</c:v>
                </c:pt>
                <c:pt idx="811">
                  <c:v>12.051099999999856</c:v>
                </c:pt>
                <c:pt idx="812">
                  <c:v>12.051199999999856</c:v>
                </c:pt>
                <c:pt idx="813">
                  <c:v>12.051299999999856</c:v>
                </c:pt>
                <c:pt idx="814">
                  <c:v>12.051399999999855</c:v>
                </c:pt>
                <c:pt idx="815">
                  <c:v>12.051499999999855</c:v>
                </c:pt>
                <c:pt idx="816">
                  <c:v>12.051599999999855</c:v>
                </c:pt>
                <c:pt idx="817">
                  <c:v>12.051699999999855</c:v>
                </c:pt>
                <c:pt idx="818">
                  <c:v>12.051799999999854</c:v>
                </c:pt>
                <c:pt idx="819">
                  <c:v>12.051899999999854</c:v>
                </c:pt>
                <c:pt idx="820">
                  <c:v>12.051999999999854</c:v>
                </c:pt>
                <c:pt idx="821">
                  <c:v>12.052099999999854</c:v>
                </c:pt>
                <c:pt idx="822">
                  <c:v>12.052199999999853</c:v>
                </c:pt>
                <c:pt idx="823">
                  <c:v>12.052299999999853</c:v>
                </c:pt>
                <c:pt idx="824">
                  <c:v>12.052399999999853</c:v>
                </c:pt>
                <c:pt idx="825">
                  <c:v>12.052499999999853</c:v>
                </c:pt>
                <c:pt idx="826">
                  <c:v>12.052599999999853</c:v>
                </c:pt>
                <c:pt idx="827">
                  <c:v>12.052699999999852</c:v>
                </c:pt>
                <c:pt idx="828">
                  <c:v>12.052799999999852</c:v>
                </c:pt>
                <c:pt idx="829">
                  <c:v>12.052899999999852</c:v>
                </c:pt>
                <c:pt idx="830">
                  <c:v>12.052999999999852</c:v>
                </c:pt>
                <c:pt idx="831">
                  <c:v>12.053099999999851</c:v>
                </c:pt>
                <c:pt idx="832">
                  <c:v>12.053199999999851</c:v>
                </c:pt>
                <c:pt idx="833">
                  <c:v>12.053299999999851</c:v>
                </c:pt>
                <c:pt idx="834">
                  <c:v>12.053399999999851</c:v>
                </c:pt>
                <c:pt idx="835">
                  <c:v>12.05349999999985</c:v>
                </c:pt>
                <c:pt idx="836">
                  <c:v>12.05359999999985</c:v>
                </c:pt>
                <c:pt idx="837">
                  <c:v>12.05369999999985</c:v>
                </c:pt>
                <c:pt idx="838">
                  <c:v>12.05379999999985</c:v>
                </c:pt>
                <c:pt idx="839">
                  <c:v>12.05389999999985</c:v>
                </c:pt>
                <c:pt idx="840">
                  <c:v>12.053999999999849</c:v>
                </c:pt>
                <c:pt idx="841">
                  <c:v>12.054099999999849</c:v>
                </c:pt>
                <c:pt idx="842">
                  <c:v>12.054199999999849</c:v>
                </c:pt>
                <c:pt idx="843">
                  <c:v>12.054299999999849</c:v>
                </c:pt>
                <c:pt idx="844">
                  <c:v>12.054399999999848</c:v>
                </c:pt>
                <c:pt idx="845">
                  <c:v>12.054499999999848</c:v>
                </c:pt>
                <c:pt idx="846">
                  <c:v>12.054599999999848</c:v>
                </c:pt>
                <c:pt idx="847">
                  <c:v>12.054699999999848</c:v>
                </c:pt>
                <c:pt idx="848">
                  <c:v>12.054799999999847</c:v>
                </c:pt>
                <c:pt idx="849">
                  <c:v>12.054899999999847</c:v>
                </c:pt>
                <c:pt idx="850">
                  <c:v>12.054999999999847</c:v>
                </c:pt>
                <c:pt idx="851">
                  <c:v>12.055099999999847</c:v>
                </c:pt>
                <c:pt idx="852">
                  <c:v>12.055199999999846</c:v>
                </c:pt>
                <c:pt idx="853">
                  <c:v>12.055299999999846</c:v>
                </c:pt>
                <c:pt idx="854">
                  <c:v>12.055399999999846</c:v>
                </c:pt>
                <c:pt idx="855">
                  <c:v>12.055499999999846</c:v>
                </c:pt>
                <c:pt idx="856">
                  <c:v>12.055599999999846</c:v>
                </c:pt>
                <c:pt idx="857">
                  <c:v>12.055699999999845</c:v>
                </c:pt>
                <c:pt idx="858">
                  <c:v>12.055799999999845</c:v>
                </c:pt>
                <c:pt idx="859">
                  <c:v>12.055899999999845</c:v>
                </c:pt>
                <c:pt idx="860">
                  <c:v>12.055999999999845</c:v>
                </c:pt>
                <c:pt idx="861">
                  <c:v>12.056099999999844</c:v>
                </c:pt>
                <c:pt idx="862">
                  <c:v>12.056199999999844</c:v>
                </c:pt>
                <c:pt idx="863">
                  <c:v>12.056299999999844</c:v>
                </c:pt>
                <c:pt idx="864">
                  <c:v>12.056399999999844</c:v>
                </c:pt>
                <c:pt idx="865">
                  <c:v>12.056499999999843</c:v>
                </c:pt>
                <c:pt idx="866">
                  <c:v>12.056599999999843</c:v>
                </c:pt>
                <c:pt idx="867">
                  <c:v>12.056699999999843</c:v>
                </c:pt>
                <c:pt idx="868">
                  <c:v>12.056799999999843</c:v>
                </c:pt>
                <c:pt idx="869">
                  <c:v>12.056899999999843</c:v>
                </c:pt>
                <c:pt idx="870">
                  <c:v>12.056999999999842</c:v>
                </c:pt>
                <c:pt idx="871">
                  <c:v>12.057099999999842</c:v>
                </c:pt>
                <c:pt idx="872">
                  <c:v>12.057199999999842</c:v>
                </c:pt>
                <c:pt idx="873">
                  <c:v>12.057299999999842</c:v>
                </c:pt>
                <c:pt idx="874">
                  <c:v>12.057399999999841</c:v>
                </c:pt>
                <c:pt idx="875">
                  <c:v>12.057499999999841</c:v>
                </c:pt>
                <c:pt idx="876">
                  <c:v>12.057599999999841</c:v>
                </c:pt>
                <c:pt idx="877">
                  <c:v>12.057699999999841</c:v>
                </c:pt>
                <c:pt idx="878">
                  <c:v>12.05779999999984</c:v>
                </c:pt>
                <c:pt idx="879">
                  <c:v>12.05789999999984</c:v>
                </c:pt>
                <c:pt idx="880">
                  <c:v>12.05799999999984</c:v>
                </c:pt>
                <c:pt idx="881">
                  <c:v>12.05809999999984</c:v>
                </c:pt>
                <c:pt idx="882">
                  <c:v>12.058199999999839</c:v>
                </c:pt>
                <c:pt idx="883">
                  <c:v>12.058299999999839</c:v>
                </c:pt>
                <c:pt idx="884">
                  <c:v>12.058399999999839</c:v>
                </c:pt>
                <c:pt idx="885">
                  <c:v>12.058499999999839</c:v>
                </c:pt>
                <c:pt idx="886">
                  <c:v>12.058599999999839</c:v>
                </c:pt>
                <c:pt idx="887">
                  <c:v>12.058699999999838</c:v>
                </c:pt>
                <c:pt idx="888">
                  <c:v>12.058799999999838</c:v>
                </c:pt>
                <c:pt idx="889">
                  <c:v>12.058899999999838</c:v>
                </c:pt>
                <c:pt idx="890">
                  <c:v>12.058999999999838</c:v>
                </c:pt>
                <c:pt idx="891">
                  <c:v>12.059099999999837</c:v>
                </c:pt>
                <c:pt idx="892">
                  <c:v>12.059199999999837</c:v>
                </c:pt>
                <c:pt idx="893">
                  <c:v>12.059299999999837</c:v>
                </c:pt>
                <c:pt idx="894">
                  <c:v>12.059399999999837</c:v>
                </c:pt>
                <c:pt idx="895">
                  <c:v>12.059499999999836</c:v>
                </c:pt>
                <c:pt idx="896">
                  <c:v>12.059599999999836</c:v>
                </c:pt>
                <c:pt idx="897">
                  <c:v>12.059699999999836</c:v>
                </c:pt>
                <c:pt idx="898">
                  <c:v>12.059799999999836</c:v>
                </c:pt>
                <c:pt idx="899">
                  <c:v>12.059899999999836</c:v>
                </c:pt>
                <c:pt idx="900">
                  <c:v>12.059999999999835</c:v>
                </c:pt>
                <c:pt idx="901">
                  <c:v>12.060099999999835</c:v>
                </c:pt>
                <c:pt idx="902">
                  <c:v>12.060199999999835</c:v>
                </c:pt>
                <c:pt idx="903">
                  <c:v>12.060299999999835</c:v>
                </c:pt>
                <c:pt idx="904">
                  <c:v>12.060399999999834</c:v>
                </c:pt>
                <c:pt idx="905">
                  <c:v>12.060499999999834</c:v>
                </c:pt>
                <c:pt idx="906">
                  <c:v>12.060599999999834</c:v>
                </c:pt>
                <c:pt idx="907">
                  <c:v>12.060699999999834</c:v>
                </c:pt>
                <c:pt idx="908">
                  <c:v>12.060799999999833</c:v>
                </c:pt>
                <c:pt idx="909">
                  <c:v>12.060899999999833</c:v>
                </c:pt>
                <c:pt idx="910">
                  <c:v>12.060999999999833</c:v>
                </c:pt>
                <c:pt idx="911">
                  <c:v>12.061099999999833</c:v>
                </c:pt>
                <c:pt idx="912">
                  <c:v>12.061199999999832</c:v>
                </c:pt>
                <c:pt idx="913">
                  <c:v>12.061299999999832</c:v>
                </c:pt>
                <c:pt idx="914">
                  <c:v>12.061399999999832</c:v>
                </c:pt>
                <c:pt idx="915">
                  <c:v>12.061499999999832</c:v>
                </c:pt>
                <c:pt idx="916">
                  <c:v>12.061599999999832</c:v>
                </c:pt>
                <c:pt idx="917">
                  <c:v>12.061699999999831</c:v>
                </c:pt>
                <c:pt idx="918">
                  <c:v>12.061799999999831</c:v>
                </c:pt>
                <c:pt idx="919">
                  <c:v>12.061899999999831</c:v>
                </c:pt>
                <c:pt idx="920">
                  <c:v>12.061999999999831</c:v>
                </c:pt>
                <c:pt idx="921">
                  <c:v>12.06209999999983</c:v>
                </c:pt>
                <c:pt idx="922">
                  <c:v>12.06219999999983</c:v>
                </c:pt>
                <c:pt idx="923">
                  <c:v>12.06229999999983</c:v>
                </c:pt>
                <c:pt idx="924">
                  <c:v>12.06239999999983</c:v>
                </c:pt>
                <c:pt idx="925">
                  <c:v>12.062499999999829</c:v>
                </c:pt>
                <c:pt idx="926">
                  <c:v>12.062599999999829</c:v>
                </c:pt>
                <c:pt idx="927">
                  <c:v>12.062699999999829</c:v>
                </c:pt>
                <c:pt idx="928">
                  <c:v>12.062799999999829</c:v>
                </c:pt>
                <c:pt idx="929">
                  <c:v>12.062899999999829</c:v>
                </c:pt>
                <c:pt idx="930">
                  <c:v>12.062999999999828</c:v>
                </c:pt>
                <c:pt idx="931">
                  <c:v>12.063099999999828</c:v>
                </c:pt>
                <c:pt idx="932">
                  <c:v>12.063199999999828</c:v>
                </c:pt>
                <c:pt idx="933">
                  <c:v>12.063299999999828</c:v>
                </c:pt>
                <c:pt idx="934">
                  <c:v>12.063399999999827</c:v>
                </c:pt>
                <c:pt idx="935">
                  <c:v>12.063499999999827</c:v>
                </c:pt>
                <c:pt idx="936">
                  <c:v>12.063599999999827</c:v>
                </c:pt>
                <c:pt idx="937">
                  <c:v>12.063699999999827</c:v>
                </c:pt>
                <c:pt idx="938">
                  <c:v>12.063799999999826</c:v>
                </c:pt>
                <c:pt idx="939">
                  <c:v>12.063899999999826</c:v>
                </c:pt>
                <c:pt idx="940">
                  <c:v>12.063999999999826</c:v>
                </c:pt>
                <c:pt idx="941">
                  <c:v>12.064099999999826</c:v>
                </c:pt>
                <c:pt idx="942">
                  <c:v>12.064199999999826</c:v>
                </c:pt>
                <c:pt idx="943">
                  <c:v>12.064299999999825</c:v>
                </c:pt>
                <c:pt idx="944">
                  <c:v>12.064399999999825</c:v>
                </c:pt>
                <c:pt idx="945">
                  <c:v>12.064499999999825</c:v>
                </c:pt>
                <c:pt idx="946">
                  <c:v>12.064599999999825</c:v>
                </c:pt>
                <c:pt idx="947">
                  <c:v>12.064699999999824</c:v>
                </c:pt>
                <c:pt idx="948">
                  <c:v>12.064799999999824</c:v>
                </c:pt>
                <c:pt idx="949">
                  <c:v>12.064899999999824</c:v>
                </c:pt>
                <c:pt idx="950">
                  <c:v>12.064999999999824</c:v>
                </c:pt>
                <c:pt idx="951">
                  <c:v>12.065099999999823</c:v>
                </c:pt>
                <c:pt idx="952">
                  <c:v>12.065199999999823</c:v>
                </c:pt>
                <c:pt idx="953">
                  <c:v>12.065299999999823</c:v>
                </c:pt>
                <c:pt idx="954">
                  <c:v>12.065399999999823</c:v>
                </c:pt>
                <c:pt idx="955">
                  <c:v>12.065499999999822</c:v>
                </c:pt>
                <c:pt idx="956">
                  <c:v>12.065599999999822</c:v>
                </c:pt>
                <c:pt idx="957">
                  <c:v>12.065699999999822</c:v>
                </c:pt>
                <c:pt idx="958">
                  <c:v>12.065799999999822</c:v>
                </c:pt>
                <c:pt idx="959">
                  <c:v>12.065899999999822</c:v>
                </c:pt>
                <c:pt idx="960">
                  <c:v>12.065999999999821</c:v>
                </c:pt>
                <c:pt idx="961">
                  <c:v>12.066099999999821</c:v>
                </c:pt>
                <c:pt idx="962">
                  <c:v>12.066199999999821</c:v>
                </c:pt>
                <c:pt idx="963">
                  <c:v>12.066299999999821</c:v>
                </c:pt>
                <c:pt idx="964">
                  <c:v>12.06639999999982</c:v>
                </c:pt>
                <c:pt idx="965">
                  <c:v>12.06649999999982</c:v>
                </c:pt>
                <c:pt idx="966">
                  <c:v>12.06659999999982</c:v>
                </c:pt>
                <c:pt idx="967">
                  <c:v>12.06669999999982</c:v>
                </c:pt>
                <c:pt idx="968">
                  <c:v>12.066799999999819</c:v>
                </c:pt>
                <c:pt idx="969">
                  <c:v>12.066899999999819</c:v>
                </c:pt>
                <c:pt idx="970">
                  <c:v>12.066999999999819</c:v>
                </c:pt>
                <c:pt idx="971">
                  <c:v>12.067099999999819</c:v>
                </c:pt>
                <c:pt idx="972">
                  <c:v>12.067199999999819</c:v>
                </c:pt>
                <c:pt idx="973">
                  <c:v>12.067299999999818</c:v>
                </c:pt>
                <c:pt idx="974">
                  <c:v>12.067399999999818</c:v>
                </c:pt>
                <c:pt idx="975">
                  <c:v>12.067499999999818</c:v>
                </c:pt>
                <c:pt idx="976">
                  <c:v>12.067599999999818</c:v>
                </c:pt>
                <c:pt idx="977">
                  <c:v>12.067699999999817</c:v>
                </c:pt>
                <c:pt idx="978">
                  <c:v>12.067799999999817</c:v>
                </c:pt>
                <c:pt idx="979">
                  <c:v>12.067899999999817</c:v>
                </c:pt>
                <c:pt idx="980">
                  <c:v>12.067999999999817</c:v>
                </c:pt>
                <c:pt idx="981">
                  <c:v>12.068099999999816</c:v>
                </c:pt>
                <c:pt idx="982">
                  <c:v>12.068199999999816</c:v>
                </c:pt>
                <c:pt idx="983">
                  <c:v>12.068299999999816</c:v>
                </c:pt>
                <c:pt idx="984">
                  <c:v>12.068399999999816</c:v>
                </c:pt>
                <c:pt idx="985">
                  <c:v>12.068499999999815</c:v>
                </c:pt>
                <c:pt idx="986">
                  <c:v>12.068599999999815</c:v>
                </c:pt>
                <c:pt idx="987">
                  <c:v>12.068699999999815</c:v>
                </c:pt>
                <c:pt idx="988">
                  <c:v>12.068799999999815</c:v>
                </c:pt>
                <c:pt idx="989">
                  <c:v>12.068899999999815</c:v>
                </c:pt>
                <c:pt idx="990">
                  <c:v>12.068999999999814</c:v>
                </c:pt>
                <c:pt idx="991">
                  <c:v>12.069099999999814</c:v>
                </c:pt>
                <c:pt idx="992">
                  <c:v>12.069199999999814</c:v>
                </c:pt>
                <c:pt idx="993">
                  <c:v>12.069299999999814</c:v>
                </c:pt>
                <c:pt idx="994">
                  <c:v>12.069399999999813</c:v>
                </c:pt>
                <c:pt idx="995">
                  <c:v>12.069499999999813</c:v>
                </c:pt>
                <c:pt idx="996">
                  <c:v>12.069599999999813</c:v>
                </c:pt>
                <c:pt idx="997">
                  <c:v>12.069699999999813</c:v>
                </c:pt>
                <c:pt idx="998">
                  <c:v>12.069799999999812</c:v>
                </c:pt>
                <c:pt idx="999">
                  <c:v>12.069899999999812</c:v>
                </c:pt>
                <c:pt idx="1000">
                  <c:v>12.069999999999812</c:v>
                </c:pt>
              </c:numCache>
            </c:numRef>
          </c:xVal>
          <c:yVal>
            <c:numRef>
              <c:f>Calculs!$AG$4:$AG$1004</c:f>
              <c:numCache>
                <c:formatCode>0.00</c:formatCode>
                <c:ptCount val="1001"/>
                <c:pt idx="0">
                  <c:v>0</c:v>
                </c:pt>
                <c:pt idx="1">
                  <c:v>19.168299620707828</c:v>
                </c:pt>
                <c:pt idx="2">
                  <c:v>77.090220681585279</c:v>
                </c:pt>
                <c:pt idx="3">
                  <c:v>101.47638606375199</c:v>
                </c:pt>
                <c:pt idx="4">
                  <c:v>92.257048590064116</c:v>
                </c:pt>
                <c:pt idx="5">
                  <c:v>87.463763466674635</c:v>
                </c:pt>
                <c:pt idx="6">
                  <c:v>87.106263257389884</c:v>
                </c:pt>
                <c:pt idx="7">
                  <c:v>86.746324452722916</c:v>
                </c:pt>
                <c:pt idx="8">
                  <c:v>86.383969281514027</c:v>
                </c:pt>
                <c:pt idx="9">
                  <c:v>86.019220169020471</c:v>
                </c:pt>
                <c:pt idx="10">
                  <c:v>85.652099732043993</c:v>
                </c:pt>
                <c:pt idx="11">
                  <c:v>85.282630774028434</c:v>
                </c:pt>
                <c:pt idx="12">
                  <c:v>84.910836280129715</c:v>
                </c:pt>
                <c:pt idx="13">
                  <c:v>84.536739412259337</c:v>
                </c:pt>
                <c:pt idx="14">
                  <c:v>84.160363504104055</c:v>
                </c:pt>
                <c:pt idx="15">
                  <c:v>83.781732056122806</c:v>
                </c:pt>
                <c:pt idx="16">
                  <c:v>83.400868730523143</c:v>
                </c:pt>
                <c:pt idx="17">
                  <c:v>83.017797346218885</c:v>
                </c:pt>
                <c:pt idx="18">
                  <c:v>82.632541873770805</c:v>
                </c:pt>
                <c:pt idx="19">
                  <c:v>82.245126430312141</c:v>
                </c:pt>
                <c:pt idx="20">
                  <c:v>81.855575274460776</c:v>
                </c:pt>
                <c:pt idx="21">
                  <c:v>81.463912801219877</c:v>
                </c:pt>
                <c:pt idx="22">
                  <c:v>81.070163536868861</c:v>
                </c:pt>
                <c:pt idx="23">
                  <c:v>80.674352133846369</c:v>
                </c:pt>
                <c:pt idx="24">
                  <c:v>80.276503365626994</c:v>
                </c:pt>
                <c:pt idx="25">
                  <c:v>79.876642121593818</c:v>
                </c:pt>
                <c:pt idx="26">
                  <c:v>79.474793401908087</c:v>
                </c:pt>
                <c:pt idx="27">
                  <c:v>79.071322325257597</c:v>
                </c:pt>
                <c:pt idx="28">
                  <c:v>78.665908752114177</c:v>
                </c:pt>
                <c:pt idx="29">
                  <c:v>78.258574423518851</c:v>
                </c:pt>
                <c:pt idx="30">
                  <c:v>77.849345278627965</c:v>
                </c:pt>
                <c:pt idx="31">
                  <c:v>77.438247288829771</c:v>
                </c:pt>
                <c:pt idx="32">
                  <c:v>77.025306459299173</c:v>
                </c:pt>
                <c:pt idx="33">
                  <c:v>76.610548829539866</c:v>
                </c:pt>
                <c:pt idx="34">
                  <c:v>76.194000473098953</c:v>
                </c:pt>
                <c:pt idx="35">
                  <c:v>75.775687496601691</c:v>
                </c:pt>
                <c:pt idx="36">
                  <c:v>75.355636038224986</c:v>
                </c:pt>
                <c:pt idx="37">
                  <c:v>74.933872265705844</c:v>
                </c:pt>
                <c:pt idx="38">
                  <c:v>74.510422373962854</c:v>
                </c:pt>
                <c:pt idx="39">
                  <c:v>74.085312582395701</c:v>
                </c:pt>
                <c:pt idx="40">
                  <c:v>73.658569131915144</c:v>
                </c:pt>
                <c:pt idx="41">
                  <c:v>73.230218281748407</c:v>
                </c:pt>
                <c:pt idx="42">
                  <c:v>72.800286306056279</c:v>
                </c:pt>
                <c:pt idx="43">
                  <c:v>72.368799490393869</c:v>
                </c:pt>
                <c:pt idx="44">
                  <c:v>71.935784128040538</c:v>
                </c:pt>
                <c:pt idx="45">
                  <c:v>71.501266516222103</c:v>
                </c:pt>
                <c:pt idx="46">
                  <c:v>71.065272952244058</c:v>
                </c:pt>
                <c:pt idx="47">
                  <c:v>70.627829729552332</c:v>
                </c:pt>
                <c:pt idx="48">
                  <c:v>70.188963133736067</c:v>
                </c:pt>
                <c:pt idx="49">
                  <c:v>69.74869943848438</c:v>
                </c:pt>
                <c:pt idx="50">
                  <c:v>69.307064901508213</c:v>
                </c:pt>
                <c:pt idx="51">
                  <c:v>68.864085760436581</c:v>
                </c:pt>
                <c:pt idx="52">
                  <c:v>68.419788228695325</c:v>
                </c:pt>
                <c:pt idx="53">
                  <c:v>67.974198491376015</c:v>
                </c:pt>
                <c:pt idx="54">
                  <c:v>67.527342701101389</c:v>
                </c:pt>
                <c:pt idx="55">
                  <c:v>67.079246973893063</c:v>
                </c:pt>
                <c:pt idx="56">
                  <c:v>66.629937385046603</c:v>
                </c:pt>
                <c:pt idx="57">
                  <c:v>66.179439965019114</c:v>
                </c:pt>
                <c:pt idx="58">
                  <c:v>65.727780695332811</c:v>
                </c:pt>
                <c:pt idx="59">
                  <c:v>65.274985504498929</c:v>
                </c:pt>
                <c:pt idx="60">
                  <c:v>64.821080263965243</c:v>
                </c:pt>
                <c:pt idx="61">
                  <c:v>64.366090784090204</c:v>
                </c:pt>
                <c:pt idx="62">
                  <c:v>63.910042810146749</c:v>
                </c:pt>
                <c:pt idx="63">
                  <c:v>63.062518192639601</c:v>
                </c:pt>
                <c:pt idx="64">
                  <c:v>61.823407317005909</c:v>
                </c:pt>
                <c:pt idx="65">
                  <c:v>60.58339222774719</c:v>
                </c:pt>
                <c:pt idx="66">
                  <c:v>59.342555418939256</c:v>
                </c:pt>
                <c:pt idx="67">
                  <c:v>57.742872252845274</c:v>
                </c:pt>
                <c:pt idx="68">
                  <c:v>55.784370364542902</c:v>
                </c:pt>
                <c:pt idx="69">
                  <c:v>53.188412491990213</c:v>
                </c:pt>
                <c:pt idx="70">
                  <c:v>49.955148552665136</c:v>
                </c:pt>
                <c:pt idx="71">
                  <c:v>46.722327064861595</c:v>
                </c:pt>
                <c:pt idx="72">
                  <c:v>43.490235594503574</c:v>
                </c:pt>
                <c:pt idx="73">
                  <c:v>40.259153500209258</c:v>
                </c:pt>
                <c:pt idx="74">
                  <c:v>37.029351877104155</c:v>
                </c:pt>
                <c:pt idx="75">
                  <c:v>33.801093506827655</c:v>
                </c:pt>
                <c:pt idx="76">
                  <c:v>30.574632813608311</c:v>
                </c:pt>
                <c:pt idx="77">
                  <c:v>27.350215826277612</c:v>
                </c:pt>
                <c:pt idx="78">
                  <c:v>24.128080146085875</c:v>
                </c:pt>
                <c:pt idx="79">
                  <c:v>20.908454920179398</c:v>
                </c:pt>
                <c:pt idx="80">
                  <c:v>17.691560820592926</c:v>
                </c:pt>
                <c:pt idx="81">
                  <c:v>15.236181321156186</c:v>
                </c:pt>
                <c:pt idx="82">
                  <c:v>13.541823241894836</c:v>
                </c:pt>
                <c:pt idx="83">
                  <c:v>11.84912633557124</c:v>
                </c:pt>
                <c:pt idx="84">
                  <c:v>10.158151400144478</c:v>
                </c:pt>
                <c:pt idx="85">
                  <c:v>8.4689568540204903</c:v>
                </c:pt>
                <c:pt idx="86">
                  <c:v>6.7815987404071674</c:v>
                </c:pt>
                <c:pt idx="87">
                  <c:v>5.0961307323994927</c:v>
                </c:pt>
                <c:pt idx="88">
                  <c:v>3.4126041387695363</c:v>
                </c:pt>
                <c:pt idx="89">
                  <c:v>1.9708178420807947</c:v>
                </c:pt>
                <c:pt idx="90">
                  <c:v>0.77053742827586902</c:v>
                </c:pt>
                <c:pt idx="91">
                  <c:v>-0.42827228905321135</c:v>
                </c:pt>
                <c:pt idx="92">
                  <c:v>-1.6255897898406477</c:v>
                </c:pt>
                <c:pt idx="93">
                  <c:v>-2.7614425159500584</c:v>
                </c:pt>
                <c:pt idx="94">
                  <c:v>-3.8358867638640106</c:v>
                </c:pt>
                <c:pt idx="95">
                  <c:v>-4.9089406466811081</c:v>
                </c:pt>
                <c:pt idx="96">
                  <c:v>-5.9805909366904668</c:v>
                </c:pt>
                <c:pt idx="97">
                  <c:v>-6.8109793986458156</c:v>
                </c:pt>
                <c:pt idx="98">
                  <c:v>-7.40041364548917</c:v>
                </c:pt>
                <c:pt idx="99">
                  <c:v>-7.9890683238818507</c:v>
                </c:pt>
                <c:pt idx="100">
                  <c:v>-8.5769423347637108</c:v>
                </c:pt>
                <c:pt idx="101">
                  <c:v>-9.1640348537975438</c:v>
                </c:pt>
                <c:pt idx="102">
                  <c:v>-9.7503453297179075</c:v>
                </c:pt>
                <c:pt idx="103">
                  <c:v>-10.335873482673092</c:v>
                </c:pt>
                <c:pt idx="104">
                  <c:v>-10.920619302560963</c:v>
                </c:pt>
                <c:pt idx="105">
                  <c:v>-11.504583047359848</c:v>
                </c:pt>
                <c:pt idx="106">
                  <c:v>-12.087765241455251</c:v>
                </c:pt>
                <c:pt idx="107">
                  <c:v>-12.670166673963422</c:v>
                </c:pt>
                <c:pt idx="108">
                  <c:v>-13.251788397052589</c:v>
                </c:pt>
                <c:pt idx="109">
                  <c:v>-13.532777349262656</c:v>
                </c:pt>
                <c:pt idx="110">
                  <c:v>-13.513561621076709</c:v>
                </c:pt>
                <c:pt idx="111">
                  <c:v>-13.494420797469424</c:v>
                </c:pt>
                <c:pt idx="112">
                  <c:v>-13.475354544979822</c:v>
                </c:pt>
                <c:pt idx="113">
                  <c:v>-13.456362531971767</c:v>
                </c:pt>
                <c:pt idx="114">
                  <c:v>-13.437444428619678</c:v>
                </c:pt>
                <c:pt idx="115">
                  <c:v>-13.41859990689438</c:v>
                </c:pt>
                <c:pt idx="116">
                  <c:v>-13.399828640549003</c:v>
                </c:pt>
                <c:pt idx="117">
                  <c:v>-13.381130305104971</c:v>
                </c:pt>
                <c:pt idx="118">
                  <c:v>-13.362504577838102</c:v>
                </c:pt>
                <c:pt idx="119">
                  <c:v>-13.343951137764764</c:v>
                </c:pt>
                <c:pt idx="120">
                  <c:v>-13.32546966562813</c:v>
                </c:pt>
                <c:pt idx="121">
                  <c:v>-13.30705984388452</c:v>
                </c:pt>
                <c:pt idx="122">
                  <c:v>-13.288721356689797</c:v>
                </c:pt>
                <c:pt idx="123">
                  <c:v>-13.270453889885875</c:v>
                </c:pt>
                <c:pt idx="124">
                  <c:v>-13.252257130987275</c:v>
                </c:pt>
                <c:pt idx="125">
                  <c:v>-13.234130769167795</c:v>
                </c:pt>
                <c:pt idx="126">
                  <c:v>-13.216074495247206</c:v>
                </c:pt>
                <c:pt idx="127">
                  <c:v>-13.198088001678082</c:v>
                </c:pt>
                <c:pt idx="128">
                  <c:v>-13.180170982532646</c:v>
                </c:pt>
                <c:pt idx="129">
                  <c:v>-13.162323133489721</c:v>
                </c:pt>
                <c:pt idx="130">
                  <c:v>-13.144544151821755</c:v>
                </c:pt>
                <c:pt idx="131">
                  <c:v>-13.126833736381895</c:v>
                </c:pt>
                <c:pt idx="132">
                  <c:v>-13.109191587591145</c:v>
                </c:pt>
                <c:pt idx="133">
                  <c:v>-13.091617407425588</c:v>
                </c:pt>
                <c:pt idx="134">
                  <c:v>-13.074110899403665</c:v>
                </c:pt>
                <c:pt idx="135">
                  <c:v>-13.056671768573546</c:v>
                </c:pt>
                <c:pt idx="136">
                  <c:v>-13.03929972150052</c:v>
                </c:pt>
                <c:pt idx="137">
                  <c:v>-13.021994466254494</c:v>
                </c:pt>
                <c:pt idx="138">
                  <c:v>-13.004755712397536</c:v>
                </c:pt>
                <c:pt idx="139">
                  <c:v>-12.987583170971453</c:v>
                </c:pt>
                <c:pt idx="140">
                  <c:v>-12.970476554485469</c:v>
                </c:pt>
                <c:pt idx="141">
                  <c:v>-12.953435576903946</c:v>
                </c:pt>
                <c:pt idx="142">
                  <c:v>-12.936459953634143</c:v>
                </c:pt>
                <c:pt idx="143">
                  <c:v>-12.919549401514058</c:v>
                </c:pt>
                <c:pt idx="144">
                  <c:v>-12.902703638800318</c:v>
                </c:pt>
                <c:pt idx="145">
                  <c:v>-12.885922385156091</c:v>
                </c:pt>
                <c:pt idx="146">
                  <c:v>-12.869205361639111</c:v>
                </c:pt>
                <c:pt idx="147">
                  <c:v>-12.852552290689685</c:v>
                </c:pt>
                <c:pt idx="148">
                  <c:v>-12.835962896118811</c:v>
                </c:pt>
                <c:pt idx="149">
                  <c:v>-12.819436903096307</c:v>
                </c:pt>
                <c:pt idx="150">
                  <c:v>-12.802974038138986</c:v>
                </c:pt>
                <c:pt idx="151">
                  <c:v>-12.786574029098901</c:v>
                </c:pt>
                <c:pt idx="152">
                  <c:v>-12.770236605151625</c:v>
                </c:pt>
                <c:pt idx="153">
                  <c:v>-12.753961496784566</c:v>
                </c:pt>
                <c:pt idx="154">
                  <c:v>-12.737748435785313</c:v>
                </c:pt>
                <c:pt idx="155">
                  <c:v>-12.721597155230086</c:v>
                </c:pt>
                <c:pt idx="156">
                  <c:v>-12.705507389472125</c:v>
                </c:pt>
                <c:pt idx="157">
                  <c:v>-12.689478874130213</c:v>
                </c:pt>
                <c:pt idx="158">
                  <c:v>-12.673511346077184</c:v>
                </c:pt>
                <c:pt idx="159">
                  <c:v>-12.657604543428477</c:v>
                </c:pt>
                <c:pt idx="160">
                  <c:v>-12.64175820553073</c:v>
                </c:pt>
                <c:pt idx="161">
                  <c:v>-12.625972072950409</c:v>
                </c:pt>
                <c:pt idx="162">
                  <c:v>-12.610245887462462</c:v>
                </c:pt>
                <c:pt idx="163">
                  <c:v>-12.594579392039016</c:v>
                </c:pt>
                <c:pt idx="164">
                  <c:v>-12.578972330838081</c:v>
                </c:pt>
                <c:pt idx="165">
                  <c:v>-12.563424449192318</c:v>
                </c:pt>
                <c:pt idx="166">
                  <c:v>-12.547935493597812</c:v>
                </c:pt>
                <c:pt idx="167">
                  <c:v>-12.532505211702849</c:v>
                </c:pt>
                <c:pt idx="168">
                  <c:v>-12.517133352296781</c:v>
                </c:pt>
                <c:pt idx="169">
                  <c:v>-12.501819665298854</c:v>
                </c:pt>
                <c:pt idx="170">
                  <c:v>-12.486563901747083</c:v>
                </c:pt>
                <c:pt idx="171">
                  <c:v>-12.471365813787143</c:v>
                </c:pt>
                <c:pt idx="172">
                  <c:v>-12.456225154661297</c:v>
                </c:pt>
                <c:pt idx="173">
                  <c:v>-12.441141678697315</c:v>
                </c:pt>
                <c:pt idx="174">
                  <c:v>-12.426115141297423</c:v>
                </c:pt>
                <c:pt idx="175">
                  <c:v>-12.411145298927273</c:v>
                </c:pt>
                <c:pt idx="176">
                  <c:v>-12.396231909104921</c:v>
                </c:pt>
                <c:pt idx="177">
                  <c:v>-12.381374730389803</c:v>
                </c:pt>
                <c:pt idx="178">
                  <c:v>-12.366573522371763</c:v>
                </c:pt>
                <c:pt idx="179">
                  <c:v>-12.351828045660042</c:v>
                </c:pt>
                <c:pt idx="180">
                  <c:v>-12.337138061872313</c:v>
                </c:pt>
                <c:pt idx="181">
                  <c:v>-12.3225033336237</c:v>
                </c:pt>
                <c:pt idx="182">
                  <c:v>-12.307923624515817</c:v>
                </c:pt>
                <c:pt idx="183">
                  <c:v>-12.293398699125801</c:v>
                </c:pt>
                <c:pt idx="184">
                  <c:v>-12.278928322995352</c:v>
                </c:pt>
                <c:pt idx="185">
                  <c:v>-12.264512262619778</c:v>
                </c:pt>
                <c:pt idx="186">
                  <c:v>-12.250150285437032</c:v>
                </c:pt>
                <c:pt idx="187">
                  <c:v>-12.23584215981675</c:v>
                </c:pt>
                <c:pt idx="188">
                  <c:v>-12.221587655049282</c:v>
                </c:pt>
                <c:pt idx="189">
                  <c:v>-12.207386541334731</c:v>
                </c:pt>
                <c:pt idx="190">
                  <c:v>-12.193238589771973</c:v>
                </c:pt>
                <c:pt idx="191">
                  <c:v>-12.179143572347668</c:v>
                </c:pt>
                <c:pt idx="192">
                  <c:v>-12.165101261925255</c:v>
                </c:pt>
                <c:pt idx="193">
                  <c:v>-12.151111432233964</c:v>
                </c:pt>
                <c:pt idx="194">
                  <c:v>-12.137173857857793</c:v>
                </c:pt>
                <c:pt idx="195">
                  <c:v>-12.123288314224451</c:v>
                </c:pt>
                <c:pt idx="196">
                  <c:v>-12.109454577594329</c:v>
                </c:pt>
                <c:pt idx="197">
                  <c:v>-12.095672425049417</c:v>
                </c:pt>
                <c:pt idx="198">
                  <c:v>-12.081941634482213</c:v>
                </c:pt>
                <c:pt idx="199">
                  <c:v>-12.068261984584616</c:v>
                </c:pt>
                <c:pt idx="200">
                  <c:v>-12.054633254836784</c:v>
                </c:pt>
                <c:pt idx="201">
                  <c:v>-12.041055225495969</c:v>
                </c:pt>
                <c:pt idx="202">
                  <c:v>-11.907387743498717</c:v>
                </c:pt>
                <c:pt idx="203">
                  <c:v>-11.77861873372329</c:v>
                </c:pt>
                <c:pt idx="204">
                  <c:v>-11.654534439226646</c:v>
                </c:pt>
                <c:pt idx="205">
                  <c:v>-11.53492661336694</c:v>
                </c:pt>
                <c:pt idx="206">
                  <c:v>-11.419591201130281</c:v>
                </c:pt>
                <c:pt idx="207">
                  <c:v>-11.308326911002666</c:v>
                </c:pt>
                <c:pt idx="208">
                  <c:v>-11.20093363889084</c:v>
                </c:pt>
                <c:pt idx="209">
                  <c:v>-11.097210696327007</c:v>
                </c:pt>
                <c:pt idx="210">
                  <c:v>-10.996954782959866</c:v>
                </c:pt>
                <c:pt idx="211">
                  <c:v>-10.899957627126266</c:v>
                </c:pt>
                <c:pt idx="212">
                  <c:v>-10.806003196708824</c:v>
                </c:pt>
                <c:pt idx="213">
                  <c:v>-10.714864353552414</c:v>
                </c:pt>
                <c:pt idx="214">
                  <c:v>-10.626298785668192</c:v>
                </c:pt>
                <c:pt idx="215">
                  <c:v>-10.540043998362579</c:v>
                </c:pt>
                <c:pt idx="216">
                  <c:v>-10.45581107264252</c:v>
                </c:pt>
                <c:pt idx="217">
                  <c:v>-10.373276798585815</c:v>
                </c:pt>
                <c:pt idx="218">
                  <c:v>-10.292073650858768</c:v>
                </c:pt>
                <c:pt idx="219">
                  <c:v>-10.211776875527436</c:v>
                </c:pt>
                <c:pt idx="220">
                  <c:v>-10.131887675345077</c:v>
                </c:pt>
                <c:pt idx="221">
                  <c:v>-10.051811074990626</c:v>
                </c:pt>
                <c:pt idx="222">
                  <c:v>-9.9708264576192143</c:v>
                </c:pt>
                <c:pt idx="223">
                  <c:v>-9.8880478962381932</c:v>
                </c:pt>
                <c:pt idx="224">
                  <c:v>-9.8023701129888678</c:v>
                </c:pt>
                <c:pt idx="225">
                  <c:v>-9.7123939599489422</c:v>
                </c:pt>
                <c:pt idx="226">
                  <c:v>-9.616322371051357</c:v>
                </c:pt>
                <c:pt idx="227">
                  <c:v>-9.5118132283821559</c:v>
                </c:pt>
                <c:pt idx="228">
                  <c:v>-9.395768650986545</c:v>
                </c:pt>
                <c:pt idx="229">
                  <c:v>-9.2640295403749686</c:v>
                </c:pt>
                <c:pt idx="230">
                  <c:v>-9.1109279477115876</c:v>
                </c:pt>
                <c:pt idx="231">
                  <c:v>-8.9286257384592052</c:v>
                </c:pt>
                <c:pt idx="232">
                  <c:v>-8.706134825846382</c:v>
                </c:pt>
                <c:pt idx="233">
                  <c:v>-8.4278765322879412</c:v>
                </c:pt>
                <c:pt idx="234">
                  <c:v>-8.0716217681363602</c:v>
                </c:pt>
                <c:pt idx="235">
                  <c:v>-7.6057525209812935</c:v>
                </c:pt>
                <c:pt idx="236">
                  <c:v>-6.9862662051293034</c:v>
                </c:pt>
                <c:pt idx="237">
                  <c:v>-6.1554339169309955</c:v>
                </c:pt>
                <c:pt idx="238">
                  <c:v>-5.0474563259775556</c:v>
                </c:pt>
                <c:pt idx="239">
                  <c:v>-3.6111660236346443</c:v>
                </c:pt>
                <c:pt idx="240">
                  <c:v>-1.8568431326290338</c:v>
                </c:pt>
                <c:pt idx="241">
                  <c:v>9.5717279237359718E-2</c:v>
                </c:pt>
                <c:pt idx="242">
                  <c:v>2.0323324136876857</c:v>
                </c:pt>
                <c:pt idx="243">
                  <c:v>3.74571705792758</c:v>
                </c:pt>
                <c:pt idx="244">
                  <c:v>5.1297892224662736</c:v>
                </c:pt>
                <c:pt idx="245">
                  <c:v>6.1843460410190945</c:v>
                </c:pt>
                <c:pt idx="246">
                  <c:v>6.9643011462416959</c:v>
                </c:pt>
                <c:pt idx="247">
                  <c:v>7.5353281259415352</c:v>
                </c:pt>
                <c:pt idx="248">
                  <c:v>7.9536964116327749</c:v>
                </c:pt>
                <c:pt idx="249">
                  <c:v>8.2618637515972395</c:v>
                </c:pt>
                <c:pt idx="250">
                  <c:v>8.4902058354012411</c:v>
                </c:pt>
                <c:pt idx="251">
                  <c:v>8.6600456655982079</c:v>
                </c:pt>
                <c:pt idx="252">
                  <c:v>8.7863250674655955</c:v>
                </c:pt>
                <c:pt idx="253">
                  <c:v>8.8795886632299919</c:v>
                </c:pt>
                <c:pt idx="254">
                  <c:v>8.9473641573273444</c:v>
                </c:pt>
                <c:pt idx="255">
                  <c:v>8.9950991323130474</c:v>
                </c:pt>
                <c:pt idx="256">
                  <c:v>9.0267930745705467</c:v>
                </c:pt>
                <c:pt idx="257">
                  <c:v>9.0454252996288034</c:v>
                </c:pt>
                <c:pt idx="258">
                  <c:v>9.0532471565430921</c:v>
                </c:pt>
                <c:pt idx="259">
                  <c:v>9.0519837600557711</c:v>
                </c:pt>
                <c:pt idx="260">
                  <c:v>9.0429749608609011</c:v>
                </c:pt>
                <c:pt idx="261">
                  <c:v>9.0272750927333441</c:v>
                </c:pt>
                <c:pt idx="262">
                  <c:v>9.0057244312117675</c:v>
                </c:pt>
                <c:pt idx="263">
                  <c:v>8.9790010067657846</c:v>
                </c:pt>
                <c:pt idx="264">
                  <c:v>8.947658609874118</c:v>
                </c:pt>
                <c:pt idx="265">
                  <c:v>8.9121549756366765</c:v>
                </c:pt>
                <c:pt idx="266">
                  <c:v>8.8728729035223317</c:v>
                </c:pt>
                <c:pt idx="267">
                  <c:v>8.8301362383838224</c:v>
                </c:pt>
                <c:pt idx="268">
                  <c:v>8.7842220742097634</c:v>
                </c:pt>
                <c:pt idx="269">
                  <c:v>8.7353701534213144</c:v>
                </c:pt>
                <c:pt idx="270">
                  <c:v>8.683790164080289</c:v>
                </c:pt>
                <c:pt idx="271">
                  <c:v>8.6296674471982584</c:v>
                </c:pt>
                <c:pt idx="272">
                  <c:v>8.5731674912286575</c:v>
                </c:pt>
                <c:pt idx="273">
                  <c:v>8.5144394938921177</c:v>
                </c:pt>
                <c:pt idx="274">
                  <c:v>8.453619201283793</c:v>
                </c:pt>
                <c:pt idx="275">
                  <c:v>8.3908311829077906</c:v>
                </c:pt>
                <c:pt idx="276">
                  <c:v>8.3261906634660026</c:v>
                </c:pt>
                <c:pt idx="277">
                  <c:v>8.259805004120242</c:v>
                </c:pt>
                <c:pt idx="278">
                  <c:v>8.1917749048894706</c:v>
                </c:pt>
                <c:pt idx="279">
                  <c:v>8.1221953839496592</c:v>
                </c:pt>
                <c:pt idx="280">
                  <c:v>8.0511565775194995</c:v>
                </c:pt>
                <c:pt idx="281">
                  <c:v>7.9787443947640604</c:v>
                </c:pt>
                <c:pt idx="282">
                  <c:v>7.905041055018927</c:v>
                </c:pt>
                <c:pt idx="283">
                  <c:v>7.8301255291080887</c:v>
                </c:pt>
                <c:pt idx="284">
                  <c:v>7.7540739022143113</c:v>
                </c:pt>
                <c:pt idx="285">
                  <c:v>7.67695967237416</c:v>
                </c:pt>
                <c:pt idx="286">
                  <c:v>7.5988539959967998</c:v>
                </c:pt>
                <c:pt idx="287">
                  <c:v>7.5198258896840979</c:v>
                </c:pt>
                <c:pt idx="288">
                  <c:v>7.4399423959369937</c:v>
                </c:pt>
                <c:pt idx="289">
                  <c:v>7.3592687189756401</c:v>
                </c:pt>
                <c:pt idx="290">
                  <c:v>7.2778683358070655</c:v>
                </c:pt>
                <c:pt idx="291">
                  <c:v>7.1958030867882634</c:v>
                </c:pt>
                <c:pt idx="292">
                  <c:v>7.113133249212134</c:v>
                </c:pt>
                <c:pt idx="293">
                  <c:v>7.0299175968548502</c:v>
                </c:pt>
                <c:pt idx="294">
                  <c:v>6.9462134479399289</c:v>
                </c:pt>
                <c:pt idx="295">
                  <c:v>6.8620767035758998</c:v>
                </c:pt>
                <c:pt idx="296">
                  <c:v>6.7775618783947866</c:v>
                </c:pt>
                <c:pt idx="297">
                  <c:v>6.6927221248444582</c:v>
                </c:pt>
                <c:pt idx="298">
                  <c:v>6.607609252359449</c:v>
                </c:pt>
                <c:pt idx="299">
                  <c:v>6.5222737424431916</c:v>
                </c:pt>
                <c:pt idx="300">
                  <c:v>6.4367647605338068</c:v>
                </c:pt>
                <c:pt idx="301">
                  <c:v>6.3511301653897192</c:v>
                </c:pt>
                <c:pt idx="302">
                  <c:v>6.3510450559807818</c:v>
                </c:pt>
                <c:pt idx="303">
                  <c:v>6.3509599465008613</c:v>
                </c:pt>
                <c:pt idx="304">
                  <c:v>6.3508748369500116</c:v>
                </c:pt>
                <c:pt idx="305">
                  <c:v>6.350789727328273</c:v>
                </c:pt>
                <c:pt idx="306">
                  <c:v>6.3507046176356923</c:v>
                </c:pt>
                <c:pt idx="307">
                  <c:v>6.3506195078723113</c:v>
                </c:pt>
                <c:pt idx="308">
                  <c:v>6.3505343980381799</c:v>
                </c:pt>
                <c:pt idx="309">
                  <c:v>6.3504492881333388</c:v>
                </c:pt>
                <c:pt idx="310">
                  <c:v>6.3503641781578342</c:v>
                </c:pt>
                <c:pt idx="311">
                  <c:v>6.3502790681117141</c:v>
                </c:pt>
                <c:pt idx="312">
                  <c:v>6.3501939579950193</c:v>
                </c:pt>
                <c:pt idx="313">
                  <c:v>6.3501088478077961</c:v>
                </c:pt>
                <c:pt idx="314">
                  <c:v>6.3500237375500905</c:v>
                </c:pt>
                <c:pt idx="315">
                  <c:v>6.3499386272219454</c:v>
                </c:pt>
                <c:pt idx="316">
                  <c:v>6.3498535168234067</c:v>
                </c:pt>
                <c:pt idx="317">
                  <c:v>6.3497684063545208</c:v>
                </c:pt>
                <c:pt idx="318">
                  <c:v>6.349683295815332</c:v>
                </c:pt>
                <c:pt idx="319">
                  <c:v>6.3495981852058812</c:v>
                </c:pt>
                <c:pt idx="320">
                  <c:v>6.3495130745262198</c:v>
                </c:pt>
                <c:pt idx="321">
                  <c:v>6.3494279637763897</c:v>
                </c:pt>
                <c:pt idx="322">
                  <c:v>6.3493428529564353</c:v>
                </c:pt>
                <c:pt idx="323">
                  <c:v>6.3492577420664045</c:v>
                </c:pt>
                <c:pt idx="324">
                  <c:v>6.3491726311063346</c:v>
                </c:pt>
                <c:pt idx="325">
                  <c:v>6.3490875200762789</c:v>
                </c:pt>
                <c:pt idx="326">
                  <c:v>6.3490024089762791</c:v>
                </c:pt>
                <c:pt idx="327">
                  <c:v>6.3489172978063806</c:v>
                </c:pt>
                <c:pt idx="328">
                  <c:v>6.3488321865666268</c:v>
                </c:pt>
                <c:pt idx="329">
                  <c:v>6.3487470752570623</c:v>
                </c:pt>
                <c:pt idx="330">
                  <c:v>6.3486619638777357</c:v>
                </c:pt>
                <c:pt idx="331">
                  <c:v>6.3485768524286907</c:v>
                </c:pt>
                <c:pt idx="332">
                  <c:v>6.3484917409099699</c:v>
                </c:pt>
                <c:pt idx="333">
                  <c:v>6.3484066293216195</c:v>
                </c:pt>
                <c:pt idx="334">
                  <c:v>6.3483215176636847</c:v>
                </c:pt>
                <c:pt idx="335">
                  <c:v>6.3482364059362073</c:v>
                </c:pt>
                <c:pt idx="336">
                  <c:v>6.3481512941392388</c:v>
                </c:pt>
                <c:pt idx="337">
                  <c:v>6.3480661822728202</c:v>
                </c:pt>
                <c:pt idx="338">
                  <c:v>6.3479810703369939</c:v>
                </c:pt>
                <c:pt idx="339">
                  <c:v>6.3478959583318115</c:v>
                </c:pt>
                <c:pt idx="340">
                  <c:v>6.3478108462573104</c:v>
                </c:pt>
                <c:pt idx="341">
                  <c:v>6.3477257341135402</c:v>
                </c:pt>
                <c:pt idx="342">
                  <c:v>6.3476406219005472</c:v>
                </c:pt>
                <c:pt idx="343">
                  <c:v>6.3475555096183722</c:v>
                </c:pt>
                <c:pt idx="344">
                  <c:v>6.3474703972670614</c:v>
                </c:pt>
                <c:pt idx="345">
                  <c:v>6.3473852848466583</c:v>
                </c:pt>
                <c:pt idx="346">
                  <c:v>6.34730017235721</c:v>
                </c:pt>
                <c:pt idx="347">
                  <c:v>6.3472150597987618</c:v>
                </c:pt>
                <c:pt idx="348">
                  <c:v>6.3471299471713563</c:v>
                </c:pt>
                <c:pt idx="349">
                  <c:v>6.3470448344750423</c:v>
                </c:pt>
                <c:pt idx="350">
                  <c:v>6.3469597217098634</c:v>
                </c:pt>
                <c:pt idx="351">
                  <c:v>6.3468746088758596</c:v>
                </c:pt>
                <c:pt idx="352">
                  <c:v>6.346789495973078</c:v>
                </c:pt>
                <c:pt idx="353">
                  <c:v>6.346704383001569</c:v>
                </c:pt>
                <c:pt idx="354">
                  <c:v>6.346619269961371</c:v>
                </c:pt>
                <c:pt idx="355">
                  <c:v>6.3465341568525329</c:v>
                </c:pt>
                <c:pt idx="356">
                  <c:v>6.3464490436751007</c:v>
                </c:pt>
                <c:pt idx="357">
                  <c:v>6.3463639304291135</c:v>
                </c:pt>
                <c:pt idx="358">
                  <c:v>6.3462788171146176</c:v>
                </c:pt>
                <c:pt idx="359">
                  <c:v>6.34619370373166</c:v>
                </c:pt>
                <c:pt idx="360">
                  <c:v>6.3461085902802878</c:v>
                </c:pt>
                <c:pt idx="361">
                  <c:v>6.3460234767605428</c:v>
                </c:pt>
                <c:pt idx="362">
                  <c:v>6.345938363172472</c:v>
                </c:pt>
                <c:pt idx="363">
                  <c:v>6.3458532495161126</c:v>
                </c:pt>
                <c:pt idx="364">
                  <c:v>6.3457681357915208</c:v>
                </c:pt>
                <c:pt idx="365">
                  <c:v>6.345683021998731</c:v>
                </c:pt>
                <c:pt idx="366">
                  <c:v>6.3455979081377993</c:v>
                </c:pt>
                <c:pt idx="367">
                  <c:v>6.3455127942087639</c:v>
                </c:pt>
                <c:pt idx="368">
                  <c:v>6.3454276802116665</c:v>
                </c:pt>
                <c:pt idx="369">
                  <c:v>6.3453425661465594</c:v>
                </c:pt>
                <c:pt idx="370">
                  <c:v>6.3452574520134801</c:v>
                </c:pt>
                <c:pt idx="371">
                  <c:v>6.3451723378124818</c:v>
                </c:pt>
                <c:pt idx="372">
                  <c:v>6.3450872235436027</c:v>
                </c:pt>
                <c:pt idx="373">
                  <c:v>6.3450021092068898</c:v>
                </c:pt>
                <c:pt idx="374">
                  <c:v>6.3449169948023876</c:v>
                </c:pt>
                <c:pt idx="375">
                  <c:v>6.3448318803301405</c:v>
                </c:pt>
                <c:pt idx="376">
                  <c:v>6.3447467657901955</c:v>
                </c:pt>
                <c:pt idx="377">
                  <c:v>6.344661651182598</c:v>
                </c:pt>
                <c:pt idx="378">
                  <c:v>6.3445765365073878</c:v>
                </c:pt>
                <c:pt idx="379">
                  <c:v>6.344491421764614</c:v>
                </c:pt>
                <c:pt idx="380">
                  <c:v>6.3444063069543208</c:v>
                </c:pt>
                <c:pt idx="381">
                  <c:v>6.3443211920765545</c:v>
                </c:pt>
                <c:pt idx="382">
                  <c:v>6.3442360771313542</c:v>
                </c:pt>
                <c:pt idx="383">
                  <c:v>6.3441509621187731</c:v>
                </c:pt>
                <c:pt idx="384">
                  <c:v>6.3440658470388476</c:v>
                </c:pt>
                <c:pt idx="385">
                  <c:v>6.3439807318916301</c:v>
                </c:pt>
                <c:pt idx="386">
                  <c:v>6.343895616677159</c:v>
                </c:pt>
                <c:pt idx="387">
                  <c:v>6.3438105013954846</c:v>
                </c:pt>
                <c:pt idx="388">
                  <c:v>6.3437253860466498</c:v>
                </c:pt>
                <c:pt idx="389">
                  <c:v>6.3436402706306989</c:v>
                </c:pt>
                <c:pt idx="390">
                  <c:v>6.3435551551476745</c:v>
                </c:pt>
                <c:pt idx="391">
                  <c:v>6.3434700395976247</c:v>
                </c:pt>
                <c:pt idx="392">
                  <c:v>6.3433849239805946</c:v>
                </c:pt>
                <c:pt idx="393">
                  <c:v>6.3432998082966243</c:v>
                </c:pt>
                <c:pt idx="394">
                  <c:v>6.3432146925457671</c:v>
                </c:pt>
                <c:pt idx="395">
                  <c:v>6.3431295767280584</c:v>
                </c:pt>
                <c:pt idx="396">
                  <c:v>6.3430444608435526</c:v>
                </c:pt>
                <c:pt idx="397">
                  <c:v>6.3429593448922841</c:v>
                </c:pt>
                <c:pt idx="398">
                  <c:v>6.3428742288743063</c:v>
                </c:pt>
                <c:pt idx="399">
                  <c:v>6.3427891127896601</c:v>
                </c:pt>
                <c:pt idx="400">
                  <c:v>6.3427039966383916</c:v>
                </c:pt>
                <c:pt idx="401">
                  <c:v>6.3426188804205434</c:v>
                </c:pt>
                <c:pt idx="402">
                  <c:v>6.3425337641361637</c:v>
                </c:pt>
                <c:pt idx="403">
                  <c:v>6.3424486477852948</c:v>
                </c:pt>
                <c:pt idx="404">
                  <c:v>6.3423635313679849</c:v>
                </c:pt>
                <c:pt idx="405">
                  <c:v>6.342278414884273</c:v>
                </c:pt>
                <c:pt idx="406">
                  <c:v>6.3421932983342098</c:v>
                </c:pt>
                <c:pt idx="407">
                  <c:v>6.3421081817178369</c:v>
                </c:pt>
                <c:pt idx="408">
                  <c:v>6.3420230650351979</c:v>
                </c:pt>
                <c:pt idx="409">
                  <c:v>6.3419379482863416</c:v>
                </c:pt>
                <c:pt idx="410">
                  <c:v>6.3418528314713098</c:v>
                </c:pt>
                <c:pt idx="411">
                  <c:v>6.3417677145901497</c:v>
                </c:pt>
                <c:pt idx="412">
                  <c:v>6.3416825976429028</c:v>
                </c:pt>
                <c:pt idx="413">
                  <c:v>6.3415974806296189</c:v>
                </c:pt>
                <c:pt idx="414">
                  <c:v>6.3415123635503372</c:v>
                </c:pt>
                <c:pt idx="415">
                  <c:v>6.3414272464051056</c:v>
                </c:pt>
                <c:pt idx="416">
                  <c:v>6.3413421291939667</c:v>
                </c:pt>
                <c:pt idx="417">
                  <c:v>6.3412570119169702</c:v>
                </c:pt>
                <c:pt idx="418">
                  <c:v>6.3411718945741562</c:v>
                </c:pt>
                <c:pt idx="419">
                  <c:v>6.3410867771655699</c:v>
                </c:pt>
                <c:pt idx="420">
                  <c:v>6.3410016596912584</c:v>
                </c:pt>
                <c:pt idx="421">
                  <c:v>6.340916542151267</c:v>
                </c:pt>
                <c:pt idx="422">
                  <c:v>6.3408314245456356</c:v>
                </c:pt>
                <c:pt idx="423">
                  <c:v>6.3407463068744132</c:v>
                </c:pt>
                <c:pt idx="424">
                  <c:v>6.3406611891376441</c:v>
                </c:pt>
                <c:pt idx="425">
                  <c:v>6.3405760713353718</c:v>
                </c:pt>
                <c:pt idx="426">
                  <c:v>6.3404909534676444</c:v>
                </c:pt>
                <c:pt idx="427">
                  <c:v>6.3404058355345043</c:v>
                </c:pt>
                <c:pt idx="428">
                  <c:v>6.3403207175359935</c:v>
                </c:pt>
                <c:pt idx="429">
                  <c:v>6.3402355994721615</c:v>
                </c:pt>
                <c:pt idx="430">
                  <c:v>6.340150481343052</c:v>
                </c:pt>
                <c:pt idx="431">
                  <c:v>6.3400653631487067</c:v>
                </c:pt>
                <c:pt idx="432">
                  <c:v>6.3399802448891718</c:v>
                </c:pt>
                <c:pt idx="433">
                  <c:v>6.3398951265644952</c:v>
                </c:pt>
                <c:pt idx="434">
                  <c:v>6.3398100081747177</c:v>
                </c:pt>
                <c:pt idx="435">
                  <c:v>6.3397248897198857</c:v>
                </c:pt>
                <c:pt idx="436">
                  <c:v>6.3396397712000452</c:v>
                </c:pt>
                <c:pt idx="437">
                  <c:v>6.3395546526152398</c:v>
                </c:pt>
                <c:pt idx="438">
                  <c:v>6.3394695339655156</c:v>
                </c:pt>
                <c:pt idx="439">
                  <c:v>6.3393844152509153</c:v>
                </c:pt>
                <c:pt idx="440">
                  <c:v>6.3392992964714825</c:v>
                </c:pt>
                <c:pt idx="441">
                  <c:v>6.3392141776272659</c:v>
                </c:pt>
                <c:pt idx="442">
                  <c:v>6.3391290587183065</c:v>
                </c:pt>
                <c:pt idx="443">
                  <c:v>6.3390439397446556</c:v>
                </c:pt>
                <c:pt idx="444">
                  <c:v>6.3389588207063507</c:v>
                </c:pt>
                <c:pt idx="445">
                  <c:v>6.3388737016034371</c:v>
                </c:pt>
                <c:pt idx="446">
                  <c:v>6.3387885824359662</c:v>
                </c:pt>
                <c:pt idx="447">
                  <c:v>6.3387034632039718</c:v>
                </c:pt>
                <c:pt idx="448">
                  <c:v>6.338618343907509</c:v>
                </c:pt>
                <c:pt idx="449">
                  <c:v>6.3385332245466213</c:v>
                </c:pt>
                <c:pt idx="450">
                  <c:v>6.3384481051213495</c:v>
                </c:pt>
                <c:pt idx="451">
                  <c:v>6.3383629856317389</c:v>
                </c:pt>
                <c:pt idx="452">
                  <c:v>6.3382778660778349</c:v>
                </c:pt>
                <c:pt idx="453">
                  <c:v>6.3381927464596819</c:v>
                </c:pt>
                <c:pt idx="454">
                  <c:v>6.3381076267773242</c:v>
                </c:pt>
                <c:pt idx="455">
                  <c:v>6.3380225070308107</c:v>
                </c:pt>
                <c:pt idx="456">
                  <c:v>6.3379373872201796</c:v>
                </c:pt>
                <c:pt idx="457">
                  <c:v>6.3378522673454807</c:v>
                </c:pt>
                <c:pt idx="458">
                  <c:v>6.3377671474067583</c:v>
                </c:pt>
                <c:pt idx="459">
                  <c:v>6.3376820274040568</c:v>
                </c:pt>
                <c:pt idx="460">
                  <c:v>6.3375969073374172</c:v>
                </c:pt>
                <c:pt idx="461">
                  <c:v>6.3375117872068909</c:v>
                </c:pt>
                <c:pt idx="462">
                  <c:v>6.3374266670125188</c:v>
                </c:pt>
                <c:pt idx="463">
                  <c:v>6.3373415467543435</c:v>
                </c:pt>
                <c:pt idx="464">
                  <c:v>6.3372564264324112</c:v>
                </c:pt>
                <c:pt idx="465">
                  <c:v>6.3371713060467698</c:v>
                </c:pt>
                <c:pt idx="466">
                  <c:v>6.3370861855974603</c:v>
                </c:pt>
                <c:pt idx="467">
                  <c:v>6.3370010650845323</c:v>
                </c:pt>
                <c:pt idx="468">
                  <c:v>6.3369159445080232</c:v>
                </c:pt>
                <c:pt idx="469">
                  <c:v>6.3368308238679862</c:v>
                </c:pt>
                <c:pt idx="470">
                  <c:v>6.336745703164457</c:v>
                </c:pt>
                <c:pt idx="471">
                  <c:v>6.3366605823974886</c:v>
                </c:pt>
                <c:pt idx="472">
                  <c:v>6.3365754615671213</c:v>
                </c:pt>
                <c:pt idx="473">
                  <c:v>6.3364903406733983</c:v>
                </c:pt>
                <c:pt idx="474">
                  <c:v>6.3364052197163687</c:v>
                </c:pt>
                <c:pt idx="475">
                  <c:v>6.3363200986960742</c:v>
                </c:pt>
                <c:pt idx="476">
                  <c:v>6.3362349776125608</c:v>
                </c:pt>
                <c:pt idx="477">
                  <c:v>6.3361498564658776</c:v>
                </c:pt>
                <c:pt idx="478">
                  <c:v>6.3360647352560608</c:v>
                </c:pt>
                <c:pt idx="479">
                  <c:v>6.3359796139831559</c:v>
                </c:pt>
                <c:pt idx="480">
                  <c:v>6.335894492647216</c:v>
                </c:pt>
                <c:pt idx="481">
                  <c:v>6.3358093712482777</c:v>
                </c:pt>
                <c:pt idx="482">
                  <c:v>6.3357242497863879</c:v>
                </c:pt>
                <c:pt idx="483">
                  <c:v>6.3356391282615956</c:v>
                </c:pt>
                <c:pt idx="484">
                  <c:v>6.3355540066739389</c:v>
                </c:pt>
                <c:pt idx="485">
                  <c:v>6.3354688850234684</c:v>
                </c:pt>
                <c:pt idx="486">
                  <c:v>6.3353837633102259</c:v>
                </c:pt>
                <c:pt idx="487">
                  <c:v>6.3352986415342532</c:v>
                </c:pt>
                <c:pt idx="488">
                  <c:v>6.3352135196956016</c:v>
                </c:pt>
                <c:pt idx="489">
                  <c:v>6.3351283977943087</c:v>
                </c:pt>
                <c:pt idx="490">
                  <c:v>6.3350432758304258</c:v>
                </c:pt>
                <c:pt idx="491">
                  <c:v>6.3349581538039956</c:v>
                </c:pt>
                <c:pt idx="492">
                  <c:v>6.334873031715059</c:v>
                </c:pt>
                <c:pt idx="493">
                  <c:v>6.3347879095636621</c:v>
                </c:pt>
                <c:pt idx="494">
                  <c:v>6.3347027873498565</c:v>
                </c:pt>
                <c:pt idx="495">
                  <c:v>6.3346176650736794</c:v>
                </c:pt>
                <c:pt idx="496">
                  <c:v>6.3345325427351771</c:v>
                </c:pt>
                <c:pt idx="497">
                  <c:v>6.334447420334393</c:v>
                </c:pt>
                <c:pt idx="498">
                  <c:v>6.3343622978713778</c:v>
                </c:pt>
                <c:pt idx="499">
                  <c:v>6.3342771753461689</c:v>
                </c:pt>
                <c:pt idx="500">
                  <c:v>6.3341920527588158</c:v>
                </c:pt>
                <c:pt idx="501">
                  <c:v>6.3341069301093595</c:v>
                </c:pt>
                <c:pt idx="502">
                  <c:v>6.3340218073978507</c:v>
                </c:pt>
                <c:pt idx="503">
                  <c:v>6.333936684624323</c:v>
                </c:pt>
                <c:pt idx="504">
                  <c:v>6.3338515617888351</c:v>
                </c:pt>
                <c:pt idx="505">
                  <c:v>6.3337664388914234</c:v>
                </c:pt>
                <c:pt idx="506">
                  <c:v>6.3336813159321323</c:v>
                </c:pt>
                <c:pt idx="507">
                  <c:v>6.3335961929110107</c:v>
                </c:pt>
                <c:pt idx="508">
                  <c:v>6.3335110698281003</c:v>
                </c:pt>
                <c:pt idx="509">
                  <c:v>6.3334259466834464</c:v>
                </c:pt>
                <c:pt idx="510">
                  <c:v>6.3333408234770925</c:v>
                </c:pt>
                <c:pt idx="511">
                  <c:v>6.3332557002090839</c:v>
                </c:pt>
                <c:pt idx="512">
                  <c:v>6.3331705768794677</c:v>
                </c:pt>
                <c:pt idx="513">
                  <c:v>6.3330854534882874</c:v>
                </c:pt>
                <c:pt idx="514">
                  <c:v>6.333000330035583</c:v>
                </c:pt>
                <c:pt idx="515">
                  <c:v>6.3329152065214087</c:v>
                </c:pt>
                <c:pt idx="516">
                  <c:v>6.3328300829458017</c:v>
                </c:pt>
                <c:pt idx="517">
                  <c:v>6.3327449593088074</c:v>
                </c:pt>
                <c:pt idx="518">
                  <c:v>6.3326598356104729</c:v>
                </c:pt>
                <c:pt idx="519">
                  <c:v>6.3325747118508424</c:v>
                </c:pt>
                <c:pt idx="520">
                  <c:v>6.3324895880299561</c:v>
                </c:pt>
                <c:pt idx="521">
                  <c:v>6.3324044641478672</c:v>
                </c:pt>
                <c:pt idx="522">
                  <c:v>6.3323193402046147</c:v>
                </c:pt>
                <c:pt idx="523">
                  <c:v>6.3322342162002432</c:v>
                </c:pt>
                <c:pt idx="524">
                  <c:v>6.3321490921347978</c:v>
                </c:pt>
                <c:pt idx="525">
                  <c:v>6.3320639680083257</c:v>
                </c:pt>
                <c:pt idx="526">
                  <c:v>6.3319788438208704</c:v>
                </c:pt>
                <c:pt idx="527">
                  <c:v>6.3318937195724736</c:v>
                </c:pt>
                <c:pt idx="528">
                  <c:v>6.3318085952631815</c:v>
                </c:pt>
                <c:pt idx="529">
                  <c:v>6.3317234708930421</c:v>
                </c:pt>
                <c:pt idx="530">
                  <c:v>6.3316383464620962</c:v>
                </c:pt>
                <c:pt idx="531">
                  <c:v>6.3315532219703901</c:v>
                </c:pt>
                <c:pt idx="532">
                  <c:v>6.3314680974179698</c:v>
                </c:pt>
                <c:pt idx="533">
                  <c:v>6.3313829728048754</c:v>
                </c:pt>
                <c:pt idx="534">
                  <c:v>6.3312978481311575</c:v>
                </c:pt>
                <c:pt idx="535">
                  <c:v>6.331212723396856</c:v>
                </c:pt>
                <c:pt idx="536">
                  <c:v>6.3311275986020146</c:v>
                </c:pt>
                <c:pt idx="537">
                  <c:v>6.3310424737466828</c:v>
                </c:pt>
                <c:pt idx="538">
                  <c:v>6.3309573488309034</c:v>
                </c:pt>
                <c:pt idx="539">
                  <c:v>6.3308722238547208</c:v>
                </c:pt>
                <c:pt idx="540">
                  <c:v>6.3307870988181811</c:v>
                </c:pt>
                <c:pt idx="541">
                  <c:v>6.3307019737213253</c:v>
                </c:pt>
                <c:pt idx="542">
                  <c:v>6.3306168485642011</c:v>
                </c:pt>
                <c:pt idx="543">
                  <c:v>6.3305317233468514</c:v>
                </c:pt>
                <c:pt idx="544">
                  <c:v>6.3304465980693223</c:v>
                </c:pt>
                <c:pt idx="545">
                  <c:v>6.3303614727316564</c:v>
                </c:pt>
                <c:pt idx="546">
                  <c:v>6.3302763473339034</c:v>
                </c:pt>
                <c:pt idx="547">
                  <c:v>6.3301912218761034</c:v>
                </c:pt>
                <c:pt idx="548">
                  <c:v>6.3301060963583007</c:v>
                </c:pt>
                <c:pt idx="549">
                  <c:v>6.3300209707805406</c:v>
                </c:pt>
                <c:pt idx="550">
                  <c:v>6.3299358451428684</c:v>
                </c:pt>
                <c:pt idx="551">
                  <c:v>6.3298507194453304</c:v>
                </c:pt>
                <c:pt idx="552">
                  <c:v>6.3297655936879673</c:v>
                </c:pt>
                <c:pt idx="553">
                  <c:v>6.3296804678708272</c:v>
                </c:pt>
                <c:pt idx="554">
                  <c:v>6.3295953419939561</c:v>
                </c:pt>
                <c:pt idx="555">
                  <c:v>6.3295102160573942</c:v>
                </c:pt>
                <c:pt idx="556">
                  <c:v>6.3294250900611848</c:v>
                </c:pt>
                <c:pt idx="557">
                  <c:v>6.3293399640053822</c:v>
                </c:pt>
                <c:pt idx="558">
                  <c:v>6.3292548378900158</c:v>
                </c:pt>
                <c:pt idx="559">
                  <c:v>6.3291697117151475</c:v>
                </c:pt>
                <c:pt idx="560">
                  <c:v>6.3290845854808095</c:v>
                </c:pt>
                <c:pt idx="561">
                  <c:v>6.3289994591870489</c:v>
                </c:pt>
                <c:pt idx="562">
                  <c:v>6.3289143328339135</c:v>
                </c:pt>
                <c:pt idx="563">
                  <c:v>6.3288292064214478</c:v>
                </c:pt>
                <c:pt idx="564">
                  <c:v>6.3287440799496935</c:v>
                </c:pt>
                <c:pt idx="565">
                  <c:v>6.3286589534186959</c:v>
                </c:pt>
                <c:pt idx="566">
                  <c:v>6.3285738268285003</c:v>
                </c:pt>
                <c:pt idx="567">
                  <c:v>6.3284887001791521</c:v>
                </c:pt>
                <c:pt idx="568">
                  <c:v>6.3284035734706974</c:v>
                </c:pt>
                <c:pt idx="569">
                  <c:v>6.3283184467031743</c:v>
                </c:pt>
                <c:pt idx="570">
                  <c:v>6.3282333198766363</c:v>
                </c:pt>
                <c:pt idx="571">
                  <c:v>6.3281481929911187</c:v>
                </c:pt>
                <c:pt idx="572">
                  <c:v>6.3280630660466706</c:v>
                </c:pt>
                <c:pt idx="573">
                  <c:v>6.3279779390433379</c:v>
                </c:pt>
                <c:pt idx="574">
                  <c:v>6.327892811981167</c:v>
                </c:pt>
                <c:pt idx="575">
                  <c:v>6.3278076848601987</c:v>
                </c:pt>
                <c:pt idx="576">
                  <c:v>6.3277225576804756</c:v>
                </c:pt>
                <c:pt idx="577">
                  <c:v>6.3276374304420475</c:v>
                </c:pt>
                <c:pt idx="578">
                  <c:v>6.327552303144957</c:v>
                </c:pt>
                <c:pt idx="579">
                  <c:v>6.3274671757892476</c:v>
                </c:pt>
                <c:pt idx="580">
                  <c:v>6.3273820483749645</c:v>
                </c:pt>
                <c:pt idx="581">
                  <c:v>6.3272969209021532</c:v>
                </c:pt>
                <c:pt idx="582">
                  <c:v>6.3272117933708589</c:v>
                </c:pt>
                <c:pt idx="583">
                  <c:v>6.3271266657811225</c:v>
                </c:pt>
                <c:pt idx="584">
                  <c:v>6.3270415381329936</c:v>
                </c:pt>
                <c:pt idx="585">
                  <c:v>6.3269564104265088</c:v>
                </c:pt>
                <c:pt idx="586">
                  <c:v>6.3268712826617239</c:v>
                </c:pt>
                <c:pt idx="587">
                  <c:v>6.3267861548386781</c:v>
                </c:pt>
                <c:pt idx="588">
                  <c:v>6.3267010269574122</c:v>
                </c:pt>
                <c:pt idx="589">
                  <c:v>6.3266158990179759</c:v>
                </c:pt>
                <c:pt idx="590">
                  <c:v>6.3265307710204102</c:v>
                </c:pt>
                <c:pt idx="591">
                  <c:v>6.3264456429647655</c:v>
                </c:pt>
                <c:pt idx="592">
                  <c:v>6.3263605148510766</c:v>
                </c:pt>
                <c:pt idx="593">
                  <c:v>6.3262753866793986</c:v>
                </c:pt>
                <c:pt idx="594">
                  <c:v>6.3261902584497687</c:v>
                </c:pt>
                <c:pt idx="595">
                  <c:v>6.3261051301622384</c:v>
                </c:pt>
                <c:pt idx="596">
                  <c:v>6.3260200018168478</c:v>
                </c:pt>
                <c:pt idx="597">
                  <c:v>6.3259348734136367</c:v>
                </c:pt>
                <c:pt idx="598">
                  <c:v>6.3258497449526576</c:v>
                </c:pt>
                <c:pt idx="599">
                  <c:v>6.325764616433954</c:v>
                </c:pt>
                <c:pt idx="600">
                  <c:v>6.3256794878575686</c:v>
                </c:pt>
                <c:pt idx="601">
                  <c:v>6.3255943592235457</c:v>
                </c:pt>
                <c:pt idx="602">
                  <c:v>6.3255092305319289</c:v>
                </c:pt>
                <c:pt idx="603">
                  <c:v>6.3254241017827635</c:v>
                </c:pt>
                <c:pt idx="604">
                  <c:v>6.3253389729760965</c:v>
                </c:pt>
                <c:pt idx="605">
                  <c:v>6.3252538441119714</c:v>
                </c:pt>
                <c:pt idx="606">
                  <c:v>6.325168715190431</c:v>
                </c:pt>
                <c:pt idx="607">
                  <c:v>6.3250835862115196</c:v>
                </c:pt>
                <c:pt idx="608">
                  <c:v>6.3249984571752851</c:v>
                </c:pt>
                <c:pt idx="609">
                  <c:v>6.3249133280817702</c:v>
                </c:pt>
                <c:pt idx="610">
                  <c:v>6.3248281989310193</c:v>
                </c:pt>
                <c:pt idx="611">
                  <c:v>6.3247430697230769</c:v>
                </c:pt>
                <c:pt idx="612">
                  <c:v>6.3246579404579855</c:v>
                </c:pt>
                <c:pt idx="613">
                  <c:v>6.3245728111357966</c:v>
                </c:pt>
                <c:pt idx="614">
                  <c:v>6.3244876817565423</c:v>
                </c:pt>
                <c:pt idx="615">
                  <c:v>6.3244025523202811</c:v>
                </c:pt>
                <c:pt idx="616">
                  <c:v>6.3243174228270504</c:v>
                </c:pt>
                <c:pt idx="617">
                  <c:v>6.3242322932768946</c:v>
                </c:pt>
                <c:pt idx="618">
                  <c:v>6.3241471636698607</c:v>
                </c:pt>
                <c:pt idx="619">
                  <c:v>6.3240620340059914</c:v>
                </c:pt>
                <c:pt idx="620">
                  <c:v>6.3239769042853302</c:v>
                </c:pt>
                <c:pt idx="621">
                  <c:v>6.3238917745079259</c:v>
                </c:pt>
                <c:pt idx="622">
                  <c:v>6.3238066446738177</c:v>
                </c:pt>
                <c:pt idx="623">
                  <c:v>6.3237215147830543</c:v>
                </c:pt>
                <c:pt idx="624">
                  <c:v>6.3236363848356802</c:v>
                </c:pt>
                <c:pt idx="625">
                  <c:v>6.3235512548317372</c:v>
                </c:pt>
                <c:pt idx="626">
                  <c:v>6.3234661247712696</c:v>
                </c:pt>
                <c:pt idx="627">
                  <c:v>6.3233809946543245</c:v>
                </c:pt>
                <c:pt idx="628">
                  <c:v>6.3232958644809472</c:v>
                </c:pt>
                <c:pt idx="629">
                  <c:v>6.3232107342511803</c:v>
                </c:pt>
                <c:pt idx="630">
                  <c:v>6.3231256039650665</c:v>
                </c:pt>
                <c:pt idx="631">
                  <c:v>6.323040473622652</c:v>
                </c:pt>
                <c:pt idx="632">
                  <c:v>6.3229553432239838</c:v>
                </c:pt>
                <c:pt idx="633">
                  <c:v>6.3228702127691028</c:v>
                </c:pt>
                <c:pt idx="634">
                  <c:v>6.3227850822580525</c:v>
                </c:pt>
                <c:pt idx="635">
                  <c:v>6.3226999516908862</c:v>
                </c:pt>
                <c:pt idx="636">
                  <c:v>6.3226148210676367</c:v>
                </c:pt>
                <c:pt idx="637">
                  <c:v>6.3225296903883557</c:v>
                </c:pt>
                <c:pt idx="638">
                  <c:v>6.3224445596530874</c:v>
                </c:pt>
                <c:pt idx="639">
                  <c:v>6.3223594288618763</c:v>
                </c:pt>
                <c:pt idx="640">
                  <c:v>6.322274298014765</c:v>
                </c:pt>
                <c:pt idx="641">
                  <c:v>6.3221891671117962</c:v>
                </c:pt>
                <c:pt idx="642">
                  <c:v>6.3221040361530179</c:v>
                </c:pt>
                <c:pt idx="643">
                  <c:v>6.3220189051384743</c:v>
                </c:pt>
                <c:pt idx="644">
                  <c:v>6.3219337740682082</c:v>
                </c:pt>
                <c:pt idx="645">
                  <c:v>6.3218486429422676</c:v>
                </c:pt>
                <c:pt idx="646">
                  <c:v>6.3217635117606905</c:v>
                </c:pt>
                <c:pt idx="647">
                  <c:v>6.3216783805235277</c:v>
                </c:pt>
                <c:pt idx="648">
                  <c:v>6.3215932492308244</c:v>
                </c:pt>
                <c:pt idx="649">
                  <c:v>6.3215081178826171</c:v>
                </c:pt>
                <c:pt idx="650">
                  <c:v>6.3214229864789573</c:v>
                </c:pt>
                <c:pt idx="651">
                  <c:v>6.3213378550198884</c:v>
                </c:pt>
                <c:pt idx="652">
                  <c:v>6.3212527235054532</c:v>
                </c:pt>
                <c:pt idx="653">
                  <c:v>6.3211675919356978</c:v>
                </c:pt>
                <c:pt idx="654">
                  <c:v>6.3210824603106683</c:v>
                </c:pt>
                <c:pt idx="655">
                  <c:v>6.3209973286304022</c:v>
                </c:pt>
                <c:pt idx="656">
                  <c:v>6.3209121968949535</c:v>
                </c:pt>
                <c:pt idx="657">
                  <c:v>6.3208270651043588</c:v>
                </c:pt>
                <c:pt idx="658">
                  <c:v>6.3207419332586658</c:v>
                </c:pt>
                <c:pt idx="659">
                  <c:v>6.320656801357921</c:v>
                </c:pt>
                <c:pt idx="660">
                  <c:v>6.3205716694021667</c:v>
                </c:pt>
                <c:pt idx="661">
                  <c:v>6.3204865373914458</c:v>
                </c:pt>
                <c:pt idx="662">
                  <c:v>6.320401405325808</c:v>
                </c:pt>
                <c:pt idx="663">
                  <c:v>6.3203162732052913</c:v>
                </c:pt>
                <c:pt idx="664">
                  <c:v>6.3202311410299448</c:v>
                </c:pt>
                <c:pt idx="665">
                  <c:v>6.3201460087998118</c:v>
                </c:pt>
                <c:pt idx="666">
                  <c:v>6.3200608765149342</c:v>
                </c:pt>
                <c:pt idx="667">
                  <c:v>6.319975744175359</c:v>
                </c:pt>
                <c:pt idx="668">
                  <c:v>6.3198906117811351</c:v>
                </c:pt>
                <c:pt idx="669">
                  <c:v>6.3198054793322971</c:v>
                </c:pt>
                <c:pt idx="670">
                  <c:v>6.3197203468288965</c:v>
                </c:pt>
                <c:pt idx="671">
                  <c:v>6.3196352142709777</c:v>
                </c:pt>
                <c:pt idx="672">
                  <c:v>6.3195500816585808</c:v>
                </c:pt>
                <c:pt idx="673">
                  <c:v>6.3194649489917554</c:v>
                </c:pt>
                <c:pt idx="674">
                  <c:v>6.3193798162705397</c:v>
                </c:pt>
                <c:pt idx="675">
                  <c:v>6.319294683494987</c:v>
                </c:pt>
                <c:pt idx="676">
                  <c:v>6.3192095506651356</c:v>
                </c:pt>
                <c:pt idx="677">
                  <c:v>6.3191244177810297</c:v>
                </c:pt>
                <c:pt idx="678">
                  <c:v>6.3190392848427148</c:v>
                </c:pt>
                <c:pt idx="679">
                  <c:v>6.3189541518502397</c:v>
                </c:pt>
                <c:pt idx="680">
                  <c:v>6.3188690188036389</c:v>
                </c:pt>
                <c:pt idx="681">
                  <c:v>6.3187838857029686</c:v>
                </c:pt>
                <c:pt idx="682">
                  <c:v>6.318698752548265</c:v>
                </c:pt>
                <c:pt idx="683">
                  <c:v>6.3186136193395779</c:v>
                </c:pt>
                <c:pt idx="684">
                  <c:v>6.3185284860769455</c:v>
                </c:pt>
                <c:pt idx="685">
                  <c:v>6.3184433527604185</c:v>
                </c:pt>
                <c:pt idx="686">
                  <c:v>6.3183582193900394</c:v>
                </c:pt>
                <c:pt idx="687">
                  <c:v>6.3182730859658491</c:v>
                </c:pt>
                <c:pt idx="688">
                  <c:v>6.3181879524878966</c:v>
                </c:pt>
                <c:pt idx="689">
                  <c:v>6.3181028189562252</c:v>
                </c:pt>
                <c:pt idx="690">
                  <c:v>6.3180176853708776</c:v>
                </c:pt>
                <c:pt idx="691">
                  <c:v>6.3179325517319018</c:v>
                </c:pt>
                <c:pt idx="692">
                  <c:v>6.3178474180393387</c:v>
                </c:pt>
                <c:pt idx="693">
                  <c:v>6.3177622842932335</c:v>
                </c:pt>
                <c:pt idx="694">
                  <c:v>6.3176771504936315</c:v>
                </c:pt>
                <c:pt idx="695">
                  <c:v>6.3175920166405781</c:v>
                </c:pt>
                <c:pt idx="696">
                  <c:v>6.3175068827341168</c:v>
                </c:pt>
                <c:pt idx="697">
                  <c:v>6.3174217487742892</c:v>
                </c:pt>
                <c:pt idx="698">
                  <c:v>6.3173366147611434</c:v>
                </c:pt>
                <c:pt idx="699">
                  <c:v>6.3172514806947264</c:v>
                </c:pt>
                <c:pt idx="700">
                  <c:v>6.3171663465750774</c:v>
                </c:pt>
                <c:pt idx="701">
                  <c:v>6.3170812124022397</c:v>
                </c:pt>
                <c:pt idx="702">
                  <c:v>6.3169960781762633</c:v>
                </c:pt>
                <c:pt idx="703">
                  <c:v>6.3169109438971898</c:v>
                </c:pt>
                <c:pt idx="704">
                  <c:v>6.3168258095650636</c:v>
                </c:pt>
                <c:pt idx="705">
                  <c:v>6.3167406751799309</c:v>
                </c:pt>
                <c:pt idx="706">
                  <c:v>6.3166555407418326</c:v>
                </c:pt>
                <c:pt idx="707">
                  <c:v>6.3165704062508139</c:v>
                </c:pt>
                <c:pt idx="708">
                  <c:v>6.3164852717069238</c:v>
                </c:pt>
                <c:pt idx="709">
                  <c:v>6.3164001371102003</c:v>
                </c:pt>
                <c:pt idx="710">
                  <c:v>6.3163150024606924</c:v>
                </c:pt>
                <c:pt idx="711">
                  <c:v>6.3162298677584445</c:v>
                </c:pt>
                <c:pt idx="712">
                  <c:v>6.3161447330034974</c:v>
                </c:pt>
                <c:pt idx="713">
                  <c:v>6.3160595981958991</c:v>
                </c:pt>
                <c:pt idx="714">
                  <c:v>6.3159744633356905</c:v>
                </c:pt>
                <c:pt idx="715">
                  <c:v>6.3158893284229212</c:v>
                </c:pt>
                <c:pt idx="716">
                  <c:v>6.3158041934576303</c:v>
                </c:pt>
                <c:pt idx="717">
                  <c:v>6.3157190584398659</c:v>
                </c:pt>
                <c:pt idx="718">
                  <c:v>6.3156339233696723</c:v>
                </c:pt>
                <c:pt idx="719">
                  <c:v>6.3155487882470887</c:v>
                </c:pt>
                <c:pt idx="720">
                  <c:v>6.3154636530721682</c:v>
                </c:pt>
                <c:pt idx="721">
                  <c:v>6.3153785178449473</c:v>
                </c:pt>
                <c:pt idx="722">
                  <c:v>6.315293382565474</c:v>
                </c:pt>
                <c:pt idx="723">
                  <c:v>6.3152082472337927</c:v>
                </c:pt>
                <c:pt idx="724">
                  <c:v>6.3151231118499469</c:v>
                </c:pt>
                <c:pt idx="725">
                  <c:v>6.3150379764139828</c:v>
                </c:pt>
                <c:pt idx="726">
                  <c:v>6.3149528409259448</c:v>
                </c:pt>
                <c:pt idx="727">
                  <c:v>6.3148677053858755</c:v>
                </c:pt>
                <c:pt idx="728">
                  <c:v>6.3147825697938167</c:v>
                </c:pt>
                <c:pt idx="729">
                  <c:v>6.314697434149819</c:v>
                </c:pt>
                <c:pt idx="730">
                  <c:v>6.3146122984539259</c:v>
                </c:pt>
                <c:pt idx="731">
                  <c:v>6.3145271627061756</c:v>
                </c:pt>
                <c:pt idx="732">
                  <c:v>6.3144420269066188</c:v>
                </c:pt>
                <c:pt idx="733">
                  <c:v>6.3143568910552972</c:v>
                </c:pt>
                <c:pt idx="734">
                  <c:v>6.3142717551522587</c:v>
                </c:pt>
                <c:pt idx="735">
                  <c:v>6.3141866191975424</c:v>
                </c:pt>
                <c:pt idx="736">
                  <c:v>6.3141014831911964</c:v>
                </c:pt>
                <c:pt idx="737">
                  <c:v>6.314016347133264</c:v>
                </c:pt>
                <c:pt idx="738">
                  <c:v>6.3139312110237853</c:v>
                </c:pt>
                <c:pt idx="739">
                  <c:v>6.3138460748628127</c:v>
                </c:pt>
                <c:pt idx="740">
                  <c:v>6.3137609386503861</c:v>
                </c:pt>
                <c:pt idx="741">
                  <c:v>6.3136758023865482</c:v>
                </c:pt>
                <c:pt idx="742">
                  <c:v>6.3135906660713488</c:v>
                </c:pt>
                <c:pt idx="743">
                  <c:v>6.3135055297048295</c:v>
                </c:pt>
                <c:pt idx="744">
                  <c:v>6.3134203932870356</c:v>
                </c:pt>
                <c:pt idx="745">
                  <c:v>6.3133352568180063</c:v>
                </c:pt>
                <c:pt idx="746">
                  <c:v>6.3132501202977913</c:v>
                </c:pt>
                <c:pt idx="747">
                  <c:v>6.3131649837264323</c:v>
                </c:pt>
                <c:pt idx="748">
                  <c:v>6.31307984710398</c:v>
                </c:pt>
                <c:pt idx="749">
                  <c:v>6.3129947104304724</c:v>
                </c:pt>
                <c:pt idx="750">
                  <c:v>6.3129095737059515</c:v>
                </c:pt>
                <c:pt idx="751">
                  <c:v>6.3128244369304696</c:v>
                </c:pt>
                <c:pt idx="752">
                  <c:v>6.3127393001040648</c:v>
                </c:pt>
                <c:pt idx="753">
                  <c:v>6.3126541632267843</c:v>
                </c:pt>
                <c:pt idx="754">
                  <c:v>6.3125690262986733</c:v>
                </c:pt>
                <c:pt idx="755">
                  <c:v>6.3124838893197719</c:v>
                </c:pt>
                <c:pt idx="756">
                  <c:v>6.3123987522901306</c:v>
                </c:pt>
                <c:pt idx="757">
                  <c:v>6.3123136152097903</c:v>
                </c:pt>
                <c:pt idx="758">
                  <c:v>6.3122284780787936</c:v>
                </c:pt>
                <c:pt idx="759">
                  <c:v>6.3121433408971885</c:v>
                </c:pt>
                <c:pt idx="760">
                  <c:v>6.3120582036650159</c:v>
                </c:pt>
                <c:pt idx="761">
                  <c:v>6.3119730663823219</c:v>
                </c:pt>
                <c:pt idx="762">
                  <c:v>6.3118879290491527</c:v>
                </c:pt>
                <c:pt idx="763">
                  <c:v>6.3118027916655493</c:v>
                </c:pt>
                <c:pt idx="764">
                  <c:v>6.3117176542315612</c:v>
                </c:pt>
                <c:pt idx="765">
                  <c:v>6.3116325167472276</c:v>
                </c:pt>
                <c:pt idx="766">
                  <c:v>6.3115473792125929</c:v>
                </c:pt>
                <c:pt idx="767">
                  <c:v>6.3114622416277051</c:v>
                </c:pt>
                <c:pt idx="768">
                  <c:v>6.3113771039926068</c:v>
                </c:pt>
                <c:pt idx="769">
                  <c:v>6.3112919663073379</c:v>
                </c:pt>
                <c:pt idx="770">
                  <c:v>6.3112068285719509</c:v>
                </c:pt>
                <c:pt idx="771">
                  <c:v>6.3111216907864875</c:v>
                </c:pt>
                <c:pt idx="772">
                  <c:v>6.3110365529509895</c:v>
                </c:pt>
                <c:pt idx="773">
                  <c:v>6.3109514150654995</c:v>
                </c:pt>
                <c:pt idx="774">
                  <c:v>6.3108662771300708</c:v>
                </c:pt>
                <c:pt idx="775">
                  <c:v>6.3107811391447362</c:v>
                </c:pt>
                <c:pt idx="776">
                  <c:v>6.3106960011095516</c:v>
                </c:pt>
                <c:pt idx="777">
                  <c:v>6.3106108630245519</c:v>
                </c:pt>
                <c:pt idx="778">
                  <c:v>6.3105257248897866</c:v>
                </c:pt>
                <c:pt idx="779">
                  <c:v>6.3104405867052957</c:v>
                </c:pt>
                <c:pt idx="780">
                  <c:v>6.3103554484711264</c:v>
                </c:pt>
                <c:pt idx="781">
                  <c:v>6.3102703101873256</c:v>
                </c:pt>
                <c:pt idx="782">
                  <c:v>6.3101851718539352</c:v>
                </c:pt>
                <c:pt idx="783">
                  <c:v>6.3101000334709969</c:v>
                </c:pt>
                <c:pt idx="784">
                  <c:v>6.3100148950385631</c:v>
                </c:pt>
                <c:pt idx="785">
                  <c:v>6.3099297565566665</c:v>
                </c:pt>
                <c:pt idx="786">
                  <c:v>6.3098446180253598</c:v>
                </c:pt>
                <c:pt idx="787">
                  <c:v>6.309759479444681</c:v>
                </c:pt>
                <c:pt idx="788">
                  <c:v>6.309674340814686</c:v>
                </c:pt>
                <c:pt idx="789">
                  <c:v>6.3095892021354079</c:v>
                </c:pt>
                <c:pt idx="790">
                  <c:v>6.3095040634068962</c:v>
                </c:pt>
                <c:pt idx="791">
                  <c:v>6.3094189246291918</c:v>
                </c:pt>
                <c:pt idx="792">
                  <c:v>6.3093337858023411</c:v>
                </c:pt>
                <c:pt idx="793">
                  <c:v>6.3092486469263891</c:v>
                </c:pt>
                <c:pt idx="794">
                  <c:v>6.3091635080013777</c:v>
                </c:pt>
                <c:pt idx="795">
                  <c:v>6.3090783690273593</c:v>
                </c:pt>
                <c:pt idx="796">
                  <c:v>6.3089932300043641</c:v>
                </c:pt>
                <c:pt idx="797">
                  <c:v>6.308908090932448</c:v>
                </c:pt>
                <c:pt idx="798">
                  <c:v>6.3088229518116492</c:v>
                </c:pt>
                <c:pt idx="799">
                  <c:v>6.3087378126420166</c:v>
                </c:pt>
                <c:pt idx="800">
                  <c:v>6.3086526734235928</c:v>
                </c:pt>
                <c:pt idx="801">
                  <c:v>6.3085675341564196</c:v>
                </c:pt>
                <c:pt idx="802">
                  <c:v>6.308482394840544</c:v>
                </c:pt>
                <c:pt idx="803">
                  <c:v>6.3083972554760077</c:v>
                </c:pt>
                <c:pt idx="804">
                  <c:v>6.3083121160628597</c:v>
                </c:pt>
                <c:pt idx="805">
                  <c:v>6.3082269766011425</c:v>
                </c:pt>
                <c:pt idx="806">
                  <c:v>6.308141837090897</c:v>
                </c:pt>
                <c:pt idx="807">
                  <c:v>6.3080566975321712</c:v>
                </c:pt>
                <c:pt idx="808">
                  <c:v>6.3079715579250086</c:v>
                </c:pt>
                <c:pt idx="809">
                  <c:v>6.307886418269451</c:v>
                </c:pt>
                <c:pt idx="810">
                  <c:v>6.307801278565548</c:v>
                </c:pt>
                <c:pt idx="811">
                  <c:v>6.3077161388133378</c:v>
                </c:pt>
                <c:pt idx="812">
                  <c:v>6.3076309990128703</c:v>
                </c:pt>
                <c:pt idx="813">
                  <c:v>6.3075458591641826</c:v>
                </c:pt>
                <c:pt idx="814">
                  <c:v>6.3074607192673255</c:v>
                </c:pt>
                <c:pt idx="815">
                  <c:v>6.3073755793223443</c:v>
                </c:pt>
                <c:pt idx="816">
                  <c:v>6.307290439329277</c:v>
                </c:pt>
                <c:pt idx="817">
                  <c:v>6.3072052992881735</c:v>
                </c:pt>
                <c:pt idx="818">
                  <c:v>6.3071201591990746</c:v>
                </c:pt>
                <c:pt idx="819">
                  <c:v>6.3070350190620266</c:v>
                </c:pt>
                <c:pt idx="820">
                  <c:v>6.3069498788770719</c:v>
                </c:pt>
                <c:pt idx="821">
                  <c:v>6.3068647386442587</c:v>
                </c:pt>
                <c:pt idx="822">
                  <c:v>6.3067795983636259</c:v>
                </c:pt>
                <c:pt idx="823">
                  <c:v>6.3066944580352207</c:v>
                </c:pt>
                <c:pt idx="824">
                  <c:v>6.3066093176590865</c:v>
                </c:pt>
                <c:pt idx="825">
                  <c:v>6.3065241772352705</c:v>
                </c:pt>
                <c:pt idx="826">
                  <c:v>6.3064390367638126</c:v>
                </c:pt>
                <c:pt idx="827">
                  <c:v>6.3063538962447598</c:v>
                </c:pt>
                <c:pt idx="828">
                  <c:v>6.306268755678154</c:v>
                </c:pt>
                <c:pt idx="829">
                  <c:v>6.3061836150640431</c:v>
                </c:pt>
                <c:pt idx="830">
                  <c:v>6.3060984744024697</c:v>
                </c:pt>
                <c:pt idx="831">
                  <c:v>6.3060133336934774</c:v>
                </c:pt>
                <c:pt idx="832">
                  <c:v>6.3059281929371114</c:v>
                </c:pt>
                <c:pt idx="833">
                  <c:v>6.3058430521334143</c:v>
                </c:pt>
                <c:pt idx="834">
                  <c:v>6.3057579112824325</c:v>
                </c:pt>
                <c:pt idx="835">
                  <c:v>6.3056727703842084</c:v>
                </c:pt>
                <c:pt idx="836">
                  <c:v>6.30558762943879</c:v>
                </c:pt>
                <c:pt idx="837">
                  <c:v>6.3055024884462147</c:v>
                </c:pt>
                <c:pt idx="838">
                  <c:v>6.3054173474065358</c:v>
                </c:pt>
                <c:pt idx="839">
                  <c:v>6.3053322063197887</c:v>
                </c:pt>
                <c:pt idx="840">
                  <c:v>6.3052470651860233</c:v>
                </c:pt>
                <c:pt idx="841">
                  <c:v>6.3051619240052847</c:v>
                </c:pt>
                <c:pt idx="842">
                  <c:v>6.3050767827776131</c:v>
                </c:pt>
                <c:pt idx="843">
                  <c:v>6.3049916415030527</c:v>
                </c:pt>
                <c:pt idx="844">
                  <c:v>6.3049065001816498</c:v>
                </c:pt>
                <c:pt idx="845">
                  <c:v>6.3048213588134505</c:v>
                </c:pt>
                <c:pt idx="846">
                  <c:v>6.3047362173984931</c:v>
                </c:pt>
                <c:pt idx="847">
                  <c:v>6.3046510759368291</c:v>
                </c:pt>
                <c:pt idx="848">
                  <c:v>6.3045659344284974</c:v>
                </c:pt>
                <c:pt idx="849">
                  <c:v>6.3044807928735471</c:v>
                </c:pt>
                <c:pt idx="850">
                  <c:v>6.3043956512720154</c:v>
                </c:pt>
                <c:pt idx="851">
                  <c:v>6.3043105096239547</c:v>
                </c:pt>
                <c:pt idx="852">
                  <c:v>6.3042253679294014</c:v>
                </c:pt>
                <c:pt idx="853">
                  <c:v>6.3041402261884043</c:v>
                </c:pt>
                <c:pt idx="854">
                  <c:v>6.3040550844010088</c:v>
                </c:pt>
                <c:pt idx="855">
                  <c:v>6.3039699425672566</c:v>
                </c:pt>
                <c:pt idx="856">
                  <c:v>6.3038848006871939</c:v>
                </c:pt>
                <c:pt idx="857">
                  <c:v>6.3037996587608625</c:v>
                </c:pt>
                <c:pt idx="858">
                  <c:v>6.3037145167883075</c:v>
                </c:pt>
                <c:pt idx="859">
                  <c:v>6.3036293747695735</c:v>
                </c:pt>
                <c:pt idx="860">
                  <c:v>6.3035442327047058</c:v>
                </c:pt>
                <c:pt idx="861">
                  <c:v>6.3034590905937442</c:v>
                </c:pt>
                <c:pt idx="862">
                  <c:v>6.3033739484367404</c:v>
                </c:pt>
                <c:pt idx="863">
                  <c:v>6.3032888062337342</c:v>
                </c:pt>
                <c:pt idx="864">
                  <c:v>6.3032036639847684</c:v>
                </c:pt>
                <c:pt idx="865">
                  <c:v>6.3031185216898891</c:v>
                </c:pt>
                <c:pt idx="866">
                  <c:v>6.3030333793491415</c:v>
                </c:pt>
                <c:pt idx="867">
                  <c:v>6.3029482369625667</c:v>
                </c:pt>
                <c:pt idx="868">
                  <c:v>6.3028630945302133</c:v>
                </c:pt>
                <c:pt idx="869">
                  <c:v>6.3027779520521232</c:v>
                </c:pt>
                <c:pt idx="870">
                  <c:v>6.3026928095283408</c:v>
                </c:pt>
                <c:pt idx="871">
                  <c:v>6.3026076669589113</c:v>
                </c:pt>
                <c:pt idx="872">
                  <c:v>6.3025225243438729</c:v>
                </c:pt>
                <c:pt idx="873">
                  <c:v>6.3024373816832799</c:v>
                </c:pt>
                <c:pt idx="874">
                  <c:v>6.3023522389771678</c:v>
                </c:pt>
                <c:pt idx="875">
                  <c:v>6.3022670962255871</c:v>
                </c:pt>
                <c:pt idx="876">
                  <c:v>6.3021819534285797</c:v>
                </c:pt>
                <c:pt idx="877">
                  <c:v>6.302096810586189</c:v>
                </c:pt>
                <c:pt idx="878">
                  <c:v>6.3020116676984603</c:v>
                </c:pt>
                <c:pt idx="879">
                  <c:v>6.3019265247654346</c:v>
                </c:pt>
                <c:pt idx="880">
                  <c:v>6.3018413817871597</c:v>
                </c:pt>
                <c:pt idx="881">
                  <c:v>6.3017562387636801</c:v>
                </c:pt>
                <c:pt idx="882">
                  <c:v>6.3016710956950384</c:v>
                </c:pt>
                <c:pt idx="883">
                  <c:v>6.3015859525812781</c:v>
                </c:pt>
                <c:pt idx="884">
                  <c:v>6.3015008094224463</c:v>
                </c:pt>
                <c:pt idx="885">
                  <c:v>6.3014156662185838</c:v>
                </c:pt>
                <c:pt idx="886">
                  <c:v>6.3013305229697387</c:v>
                </c:pt>
                <c:pt idx="887">
                  <c:v>6.3012453796759527</c:v>
                </c:pt>
                <c:pt idx="888">
                  <c:v>6.3011602363372674</c:v>
                </c:pt>
                <c:pt idx="889">
                  <c:v>6.3010750929537327</c:v>
                </c:pt>
                <c:pt idx="890">
                  <c:v>6.3009899495253894</c:v>
                </c:pt>
                <c:pt idx="891">
                  <c:v>6.300904806052281</c:v>
                </c:pt>
                <c:pt idx="892">
                  <c:v>6.3008196625344528</c:v>
                </c:pt>
                <c:pt idx="893">
                  <c:v>6.3007345189719501</c:v>
                </c:pt>
                <c:pt idx="894">
                  <c:v>6.3006493753648165</c:v>
                </c:pt>
                <c:pt idx="895">
                  <c:v>6.3005642317130945</c:v>
                </c:pt>
                <c:pt idx="896">
                  <c:v>6.3004790880168322</c:v>
                </c:pt>
                <c:pt idx="897">
                  <c:v>6.3003939442760704</c:v>
                </c:pt>
                <c:pt idx="898">
                  <c:v>6.3003088004908534</c:v>
                </c:pt>
                <c:pt idx="899">
                  <c:v>6.3002236566612293</c:v>
                </c:pt>
                <c:pt idx="900">
                  <c:v>6.3001385127872354</c:v>
                </c:pt>
                <c:pt idx="901">
                  <c:v>6.3000533688689178</c:v>
                </c:pt>
                <c:pt idx="902">
                  <c:v>6.2999682249063289</c:v>
                </c:pt>
                <c:pt idx="903">
                  <c:v>6.2998830808995034</c:v>
                </c:pt>
                <c:pt idx="904">
                  <c:v>6.2997979368484867</c:v>
                </c:pt>
                <c:pt idx="905">
                  <c:v>6.2997127927533274</c:v>
                </c:pt>
                <c:pt idx="906">
                  <c:v>6.2996276486140665</c:v>
                </c:pt>
                <c:pt idx="907">
                  <c:v>6.2995425044307485</c:v>
                </c:pt>
                <c:pt idx="908">
                  <c:v>6.2994573602034203</c:v>
                </c:pt>
                <c:pt idx="909">
                  <c:v>6.2993722159321202</c:v>
                </c:pt>
                <c:pt idx="910">
                  <c:v>6.2992870716168987</c:v>
                </c:pt>
                <c:pt idx="911">
                  <c:v>6.2992019272577942</c:v>
                </c:pt>
                <c:pt idx="912">
                  <c:v>6.299116782854858</c:v>
                </c:pt>
                <c:pt idx="913">
                  <c:v>6.2990316384081275</c:v>
                </c:pt>
                <c:pt idx="914">
                  <c:v>6.2989464939176525</c:v>
                </c:pt>
                <c:pt idx="915">
                  <c:v>6.2988613493834693</c:v>
                </c:pt>
                <c:pt idx="916">
                  <c:v>6.2987762048056322</c:v>
                </c:pt>
                <c:pt idx="917">
                  <c:v>6.2986910601841757</c:v>
                </c:pt>
                <c:pt idx="918">
                  <c:v>6.2986059155191523</c:v>
                </c:pt>
                <c:pt idx="919">
                  <c:v>6.2985207708105992</c:v>
                </c:pt>
                <c:pt idx="920">
                  <c:v>6.2984356260585646</c:v>
                </c:pt>
                <c:pt idx="921">
                  <c:v>6.2983504812630926</c:v>
                </c:pt>
                <c:pt idx="922">
                  <c:v>6.2982653364242269</c:v>
                </c:pt>
                <c:pt idx="923">
                  <c:v>6.298180191542011</c:v>
                </c:pt>
                <c:pt idx="924">
                  <c:v>6.2980950466164893</c:v>
                </c:pt>
                <c:pt idx="925">
                  <c:v>6.2980099016477045</c:v>
                </c:pt>
                <c:pt idx="926">
                  <c:v>6.2979247566357035</c:v>
                </c:pt>
                <c:pt idx="927">
                  <c:v>6.29783961158053</c:v>
                </c:pt>
                <c:pt idx="928">
                  <c:v>6.2977544664822274</c:v>
                </c:pt>
                <c:pt idx="929">
                  <c:v>6.2976693213408357</c:v>
                </c:pt>
                <c:pt idx="930">
                  <c:v>6.2975841761564073</c:v>
                </c:pt>
                <c:pt idx="931">
                  <c:v>6.297499030928984</c:v>
                </c:pt>
                <c:pt idx="932">
                  <c:v>6.2974138856586057</c:v>
                </c:pt>
                <c:pt idx="933">
                  <c:v>6.2973287403453204</c:v>
                </c:pt>
                <c:pt idx="934">
                  <c:v>6.297243594989169</c:v>
                </c:pt>
                <c:pt idx="935">
                  <c:v>6.2971584495901984</c:v>
                </c:pt>
                <c:pt idx="936">
                  <c:v>6.2970733041484532</c:v>
                </c:pt>
                <c:pt idx="937">
                  <c:v>6.2969881586639751</c:v>
                </c:pt>
                <c:pt idx="938">
                  <c:v>6.2969030131368076</c:v>
                </c:pt>
                <c:pt idx="939">
                  <c:v>6.2968178675670003</c:v>
                </c:pt>
                <c:pt idx="940">
                  <c:v>6.2967327219545934</c:v>
                </c:pt>
                <c:pt idx="941">
                  <c:v>6.2966475762996277</c:v>
                </c:pt>
                <c:pt idx="942">
                  <c:v>6.2965624306021528</c:v>
                </c:pt>
                <c:pt idx="943">
                  <c:v>6.2964772848622106</c:v>
                </c:pt>
                <c:pt idx="944">
                  <c:v>6.2963921390798472</c:v>
                </c:pt>
                <c:pt idx="945">
                  <c:v>6.2963069932551026</c:v>
                </c:pt>
                <c:pt idx="946">
                  <c:v>6.2962218473880256</c:v>
                </c:pt>
                <c:pt idx="947">
                  <c:v>6.2961367014786571</c:v>
                </c:pt>
                <c:pt idx="948">
                  <c:v>6.2960515555270451</c:v>
                </c:pt>
                <c:pt idx="949">
                  <c:v>6.2959664095332313</c:v>
                </c:pt>
                <c:pt idx="950">
                  <c:v>6.2958812634972539</c:v>
                </c:pt>
                <c:pt idx="951">
                  <c:v>6.295796117419167</c:v>
                </c:pt>
                <c:pt idx="952">
                  <c:v>6.2957109712990089</c:v>
                </c:pt>
                <c:pt idx="953">
                  <c:v>6.2956258251368258</c:v>
                </c:pt>
                <c:pt idx="954">
                  <c:v>6.2955406789326629</c:v>
                </c:pt>
                <c:pt idx="955">
                  <c:v>6.295455532686562</c:v>
                </c:pt>
                <c:pt idx="956">
                  <c:v>6.2953703863985666</c:v>
                </c:pt>
                <c:pt idx="957">
                  <c:v>6.2952852400687238</c:v>
                </c:pt>
                <c:pt idx="958">
                  <c:v>6.2952000936970745</c:v>
                </c:pt>
                <c:pt idx="959">
                  <c:v>6.2951149472836629</c:v>
                </c:pt>
                <c:pt idx="960">
                  <c:v>6.2950298008285372</c:v>
                </c:pt>
                <c:pt idx="961">
                  <c:v>6.2949446543317382</c:v>
                </c:pt>
                <c:pt idx="962">
                  <c:v>6.294859507793312</c:v>
                </c:pt>
                <c:pt idx="963">
                  <c:v>6.2947743612132978</c:v>
                </c:pt>
                <c:pt idx="964">
                  <c:v>6.294689214591747</c:v>
                </c:pt>
                <c:pt idx="965">
                  <c:v>6.2946040679286996</c:v>
                </c:pt>
                <c:pt idx="966">
                  <c:v>6.2945189212242001</c:v>
                </c:pt>
                <c:pt idx="967">
                  <c:v>6.294433774478291</c:v>
                </c:pt>
                <c:pt idx="968">
                  <c:v>6.2943486276910203</c:v>
                </c:pt>
                <c:pt idx="969">
                  <c:v>6.2942634808624263</c:v>
                </c:pt>
                <c:pt idx="970">
                  <c:v>6.2941783339925621</c:v>
                </c:pt>
                <c:pt idx="971">
                  <c:v>6.2940931870814634</c:v>
                </c:pt>
                <c:pt idx="972">
                  <c:v>6.2940080401291745</c:v>
                </c:pt>
                <c:pt idx="973">
                  <c:v>6.2939228931357469</c:v>
                </c:pt>
                <c:pt idx="974">
                  <c:v>6.293837746101218</c:v>
                </c:pt>
                <c:pt idx="975">
                  <c:v>6.2937525990256358</c:v>
                </c:pt>
                <c:pt idx="976">
                  <c:v>6.2936674519090392</c:v>
                </c:pt>
                <c:pt idx="977">
                  <c:v>6.2935823047514781</c:v>
                </c:pt>
                <c:pt idx="978">
                  <c:v>6.293497157552995</c:v>
                </c:pt>
                <c:pt idx="979">
                  <c:v>6.2934120103136317</c:v>
                </c:pt>
                <c:pt idx="980">
                  <c:v>6.2933268630334327</c:v>
                </c:pt>
                <c:pt idx="981">
                  <c:v>6.2932417157124441</c:v>
                </c:pt>
                <c:pt idx="982">
                  <c:v>6.2931565683507102</c:v>
                </c:pt>
                <c:pt idx="983">
                  <c:v>6.293071420948273</c:v>
                </c:pt>
                <c:pt idx="984">
                  <c:v>6.2929862735051785</c:v>
                </c:pt>
                <c:pt idx="985">
                  <c:v>6.2929011260214676</c:v>
                </c:pt>
                <c:pt idx="986">
                  <c:v>6.29281597849719</c:v>
                </c:pt>
                <c:pt idx="987">
                  <c:v>6.2927308309323839</c:v>
                </c:pt>
                <c:pt idx="988">
                  <c:v>6.2926456833270965</c:v>
                </c:pt>
                <c:pt idx="989">
                  <c:v>6.2925605356813694</c:v>
                </c:pt>
                <c:pt idx="990">
                  <c:v>6.2924753879952497</c:v>
                </c:pt>
                <c:pt idx="991">
                  <c:v>6.2923902402687819</c:v>
                </c:pt>
                <c:pt idx="992">
                  <c:v>6.2923050925020085</c:v>
                </c:pt>
                <c:pt idx="993">
                  <c:v>6.2922199446949687</c:v>
                </c:pt>
                <c:pt idx="994">
                  <c:v>6.2921347968477157</c:v>
                </c:pt>
                <c:pt idx="995">
                  <c:v>6.2920496489602904</c:v>
                </c:pt>
                <c:pt idx="996">
                  <c:v>6.2919645010327345</c:v>
                </c:pt>
                <c:pt idx="997">
                  <c:v>6.2918793530650934</c:v>
                </c:pt>
                <c:pt idx="998">
                  <c:v>6.2917942050574087</c:v>
                </c:pt>
                <c:pt idx="999">
                  <c:v>6.2917090570097294</c:v>
                </c:pt>
                <c:pt idx="1000">
                  <c:v>6.2916239089220962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C-DF48-ADA1-B093CE44BC66}"/>
            </c:ext>
          </c:extLst>
        </c:ser>
        <c:ser>
          <c:idx val="1"/>
          <c:order val="1"/>
          <c:tx>
            <c:strRef>
              <c:f>Courbes!$B$138</c:f>
              <c:strCache>
                <c:ptCount val="1"/>
                <c:pt idx="0">
                  <c:v>Charge vue par un capteur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2.1000000000000014</c:v>
                </c:pt>
                <c:pt idx="202">
                  <c:v>2.2000000000000015</c:v>
                </c:pt>
                <c:pt idx="203">
                  <c:v>2.3000000000000016</c:v>
                </c:pt>
                <c:pt idx="204">
                  <c:v>2.4000000000000017</c:v>
                </c:pt>
                <c:pt idx="205">
                  <c:v>2.5000000000000018</c:v>
                </c:pt>
                <c:pt idx="206">
                  <c:v>2.6000000000000019</c:v>
                </c:pt>
                <c:pt idx="207">
                  <c:v>2.700000000000002</c:v>
                </c:pt>
                <c:pt idx="208">
                  <c:v>2.800000000000002</c:v>
                </c:pt>
                <c:pt idx="209">
                  <c:v>2.9000000000000021</c:v>
                </c:pt>
                <c:pt idx="210">
                  <c:v>3.0000000000000022</c:v>
                </c:pt>
                <c:pt idx="211">
                  <c:v>3.1000000000000023</c:v>
                </c:pt>
                <c:pt idx="212">
                  <c:v>3.2000000000000024</c:v>
                </c:pt>
                <c:pt idx="213">
                  <c:v>3.3000000000000025</c:v>
                </c:pt>
                <c:pt idx="214">
                  <c:v>3.4000000000000026</c:v>
                </c:pt>
                <c:pt idx="215">
                  <c:v>3.5000000000000027</c:v>
                </c:pt>
                <c:pt idx="216">
                  <c:v>3.6000000000000028</c:v>
                </c:pt>
                <c:pt idx="217">
                  <c:v>3.7000000000000028</c:v>
                </c:pt>
                <c:pt idx="218">
                  <c:v>3.8000000000000029</c:v>
                </c:pt>
                <c:pt idx="219">
                  <c:v>3.900000000000003</c:v>
                </c:pt>
                <c:pt idx="220">
                  <c:v>4.0000000000000027</c:v>
                </c:pt>
                <c:pt idx="221">
                  <c:v>4.1000000000000023</c:v>
                </c:pt>
                <c:pt idx="222">
                  <c:v>4.200000000000002</c:v>
                </c:pt>
                <c:pt idx="223">
                  <c:v>4.3000000000000016</c:v>
                </c:pt>
                <c:pt idx="224">
                  <c:v>4.4000000000000012</c:v>
                </c:pt>
                <c:pt idx="225">
                  <c:v>4.5000000000000009</c:v>
                </c:pt>
                <c:pt idx="226">
                  <c:v>4.6000000000000005</c:v>
                </c:pt>
                <c:pt idx="227">
                  <c:v>4.7</c:v>
                </c:pt>
                <c:pt idx="228">
                  <c:v>4.8</c:v>
                </c:pt>
                <c:pt idx="229">
                  <c:v>4.8999999999999995</c:v>
                </c:pt>
                <c:pt idx="230">
                  <c:v>4.9999999999999991</c:v>
                </c:pt>
                <c:pt idx="231">
                  <c:v>5.0999999999999988</c:v>
                </c:pt>
                <c:pt idx="232">
                  <c:v>5.1999999999999984</c:v>
                </c:pt>
                <c:pt idx="233">
                  <c:v>5.299999999999998</c:v>
                </c:pt>
                <c:pt idx="234">
                  <c:v>5.3999999999999977</c:v>
                </c:pt>
                <c:pt idx="235">
                  <c:v>5.4999999999999973</c:v>
                </c:pt>
                <c:pt idx="236">
                  <c:v>5.599999999999997</c:v>
                </c:pt>
                <c:pt idx="237">
                  <c:v>5.6999999999999966</c:v>
                </c:pt>
                <c:pt idx="238">
                  <c:v>5.7999999999999963</c:v>
                </c:pt>
                <c:pt idx="239">
                  <c:v>5.8999999999999959</c:v>
                </c:pt>
                <c:pt idx="240">
                  <c:v>5.9999999999999956</c:v>
                </c:pt>
                <c:pt idx="241">
                  <c:v>6.0999999999999952</c:v>
                </c:pt>
                <c:pt idx="242">
                  <c:v>6.1999999999999948</c:v>
                </c:pt>
                <c:pt idx="243">
                  <c:v>6.2999999999999945</c:v>
                </c:pt>
                <c:pt idx="244">
                  <c:v>6.3999999999999941</c:v>
                </c:pt>
                <c:pt idx="245">
                  <c:v>6.4999999999999938</c:v>
                </c:pt>
                <c:pt idx="246">
                  <c:v>6.5999999999999934</c:v>
                </c:pt>
                <c:pt idx="247">
                  <c:v>6.6999999999999931</c:v>
                </c:pt>
                <c:pt idx="248">
                  <c:v>6.7999999999999927</c:v>
                </c:pt>
                <c:pt idx="249">
                  <c:v>6.8999999999999924</c:v>
                </c:pt>
                <c:pt idx="250">
                  <c:v>6.999999999999992</c:v>
                </c:pt>
                <c:pt idx="251">
                  <c:v>7.0999999999999917</c:v>
                </c:pt>
                <c:pt idx="252">
                  <c:v>7.1999999999999913</c:v>
                </c:pt>
                <c:pt idx="253">
                  <c:v>7.2999999999999909</c:v>
                </c:pt>
                <c:pt idx="254">
                  <c:v>7.3999999999999906</c:v>
                </c:pt>
                <c:pt idx="255">
                  <c:v>7.4999999999999902</c:v>
                </c:pt>
                <c:pt idx="256">
                  <c:v>7.5999999999999899</c:v>
                </c:pt>
                <c:pt idx="257">
                  <c:v>7.6999999999999895</c:v>
                </c:pt>
                <c:pt idx="258">
                  <c:v>7.7999999999999892</c:v>
                </c:pt>
                <c:pt idx="259">
                  <c:v>7.8999999999999888</c:v>
                </c:pt>
                <c:pt idx="260">
                  <c:v>7.9999999999999885</c:v>
                </c:pt>
                <c:pt idx="261">
                  <c:v>8.099999999999989</c:v>
                </c:pt>
                <c:pt idx="262">
                  <c:v>8.1999999999999886</c:v>
                </c:pt>
                <c:pt idx="263">
                  <c:v>8.2999999999999883</c:v>
                </c:pt>
                <c:pt idx="264">
                  <c:v>8.3999999999999879</c:v>
                </c:pt>
                <c:pt idx="265">
                  <c:v>8.4999999999999876</c:v>
                </c:pt>
                <c:pt idx="266">
                  <c:v>8.5999999999999872</c:v>
                </c:pt>
                <c:pt idx="267">
                  <c:v>8.6999999999999869</c:v>
                </c:pt>
                <c:pt idx="268">
                  <c:v>8.7999999999999865</c:v>
                </c:pt>
                <c:pt idx="269">
                  <c:v>8.8999999999999861</c:v>
                </c:pt>
                <c:pt idx="270">
                  <c:v>8.9999999999999858</c:v>
                </c:pt>
                <c:pt idx="271">
                  <c:v>9.0999999999999854</c:v>
                </c:pt>
                <c:pt idx="272">
                  <c:v>9.1999999999999851</c:v>
                </c:pt>
                <c:pt idx="273">
                  <c:v>9.2999999999999847</c:v>
                </c:pt>
                <c:pt idx="274">
                  <c:v>9.3999999999999844</c:v>
                </c:pt>
                <c:pt idx="275">
                  <c:v>9.499999999999984</c:v>
                </c:pt>
                <c:pt idx="276">
                  <c:v>9.5999999999999837</c:v>
                </c:pt>
                <c:pt idx="277">
                  <c:v>9.6999999999999833</c:v>
                </c:pt>
                <c:pt idx="278">
                  <c:v>9.7999999999999829</c:v>
                </c:pt>
                <c:pt idx="279">
                  <c:v>9.8999999999999826</c:v>
                </c:pt>
                <c:pt idx="280">
                  <c:v>9.9999999999999822</c:v>
                </c:pt>
                <c:pt idx="281">
                  <c:v>10.099999999999982</c:v>
                </c:pt>
                <c:pt idx="282">
                  <c:v>10.199999999999982</c:v>
                </c:pt>
                <c:pt idx="283">
                  <c:v>10.299999999999981</c:v>
                </c:pt>
                <c:pt idx="284">
                  <c:v>10.399999999999981</c:v>
                </c:pt>
                <c:pt idx="285">
                  <c:v>10.49999999999998</c:v>
                </c:pt>
                <c:pt idx="286">
                  <c:v>10.59999999999998</c:v>
                </c:pt>
                <c:pt idx="287">
                  <c:v>10.69999999999998</c:v>
                </c:pt>
                <c:pt idx="288">
                  <c:v>10.799999999999979</c:v>
                </c:pt>
                <c:pt idx="289">
                  <c:v>10.899999999999979</c:v>
                </c:pt>
                <c:pt idx="290">
                  <c:v>10.999999999999979</c:v>
                </c:pt>
                <c:pt idx="291">
                  <c:v>11.099999999999978</c:v>
                </c:pt>
                <c:pt idx="292">
                  <c:v>11.199999999999978</c:v>
                </c:pt>
                <c:pt idx="293">
                  <c:v>11.299999999999978</c:v>
                </c:pt>
                <c:pt idx="294">
                  <c:v>11.399999999999977</c:v>
                </c:pt>
                <c:pt idx="295">
                  <c:v>11.499999999999977</c:v>
                </c:pt>
                <c:pt idx="296">
                  <c:v>11.599999999999977</c:v>
                </c:pt>
                <c:pt idx="297">
                  <c:v>11.699999999999976</c:v>
                </c:pt>
                <c:pt idx="298">
                  <c:v>11.799999999999976</c:v>
                </c:pt>
                <c:pt idx="299">
                  <c:v>11.899999999999975</c:v>
                </c:pt>
                <c:pt idx="300">
                  <c:v>11.999999999999975</c:v>
                </c:pt>
                <c:pt idx="301">
                  <c:v>12.000099999999975</c:v>
                </c:pt>
                <c:pt idx="302">
                  <c:v>12.000199999999975</c:v>
                </c:pt>
                <c:pt idx="303">
                  <c:v>12.000299999999974</c:v>
                </c:pt>
                <c:pt idx="304">
                  <c:v>12.000399999999974</c:v>
                </c:pt>
                <c:pt idx="305">
                  <c:v>12.000499999999974</c:v>
                </c:pt>
                <c:pt idx="306">
                  <c:v>12.000599999999974</c:v>
                </c:pt>
                <c:pt idx="307">
                  <c:v>12.000699999999973</c:v>
                </c:pt>
                <c:pt idx="308">
                  <c:v>12.000799999999973</c:v>
                </c:pt>
                <c:pt idx="309">
                  <c:v>12.000899999999973</c:v>
                </c:pt>
                <c:pt idx="310">
                  <c:v>12.000999999999973</c:v>
                </c:pt>
                <c:pt idx="311">
                  <c:v>12.001099999999973</c:v>
                </c:pt>
                <c:pt idx="312">
                  <c:v>12.001199999999972</c:v>
                </c:pt>
                <c:pt idx="313">
                  <c:v>12.001299999999972</c:v>
                </c:pt>
                <c:pt idx="314">
                  <c:v>12.001399999999972</c:v>
                </c:pt>
                <c:pt idx="315">
                  <c:v>12.001499999999972</c:v>
                </c:pt>
                <c:pt idx="316">
                  <c:v>12.001599999999971</c:v>
                </c:pt>
                <c:pt idx="317">
                  <c:v>12.001699999999971</c:v>
                </c:pt>
                <c:pt idx="318">
                  <c:v>12.001799999999971</c:v>
                </c:pt>
                <c:pt idx="319">
                  <c:v>12.001899999999971</c:v>
                </c:pt>
                <c:pt idx="320">
                  <c:v>12.00199999999997</c:v>
                </c:pt>
                <c:pt idx="321">
                  <c:v>12.00209999999997</c:v>
                </c:pt>
                <c:pt idx="322">
                  <c:v>12.00219999999997</c:v>
                </c:pt>
                <c:pt idx="323">
                  <c:v>12.00229999999997</c:v>
                </c:pt>
                <c:pt idx="324">
                  <c:v>12.00239999999997</c:v>
                </c:pt>
                <c:pt idx="325">
                  <c:v>12.002499999999969</c:v>
                </c:pt>
                <c:pt idx="326">
                  <c:v>12.002599999999969</c:v>
                </c:pt>
                <c:pt idx="327">
                  <c:v>12.002699999999969</c:v>
                </c:pt>
                <c:pt idx="328">
                  <c:v>12.002799999999969</c:v>
                </c:pt>
                <c:pt idx="329">
                  <c:v>12.002899999999968</c:v>
                </c:pt>
                <c:pt idx="330">
                  <c:v>12.002999999999968</c:v>
                </c:pt>
                <c:pt idx="331">
                  <c:v>12.003099999999968</c:v>
                </c:pt>
                <c:pt idx="332">
                  <c:v>12.003199999999968</c:v>
                </c:pt>
                <c:pt idx="333">
                  <c:v>12.003299999999967</c:v>
                </c:pt>
                <c:pt idx="334">
                  <c:v>12.003399999999967</c:v>
                </c:pt>
                <c:pt idx="335">
                  <c:v>12.003499999999967</c:v>
                </c:pt>
                <c:pt idx="336">
                  <c:v>12.003599999999967</c:v>
                </c:pt>
                <c:pt idx="337">
                  <c:v>12.003699999999967</c:v>
                </c:pt>
                <c:pt idx="338">
                  <c:v>12.003799999999966</c:v>
                </c:pt>
                <c:pt idx="339">
                  <c:v>12.003899999999966</c:v>
                </c:pt>
                <c:pt idx="340">
                  <c:v>12.003999999999966</c:v>
                </c:pt>
                <c:pt idx="341">
                  <c:v>12.004099999999966</c:v>
                </c:pt>
                <c:pt idx="342">
                  <c:v>12.004199999999965</c:v>
                </c:pt>
                <c:pt idx="343">
                  <c:v>12.004299999999965</c:v>
                </c:pt>
                <c:pt idx="344">
                  <c:v>12.004399999999965</c:v>
                </c:pt>
                <c:pt idx="345">
                  <c:v>12.004499999999965</c:v>
                </c:pt>
                <c:pt idx="346">
                  <c:v>12.004599999999964</c:v>
                </c:pt>
                <c:pt idx="347">
                  <c:v>12.004699999999964</c:v>
                </c:pt>
                <c:pt idx="348">
                  <c:v>12.004799999999964</c:v>
                </c:pt>
                <c:pt idx="349">
                  <c:v>12.004899999999964</c:v>
                </c:pt>
                <c:pt idx="350">
                  <c:v>12.004999999999963</c:v>
                </c:pt>
                <c:pt idx="351">
                  <c:v>12.005099999999963</c:v>
                </c:pt>
                <c:pt idx="352">
                  <c:v>12.005199999999963</c:v>
                </c:pt>
                <c:pt idx="353">
                  <c:v>12.005299999999963</c:v>
                </c:pt>
                <c:pt idx="354">
                  <c:v>12.005399999999963</c:v>
                </c:pt>
                <c:pt idx="355">
                  <c:v>12.005499999999962</c:v>
                </c:pt>
                <c:pt idx="356">
                  <c:v>12.005599999999962</c:v>
                </c:pt>
                <c:pt idx="357">
                  <c:v>12.005699999999962</c:v>
                </c:pt>
                <c:pt idx="358">
                  <c:v>12.005799999999962</c:v>
                </c:pt>
                <c:pt idx="359">
                  <c:v>12.005899999999961</c:v>
                </c:pt>
                <c:pt idx="360">
                  <c:v>12.005999999999961</c:v>
                </c:pt>
                <c:pt idx="361">
                  <c:v>12.006099999999961</c:v>
                </c:pt>
                <c:pt idx="362">
                  <c:v>12.006199999999961</c:v>
                </c:pt>
                <c:pt idx="363">
                  <c:v>12.00629999999996</c:v>
                </c:pt>
                <c:pt idx="364">
                  <c:v>12.00639999999996</c:v>
                </c:pt>
                <c:pt idx="365">
                  <c:v>12.00649999999996</c:v>
                </c:pt>
                <c:pt idx="366">
                  <c:v>12.00659999999996</c:v>
                </c:pt>
                <c:pt idx="367">
                  <c:v>12.00669999999996</c:v>
                </c:pt>
                <c:pt idx="368">
                  <c:v>12.006799999999959</c:v>
                </c:pt>
                <c:pt idx="369">
                  <c:v>12.006899999999959</c:v>
                </c:pt>
                <c:pt idx="370">
                  <c:v>12.006999999999959</c:v>
                </c:pt>
                <c:pt idx="371">
                  <c:v>12.007099999999959</c:v>
                </c:pt>
                <c:pt idx="372">
                  <c:v>12.007199999999958</c:v>
                </c:pt>
                <c:pt idx="373">
                  <c:v>12.007299999999958</c:v>
                </c:pt>
                <c:pt idx="374">
                  <c:v>12.007399999999958</c:v>
                </c:pt>
                <c:pt idx="375">
                  <c:v>12.007499999999958</c:v>
                </c:pt>
                <c:pt idx="376">
                  <c:v>12.007599999999957</c:v>
                </c:pt>
                <c:pt idx="377">
                  <c:v>12.007699999999957</c:v>
                </c:pt>
                <c:pt idx="378">
                  <c:v>12.007799999999957</c:v>
                </c:pt>
                <c:pt idx="379">
                  <c:v>12.007899999999957</c:v>
                </c:pt>
                <c:pt idx="380">
                  <c:v>12.007999999999956</c:v>
                </c:pt>
                <c:pt idx="381">
                  <c:v>12.008099999999956</c:v>
                </c:pt>
                <c:pt idx="382">
                  <c:v>12.008199999999956</c:v>
                </c:pt>
                <c:pt idx="383">
                  <c:v>12.008299999999956</c:v>
                </c:pt>
                <c:pt idx="384">
                  <c:v>12.008399999999956</c:v>
                </c:pt>
                <c:pt idx="385">
                  <c:v>12.008499999999955</c:v>
                </c:pt>
                <c:pt idx="386">
                  <c:v>12.008599999999955</c:v>
                </c:pt>
                <c:pt idx="387">
                  <c:v>12.008699999999955</c:v>
                </c:pt>
                <c:pt idx="388">
                  <c:v>12.008799999999955</c:v>
                </c:pt>
                <c:pt idx="389">
                  <c:v>12.008899999999954</c:v>
                </c:pt>
                <c:pt idx="390">
                  <c:v>12.008999999999954</c:v>
                </c:pt>
                <c:pt idx="391">
                  <c:v>12.009099999999954</c:v>
                </c:pt>
                <c:pt idx="392">
                  <c:v>12.009199999999954</c:v>
                </c:pt>
                <c:pt idx="393">
                  <c:v>12.009299999999953</c:v>
                </c:pt>
                <c:pt idx="394">
                  <c:v>12.009399999999953</c:v>
                </c:pt>
                <c:pt idx="395">
                  <c:v>12.009499999999953</c:v>
                </c:pt>
                <c:pt idx="396">
                  <c:v>12.009599999999953</c:v>
                </c:pt>
                <c:pt idx="397">
                  <c:v>12.009699999999953</c:v>
                </c:pt>
                <c:pt idx="398">
                  <c:v>12.009799999999952</c:v>
                </c:pt>
                <c:pt idx="399">
                  <c:v>12.009899999999952</c:v>
                </c:pt>
                <c:pt idx="400">
                  <c:v>12.009999999999952</c:v>
                </c:pt>
                <c:pt idx="401">
                  <c:v>12.010099999999952</c:v>
                </c:pt>
                <c:pt idx="402">
                  <c:v>12.010199999999951</c:v>
                </c:pt>
                <c:pt idx="403">
                  <c:v>12.010299999999951</c:v>
                </c:pt>
                <c:pt idx="404">
                  <c:v>12.010399999999951</c:v>
                </c:pt>
                <c:pt idx="405">
                  <c:v>12.010499999999951</c:v>
                </c:pt>
                <c:pt idx="406">
                  <c:v>12.01059999999995</c:v>
                </c:pt>
                <c:pt idx="407">
                  <c:v>12.01069999999995</c:v>
                </c:pt>
                <c:pt idx="408">
                  <c:v>12.01079999999995</c:v>
                </c:pt>
                <c:pt idx="409">
                  <c:v>12.01089999999995</c:v>
                </c:pt>
                <c:pt idx="410">
                  <c:v>12.010999999999949</c:v>
                </c:pt>
                <c:pt idx="411">
                  <c:v>12.011099999999949</c:v>
                </c:pt>
                <c:pt idx="412">
                  <c:v>12.011199999999949</c:v>
                </c:pt>
                <c:pt idx="413">
                  <c:v>12.011299999999949</c:v>
                </c:pt>
                <c:pt idx="414">
                  <c:v>12.011399999999949</c:v>
                </c:pt>
                <c:pt idx="415">
                  <c:v>12.011499999999948</c:v>
                </c:pt>
                <c:pt idx="416">
                  <c:v>12.011599999999948</c:v>
                </c:pt>
                <c:pt idx="417">
                  <c:v>12.011699999999948</c:v>
                </c:pt>
                <c:pt idx="418">
                  <c:v>12.011799999999948</c:v>
                </c:pt>
                <c:pt idx="419">
                  <c:v>12.011899999999947</c:v>
                </c:pt>
                <c:pt idx="420">
                  <c:v>12.011999999999947</c:v>
                </c:pt>
                <c:pt idx="421">
                  <c:v>12.012099999999947</c:v>
                </c:pt>
                <c:pt idx="422">
                  <c:v>12.012199999999947</c:v>
                </c:pt>
                <c:pt idx="423">
                  <c:v>12.012299999999946</c:v>
                </c:pt>
                <c:pt idx="424">
                  <c:v>12.012399999999946</c:v>
                </c:pt>
                <c:pt idx="425">
                  <c:v>12.012499999999946</c:v>
                </c:pt>
                <c:pt idx="426">
                  <c:v>12.012599999999946</c:v>
                </c:pt>
                <c:pt idx="427">
                  <c:v>12.012699999999946</c:v>
                </c:pt>
                <c:pt idx="428">
                  <c:v>12.012799999999945</c:v>
                </c:pt>
                <c:pt idx="429">
                  <c:v>12.012899999999945</c:v>
                </c:pt>
                <c:pt idx="430">
                  <c:v>12.012999999999945</c:v>
                </c:pt>
                <c:pt idx="431">
                  <c:v>12.013099999999945</c:v>
                </c:pt>
                <c:pt idx="432">
                  <c:v>12.013199999999944</c:v>
                </c:pt>
                <c:pt idx="433">
                  <c:v>12.013299999999944</c:v>
                </c:pt>
                <c:pt idx="434">
                  <c:v>12.013399999999944</c:v>
                </c:pt>
                <c:pt idx="435">
                  <c:v>12.013499999999944</c:v>
                </c:pt>
                <c:pt idx="436">
                  <c:v>12.013599999999943</c:v>
                </c:pt>
                <c:pt idx="437">
                  <c:v>12.013699999999943</c:v>
                </c:pt>
                <c:pt idx="438">
                  <c:v>12.013799999999943</c:v>
                </c:pt>
                <c:pt idx="439">
                  <c:v>12.013899999999943</c:v>
                </c:pt>
                <c:pt idx="440">
                  <c:v>12.013999999999943</c:v>
                </c:pt>
                <c:pt idx="441">
                  <c:v>12.014099999999942</c:v>
                </c:pt>
                <c:pt idx="442">
                  <c:v>12.014199999999942</c:v>
                </c:pt>
                <c:pt idx="443">
                  <c:v>12.014299999999942</c:v>
                </c:pt>
                <c:pt idx="444">
                  <c:v>12.014399999999942</c:v>
                </c:pt>
                <c:pt idx="445">
                  <c:v>12.014499999999941</c:v>
                </c:pt>
                <c:pt idx="446">
                  <c:v>12.014599999999941</c:v>
                </c:pt>
                <c:pt idx="447">
                  <c:v>12.014699999999941</c:v>
                </c:pt>
                <c:pt idx="448">
                  <c:v>12.014799999999941</c:v>
                </c:pt>
                <c:pt idx="449">
                  <c:v>12.01489999999994</c:v>
                </c:pt>
                <c:pt idx="450">
                  <c:v>12.01499999999994</c:v>
                </c:pt>
                <c:pt idx="451">
                  <c:v>12.01509999999994</c:v>
                </c:pt>
                <c:pt idx="452">
                  <c:v>12.01519999999994</c:v>
                </c:pt>
                <c:pt idx="453">
                  <c:v>12.015299999999939</c:v>
                </c:pt>
                <c:pt idx="454">
                  <c:v>12.015399999999939</c:v>
                </c:pt>
                <c:pt idx="455">
                  <c:v>12.015499999999939</c:v>
                </c:pt>
                <c:pt idx="456">
                  <c:v>12.015599999999939</c:v>
                </c:pt>
                <c:pt idx="457">
                  <c:v>12.015699999999939</c:v>
                </c:pt>
                <c:pt idx="458">
                  <c:v>12.015799999999938</c:v>
                </c:pt>
                <c:pt idx="459">
                  <c:v>12.015899999999938</c:v>
                </c:pt>
                <c:pt idx="460">
                  <c:v>12.015999999999938</c:v>
                </c:pt>
                <c:pt idx="461">
                  <c:v>12.016099999999938</c:v>
                </c:pt>
                <c:pt idx="462">
                  <c:v>12.016199999999937</c:v>
                </c:pt>
                <c:pt idx="463">
                  <c:v>12.016299999999937</c:v>
                </c:pt>
                <c:pt idx="464">
                  <c:v>12.016399999999937</c:v>
                </c:pt>
                <c:pt idx="465">
                  <c:v>12.016499999999937</c:v>
                </c:pt>
                <c:pt idx="466">
                  <c:v>12.016599999999936</c:v>
                </c:pt>
                <c:pt idx="467">
                  <c:v>12.016699999999936</c:v>
                </c:pt>
                <c:pt idx="468">
                  <c:v>12.016799999999936</c:v>
                </c:pt>
                <c:pt idx="469">
                  <c:v>12.016899999999936</c:v>
                </c:pt>
                <c:pt idx="470">
                  <c:v>12.016999999999936</c:v>
                </c:pt>
                <c:pt idx="471">
                  <c:v>12.017099999999935</c:v>
                </c:pt>
                <c:pt idx="472">
                  <c:v>12.017199999999935</c:v>
                </c:pt>
                <c:pt idx="473">
                  <c:v>12.017299999999935</c:v>
                </c:pt>
                <c:pt idx="474">
                  <c:v>12.017399999999935</c:v>
                </c:pt>
                <c:pt idx="475">
                  <c:v>12.017499999999934</c:v>
                </c:pt>
                <c:pt idx="476">
                  <c:v>12.017599999999934</c:v>
                </c:pt>
                <c:pt idx="477">
                  <c:v>12.017699999999934</c:v>
                </c:pt>
                <c:pt idx="478">
                  <c:v>12.017799999999934</c:v>
                </c:pt>
                <c:pt idx="479">
                  <c:v>12.017899999999933</c:v>
                </c:pt>
                <c:pt idx="480">
                  <c:v>12.017999999999933</c:v>
                </c:pt>
                <c:pt idx="481">
                  <c:v>12.018099999999933</c:v>
                </c:pt>
                <c:pt idx="482">
                  <c:v>12.018199999999933</c:v>
                </c:pt>
                <c:pt idx="483">
                  <c:v>12.018299999999932</c:v>
                </c:pt>
                <c:pt idx="484">
                  <c:v>12.018399999999932</c:v>
                </c:pt>
                <c:pt idx="485">
                  <c:v>12.018499999999932</c:v>
                </c:pt>
                <c:pt idx="486">
                  <c:v>12.018599999999932</c:v>
                </c:pt>
                <c:pt idx="487">
                  <c:v>12.018699999999932</c:v>
                </c:pt>
                <c:pt idx="488">
                  <c:v>12.018799999999931</c:v>
                </c:pt>
                <c:pt idx="489">
                  <c:v>12.018899999999931</c:v>
                </c:pt>
                <c:pt idx="490">
                  <c:v>12.018999999999931</c:v>
                </c:pt>
                <c:pt idx="491">
                  <c:v>12.019099999999931</c:v>
                </c:pt>
                <c:pt idx="492">
                  <c:v>12.01919999999993</c:v>
                </c:pt>
                <c:pt idx="493">
                  <c:v>12.01929999999993</c:v>
                </c:pt>
                <c:pt idx="494">
                  <c:v>12.01939999999993</c:v>
                </c:pt>
                <c:pt idx="495">
                  <c:v>12.01949999999993</c:v>
                </c:pt>
                <c:pt idx="496">
                  <c:v>12.019599999999929</c:v>
                </c:pt>
                <c:pt idx="497">
                  <c:v>12.019699999999929</c:v>
                </c:pt>
                <c:pt idx="498">
                  <c:v>12.019799999999929</c:v>
                </c:pt>
                <c:pt idx="499">
                  <c:v>12.019899999999929</c:v>
                </c:pt>
                <c:pt idx="500">
                  <c:v>12.019999999999929</c:v>
                </c:pt>
                <c:pt idx="501">
                  <c:v>12.020099999999928</c:v>
                </c:pt>
                <c:pt idx="502">
                  <c:v>12.020199999999928</c:v>
                </c:pt>
                <c:pt idx="503">
                  <c:v>12.020299999999928</c:v>
                </c:pt>
                <c:pt idx="504">
                  <c:v>12.020399999999928</c:v>
                </c:pt>
                <c:pt idx="505">
                  <c:v>12.020499999999927</c:v>
                </c:pt>
                <c:pt idx="506">
                  <c:v>12.020599999999927</c:v>
                </c:pt>
                <c:pt idx="507">
                  <c:v>12.020699999999927</c:v>
                </c:pt>
                <c:pt idx="508">
                  <c:v>12.020799999999927</c:v>
                </c:pt>
                <c:pt idx="509">
                  <c:v>12.020899999999926</c:v>
                </c:pt>
                <c:pt idx="510">
                  <c:v>12.020999999999926</c:v>
                </c:pt>
                <c:pt idx="511">
                  <c:v>12.021099999999926</c:v>
                </c:pt>
                <c:pt idx="512">
                  <c:v>12.021199999999926</c:v>
                </c:pt>
                <c:pt idx="513">
                  <c:v>12.021299999999925</c:v>
                </c:pt>
                <c:pt idx="514">
                  <c:v>12.021399999999925</c:v>
                </c:pt>
                <c:pt idx="515">
                  <c:v>12.021499999999925</c:v>
                </c:pt>
                <c:pt idx="516">
                  <c:v>12.021599999999925</c:v>
                </c:pt>
                <c:pt idx="517">
                  <c:v>12.021699999999925</c:v>
                </c:pt>
                <c:pt idx="518">
                  <c:v>12.021799999999924</c:v>
                </c:pt>
                <c:pt idx="519">
                  <c:v>12.021899999999924</c:v>
                </c:pt>
                <c:pt idx="520">
                  <c:v>12.021999999999924</c:v>
                </c:pt>
                <c:pt idx="521">
                  <c:v>12.022099999999924</c:v>
                </c:pt>
                <c:pt idx="522">
                  <c:v>12.022199999999923</c:v>
                </c:pt>
                <c:pt idx="523">
                  <c:v>12.022299999999923</c:v>
                </c:pt>
                <c:pt idx="524">
                  <c:v>12.022399999999923</c:v>
                </c:pt>
                <c:pt idx="525">
                  <c:v>12.022499999999923</c:v>
                </c:pt>
                <c:pt idx="526">
                  <c:v>12.022599999999922</c:v>
                </c:pt>
                <c:pt idx="527">
                  <c:v>12.022699999999922</c:v>
                </c:pt>
                <c:pt idx="528">
                  <c:v>12.022799999999922</c:v>
                </c:pt>
                <c:pt idx="529">
                  <c:v>12.022899999999922</c:v>
                </c:pt>
                <c:pt idx="530">
                  <c:v>12.022999999999922</c:v>
                </c:pt>
                <c:pt idx="531">
                  <c:v>12.023099999999921</c:v>
                </c:pt>
                <c:pt idx="532">
                  <c:v>12.023199999999921</c:v>
                </c:pt>
                <c:pt idx="533">
                  <c:v>12.023299999999921</c:v>
                </c:pt>
                <c:pt idx="534">
                  <c:v>12.023399999999921</c:v>
                </c:pt>
                <c:pt idx="535">
                  <c:v>12.02349999999992</c:v>
                </c:pt>
                <c:pt idx="536">
                  <c:v>12.02359999999992</c:v>
                </c:pt>
                <c:pt idx="537">
                  <c:v>12.02369999999992</c:v>
                </c:pt>
                <c:pt idx="538">
                  <c:v>12.02379999999992</c:v>
                </c:pt>
                <c:pt idx="539">
                  <c:v>12.023899999999919</c:v>
                </c:pt>
                <c:pt idx="540">
                  <c:v>12.023999999999919</c:v>
                </c:pt>
                <c:pt idx="541">
                  <c:v>12.024099999999919</c:v>
                </c:pt>
                <c:pt idx="542">
                  <c:v>12.024199999999919</c:v>
                </c:pt>
                <c:pt idx="543">
                  <c:v>12.024299999999918</c:v>
                </c:pt>
                <c:pt idx="544">
                  <c:v>12.024399999999918</c:v>
                </c:pt>
                <c:pt idx="545">
                  <c:v>12.024499999999918</c:v>
                </c:pt>
                <c:pt idx="546">
                  <c:v>12.024599999999918</c:v>
                </c:pt>
                <c:pt idx="547">
                  <c:v>12.024699999999918</c:v>
                </c:pt>
                <c:pt idx="548">
                  <c:v>12.024799999999917</c:v>
                </c:pt>
                <c:pt idx="549">
                  <c:v>12.024899999999917</c:v>
                </c:pt>
                <c:pt idx="550">
                  <c:v>12.024999999999917</c:v>
                </c:pt>
                <c:pt idx="551">
                  <c:v>12.025099999999917</c:v>
                </c:pt>
                <c:pt idx="552">
                  <c:v>12.025199999999916</c:v>
                </c:pt>
                <c:pt idx="553">
                  <c:v>12.025299999999916</c:v>
                </c:pt>
                <c:pt idx="554">
                  <c:v>12.025399999999916</c:v>
                </c:pt>
                <c:pt idx="555">
                  <c:v>12.025499999999916</c:v>
                </c:pt>
                <c:pt idx="556">
                  <c:v>12.025599999999915</c:v>
                </c:pt>
                <c:pt idx="557">
                  <c:v>12.025699999999915</c:v>
                </c:pt>
                <c:pt idx="558">
                  <c:v>12.025799999999915</c:v>
                </c:pt>
                <c:pt idx="559">
                  <c:v>12.025899999999915</c:v>
                </c:pt>
                <c:pt idx="560">
                  <c:v>12.025999999999915</c:v>
                </c:pt>
                <c:pt idx="561">
                  <c:v>12.026099999999914</c:v>
                </c:pt>
                <c:pt idx="562">
                  <c:v>12.026199999999914</c:v>
                </c:pt>
                <c:pt idx="563">
                  <c:v>12.026299999999914</c:v>
                </c:pt>
                <c:pt idx="564">
                  <c:v>12.026399999999914</c:v>
                </c:pt>
                <c:pt idx="565">
                  <c:v>12.026499999999913</c:v>
                </c:pt>
                <c:pt idx="566">
                  <c:v>12.026599999999913</c:v>
                </c:pt>
                <c:pt idx="567">
                  <c:v>12.026699999999913</c:v>
                </c:pt>
                <c:pt idx="568">
                  <c:v>12.026799999999913</c:v>
                </c:pt>
                <c:pt idx="569">
                  <c:v>12.026899999999912</c:v>
                </c:pt>
                <c:pt idx="570">
                  <c:v>12.026999999999912</c:v>
                </c:pt>
                <c:pt idx="571">
                  <c:v>12.027099999999912</c:v>
                </c:pt>
                <c:pt idx="572">
                  <c:v>12.027199999999912</c:v>
                </c:pt>
                <c:pt idx="573">
                  <c:v>12.027299999999912</c:v>
                </c:pt>
                <c:pt idx="574">
                  <c:v>12.027399999999911</c:v>
                </c:pt>
                <c:pt idx="575">
                  <c:v>12.027499999999911</c:v>
                </c:pt>
                <c:pt idx="576">
                  <c:v>12.027599999999911</c:v>
                </c:pt>
                <c:pt idx="577">
                  <c:v>12.027699999999911</c:v>
                </c:pt>
                <c:pt idx="578">
                  <c:v>12.02779999999991</c:v>
                </c:pt>
                <c:pt idx="579">
                  <c:v>12.02789999999991</c:v>
                </c:pt>
                <c:pt idx="580">
                  <c:v>12.02799999999991</c:v>
                </c:pt>
                <c:pt idx="581">
                  <c:v>12.02809999999991</c:v>
                </c:pt>
                <c:pt idx="582">
                  <c:v>12.028199999999909</c:v>
                </c:pt>
                <c:pt idx="583">
                  <c:v>12.028299999999909</c:v>
                </c:pt>
                <c:pt idx="584">
                  <c:v>12.028399999999909</c:v>
                </c:pt>
                <c:pt idx="585">
                  <c:v>12.028499999999909</c:v>
                </c:pt>
                <c:pt idx="586">
                  <c:v>12.028599999999908</c:v>
                </c:pt>
                <c:pt idx="587">
                  <c:v>12.028699999999908</c:v>
                </c:pt>
                <c:pt idx="588">
                  <c:v>12.028799999999908</c:v>
                </c:pt>
                <c:pt idx="589">
                  <c:v>12.028899999999908</c:v>
                </c:pt>
                <c:pt idx="590">
                  <c:v>12.028999999999908</c:v>
                </c:pt>
                <c:pt idx="591">
                  <c:v>12.029099999999907</c:v>
                </c:pt>
                <c:pt idx="592">
                  <c:v>12.029199999999907</c:v>
                </c:pt>
                <c:pt idx="593">
                  <c:v>12.029299999999907</c:v>
                </c:pt>
                <c:pt idx="594">
                  <c:v>12.029399999999907</c:v>
                </c:pt>
                <c:pt idx="595">
                  <c:v>12.029499999999906</c:v>
                </c:pt>
                <c:pt idx="596">
                  <c:v>12.029599999999906</c:v>
                </c:pt>
                <c:pt idx="597">
                  <c:v>12.029699999999906</c:v>
                </c:pt>
                <c:pt idx="598">
                  <c:v>12.029799999999906</c:v>
                </c:pt>
                <c:pt idx="599">
                  <c:v>12.029899999999905</c:v>
                </c:pt>
                <c:pt idx="600">
                  <c:v>12.029999999999905</c:v>
                </c:pt>
                <c:pt idx="601">
                  <c:v>12.030099999999905</c:v>
                </c:pt>
                <c:pt idx="602">
                  <c:v>12.030199999999905</c:v>
                </c:pt>
                <c:pt idx="603">
                  <c:v>12.030299999999905</c:v>
                </c:pt>
                <c:pt idx="604">
                  <c:v>12.030399999999904</c:v>
                </c:pt>
                <c:pt idx="605">
                  <c:v>12.030499999999904</c:v>
                </c:pt>
                <c:pt idx="606">
                  <c:v>12.030599999999904</c:v>
                </c:pt>
                <c:pt idx="607">
                  <c:v>12.030699999999904</c:v>
                </c:pt>
                <c:pt idx="608">
                  <c:v>12.030799999999903</c:v>
                </c:pt>
                <c:pt idx="609">
                  <c:v>12.030899999999903</c:v>
                </c:pt>
                <c:pt idx="610">
                  <c:v>12.030999999999903</c:v>
                </c:pt>
                <c:pt idx="611">
                  <c:v>12.031099999999903</c:v>
                </c:pt>
                <c:pt idx="612">
                  <c:v>12.031199999999902</c:v>
                </c:pt>
                <c:pt idx="613">
                  <c:v>12.031299999999902</c:v>
                </c:pt>
                <c:pt idx="614">
                  <c:v>12.031399999999902</c:v>
                </c:pt>
                <c:pt idx="615">
                  <c:v>12.031499999999902</c:v>
                </c:pt>
                <c:pt idx="616">
                  <c:v>12.031599999999901</c:v>
                </c:pt>
                <c:pt idx="617">
                  <c:v>12.031699999999901</c:v>
                </c:pt>
                <c:pt idx="618">
                  <c:v>12.031799999999901</c:v>
                </c:pt>
                <c:pt idx="619">
                  <c:v>12.031899999999901</c:v>
                </c:pt>
                <c:pt idx="620">
                  <c:v>12.031999999999901</c:v>
                </c:pt>
                <c:pt idx="621">
                  <c:v>12.0320999999999</c:v>
                </c:pt>
                <c:pt idx="622">
                  <c:v>12.0321999999999</c:v>
                </c:pt>
                <c:pt idx="623">
                  <c:v>12.0322999999999</c:v>
                </c:pt>
                <c:pt idx="624">
                  <c:v>12.0323999999999</c:v>
                </c:pt>
                <c:pt idx="625">
                  <c:v>12.032499999999899</c:v>
                </c:pt>
                <c:pt idx="626">
                  <c:v>12.032599999999899</c:v>
                </c:pt>
                <c:pt idx="627">
                  <c:v>12.032699999999899</c:v>
                </c:pt>
                <c:pt idx="628">
                  <c:v>12.032799999999899</c:v>
                </c:pt>
                <c:pt idx="629">
                  <c:v>12.032899999999898</c:v>
                </c:pt>
                <c:pt idx="630">
                  <c:v>12.032999999999898</c:v>
                </c:pt>
                <c:pt idx="631">
                  <c:v>12.033099999999898</c:v>
                </c:pt>
                <c:pt idx="632">
                  <c:v>12.033199999999898</c:v>
                </c:pt>
                <c:pt idx="633">
                  <c:v>12.033299999999898</c:v>
                </c:pt>
                <c:pt idx="634">
                  <c:v>12.033399999999897</c:v>
                </c:pt>
                <c:pt idx="635">
                  <c:v>12.033499999999897</c:v>
                </c:pt>
                <c:pt idx="636">
                  <c:v>12.033599999999897</c:v>
                </c:pt>
                <c:pt idx="637">
                  <c:v>12.033699999999897</c:v>
                </c:pt>
                <c:pt idx="638">
                  <c:v>12.033799999999896</c:v>
                </c:pt>
                <c:pt idx="639">
                  <c:v>12.033899999999896</c:v>
                </c:pt>
                <c:pt idx="640">
                  <c:v>12.033999999999896</c:v>
                </c:pt>
                <c:pt idx="641">
                  <c:v>12.034099999999896</c:v>
                </c:pt>
                <c:pt idx="642">
                  <c:v>12.034199999999895</c:v>
                </c:pt>
                <c:pt idx="643">
                  <c:v>12.034299999999895</c:v>
                </c:pt>
                <c:pt idx="644">
                  <c:v>12.034399999999895</c:v>
                </c:pt>
                <c:pt idx="645">
                  <c:v>12.034499999999895</c:v>
                </c:pt>
                <c:pt idx="646">
                  <c:v>12.034599999999894</c:v>
                </c:pt>
                <c:pt idx="647">
                  <c:v>12.034699999999894</c:v>
                </c:pt>
                <c:pt idx="648">
                  <c:v>12.034799999999894</c:v>
                </c:pt>
                <c:pt idx="649">
                  <c:v>12.034899999999894</c:v>
                </c:pt>
                <c:pt idx="650">
                  <c:v>12.034999999999894</c:v>
                </c:pt>
                <c:pt idx="651">
                  <c:v>12.035099999999893</c:v>
                </c:pt>
                <c:pt idx="652">
                  <c:v>12.035199999999893</c:v>
                </c:pt>
                <c:pt idx="653">
                  <c:v>12.035299999999893</c:v>
                </c:pt>
                <c:pt idx="654">
                  <c:v>12.035399999999893</c:v>
                </c:pt>
                <c:pt idx="655">
                  <c:v>12.035499999999892</c:v>
                </c:pt>
                <c:pt idx="656">
                  <c:v>12.035599999999892</c:v>
                </c:pt>
                <c:pt idx="657">
                  <c:v>12.035699999999892</c:v>
                </c:pt>
                <c:pt idx="658">
                  <c:v>12.035799999999892</c:v>
                </c:pt>
                <c:pt idx="659">
                  <c:v>12.035899999999891</c:v>
                </c:pt>
                <c:pt idx="660">
                  <c:v>12.035999999999891</c:v>
                </c:pt>
                <c:pt idx="661">
                  <c:v>12.036099999999891</c:v>
                </c:pt>
                <c:pt idx="662">
                  <c:v>12.036199999999891</c:v>
                </c:pt>
                <c:pt idx="663">
                  <c:v>12.036299999999891</c:v>
                </c:pt>
                <c:pt idx="664">
                  <c:v>12.03639999999989</c:v>
                </c:pt>
                <c:pt idx="665">
                  <c:v>12.03649999999989</c:v>
                </c:pt>
                <c:pt idx="666">
                  <c:v>12.03659999999989</c:v>
                </c:pt>
                <c:pt idx="667">
                  <c:v>12.03669999999989</c:v>
                </c:pt>
                <c:pt idx="668">
                  <c:v>12.036799999999889</c:v>
                </c:pt>
                <c:pt idx="669">
                  <c:v>12.036899999999889</c:v>
                </c:pt>
                <c:pt idx="670">
                  <c:v>12.036999999999889</c:v>
                </c:pt>
                <c:pt idx="671">
                  <c:v>12.037099999999889</c:v>
                </c:pt>
                <c:pt idx="672">
                  <c:v>12.037199999999888</c:v>
                </c:pt>
                <c:pt idx="673">
                  <c:v>12.037299999999888</c:v>
                </c:pt>
                <c:pt idx="674">
                  <c:v>12.037399999999888</c:v>
                </c:pt>
                <c:pt idx="675">
                  <c:v>12.037499999999888</c:v>
                </c:pt>
                <c:pt idx="676">
                  <c:v>12.037599999999888</c:v>
                </c:pt>
                <c:pt idx="677">
                  <c:v>12.037699999999887</c:v>
                </c:pt>
                <c:pt idx="678">
                  <c:v>12.037799999999887</c:v>
                </c:pt>
                <c:pt idx="679">
                  <c:v>12.037899999999887</c:v>
                </c:pt>
                <c:pt idx="680">
                  <c:v>12.037999999999887</c:v>
                </c:pt>
                <c:pt idx="681">
                  <c:v>12.038099999999886</c:v>
                </c:pt>
                <c:pt idx="682">
                  <c:v>12.038199999999886</c:v>
                </c:pt>
                <c:pt idx="683">
                  <c:v>12.038299999999886</c:v>
                </c:pt>
                <c:pt idx="684">
                  <c:v>12.038399999999886</c:v>
                </c:pt>
                <c:pt idx="685">
                  <c:v>12.038499999999885</c:v>
                </c:pt>
                <c:pt idx="686">
                  <c:v>12.038599999999885</c:v>
                </c:pt>
                <c:pt idx="687">
                  <c:v>12.038699999999885</c:v>
                </c:pt>
                <c:pt idx="688">
                  <c:v>12.038799999999885</c:v>
                </c:pt>
                <c:pt idx="689">
                  <c:v>12.038899999999884</c:v>
                </c:pt>
                <c:pt idx="690">
                  <c:v>12.038999999999884</c:v>
                </c:pt>
                <c:pt idx="691">
                  <c:v>12.039099999999884</c:v>
                </c:pt>
                <c:pt idx="692">
                  <c:v>12.039199999999884</c:v>
                </c:pt>
                <c:pt idx="693">
                  <c:v>12.039299999999884</c:v>
                </c:pt>
                <c:pt idx="694">
                  <c:v>12.039399999999883</c:v>
                </c:pt>
                <c:pt idx="695">
                  <c:v>12.039499999999883</c:v>
                </c:pt>
                <c:pt idx="696">
                  <c:v>12.039599999999883</c:v>
                </c:pt>
                <c:pt idx="697">
                  <c:v>12.039699999999883</c:v>
                </c:pt>
                <c:pt idx="698">
                  <c:v>12.039799999999882</c:v>
                </c:pt>
                <c:pt idx="699">
                  <c:v>12.039899999999882</c:v>
                </c:pt>
                <c:pt idx="700">
                  <c:v>12.039999999999882</c:v>
                </c:pt>
                <c:pt idx="701">
                  <c:v>12.040099999999882</c:v>
                </c:pt>
                <c:pt idx="702">
                  <c:v>12.040199999999881</c:v>
                </c:pt>
                <c:pt idx="703">
                  <c:v>12.040299999999881</c:v>
                </c:pt>
                <c:pt idx="704">
                  <c:v>12.040399999999881</c:v>
                </c:pt>
                <c:pt idx="705">
                  <c:v>12.040499999999881</c:v>
                </c:pt>
                <c:pt idx="706">
                  <c:v>12.040599999999881</c:v>
                </c:pt>
                <c:pt idx="707">
                  <c:v>12.04069999999988</c:v>
                </c:pt>
                <c:pt idx="708">
                  <c:v>12.04079999999988</c:v>
                </c:pt>
                <c:pt idx="709">
                  <c:v>12.04089999999988</c:v>
                </c:pt>
                <c:pt idx="710">
                  <c:v>12.04099999999988</c:v>
                </c:pt>
                <c:pt idx="711">
                  <c:v>12.041099999999879</c:v>
                </c:pt>
                <c:pt idx="712">
                  <c:v>12.041199999999879</c:v>
                </c:pt>
                <c:pt idx="713">
                  <c:v>12.041299999999879</c:v>
                </c:pt>
                <c:pt idx="714">
                  <c:v>12.041399999999879</c:v>
                </c:pt>
                <c:pt idx="715">
                  <c:v>12.041499999999878</c:v>
                </c:pt>
                <c:pt idx="716">
                  <c:v>12.041599999999878</c:v>
                </c:pt>
                <c:pt idx="717">
                  <c:v>12.041699999999878</c:v>
                </c:pt>
                <c:pt idx="718">
                  <c:v>12.041799999999878</c:v>
                </c:pt>
                <c:pt idx="719">
                  <c:v>12.041899999999877</c:v>
                </c:pt>
                <c:pt idx="720">
                  <c:v>12.041999999999877</c:v>
                </c:pt>
                <c:pt idx="721">
                  <c:v>12.042099999999877</c:v>
                </c:pt>
                <c:pt idx="722">
                  <c:v>12.042199999999877</c:v>
                </c:pt>
                <c:pt idx="723">
                  <c:v>12.042299999999877</c:v>
                </c:pt>
                <c:pt idx="724">
                  <c:v>12.042399999999876</c:v>
                </c:pt>
                <c:pt idx="725">
                  <c:v>12.042499999999876</c:v>
                </c:pt>
                <c:pt idx="726">
                  <c:v>12.042599999999876</c:v>
                </c:pt>
                <c:pt idx="727">
                  <c:v>12.042699999999876</c:v>
                </c:pt>
                <c:pt idx="728">
                  <c:v>12.042799999999875</c:v>
                </c:pt>
                <c:pt idx="729">
                  <c:v>12.042899999999875</c:v>
                </c:pt>
                <c:pt idx="730">
                  <c:v>12.042999999999875</c:v>
                </c:pt>
                <c:pt idx="731">
                  <c:v>12.043099999999875</c:v>
                </c:pt>
                <c:pt idx="732">
                  <c:v>12.043199999999874</c:v>
                </c:pt>
                <c:pt idx="733">
                  <c:v>12.043299999999874</c:v>
                </c:pt>
                <c:pt idx="734">
                  <c:v>12.043399999999874</c:v>
                </c:pt>
                <c:pt idx="735">
                  <c:v>12.043499999999874</c:v>
                </c:pt>
                <c:pt idx="736">
                  <c:v>12.043599999999874</c:v>
                </c:pt>
                <c:pt idx="737">
                  <c:v>12.043699999999873</c:v>
                </c:pt>
                <c:pt idx="738">
                  <c:v>12.043799999999873</c:v>
                </c:pt>
                <c:pt idx="739">
                  <c:v>12.043899999999873</c:v>
                </c:pt>
                <c:pt idx="740">
                  <c:v>12.043999999999873</c:v>
                </c:pt>
                <c:pt idx="741">
                  <c:v>12.044099999999872</c:v>
                </c:pt>
                <c:pt idx="742">
                  <c:v>12.044199999999872</c:v>
                </c:pt>
                <c:pt idx="743">
                  <c:v>12.044299999999872</c:v>
                </c:pt>
                <c:pt idx="744">
                  <c:v>12.044399999999872</c:v>
                </c:pt>
                <c:pt idx="745">
                  <c:v>12.044499999999871</c:v>
                </c:pt>
                <c:pt idx="746">
                  <c:v>12.044599999999871</c:v>
                </c:pt>
                <c:pt idx="747">
                  <c:v>12.044699999999871</c:v>
                </c:pt>
                <c:pt idx="748">
                  <c:v>12.044799999999871</c:v>
                </c:pt>
                <c:pt idx="749">
                  <c:v>12.04489999999987</c:v>
                </c:pt>
                <c:pt idx="750">
                  <c:v>12.04499999999987</c:v>
                </c:pt>
                <c:pt idx="751">
                  <c:v>12.04509999999987</c:v>
                </c:pt>
                <c:pt idx="752">
                  <c:v>12.04519999999987</c:v>
                </c:pt>
                <c:pt idx="753">
                  <c:v>12.04529999999987</c:v>
                </c:pt>
                <c:pt idx="754">
                  <c:v>12.045399999999869</c:v>
                </c:pt>
                <c:pt idx="755">
                  <c:v>12.045499999999869</c:v>
                </c:pt>
                <c:pt idx="756">
                  <c:v>12.045599999999869</c:v>
                </c:pt>
                <c:pt idx="757">
                  <c:v>12.045699999999869</c:v>
                </c:pt>
                <c:pt idx="758">
                  <c:v>12.045799999999868</c:v>
                </c:pt>
                <c:pt idx="759">
                  <c:v>12.045899999999868</c:v>
                </c:pt>
                <c:pt idx="760">
                  <c:v>12.045999999999868</c:v>
                </c:pt>
                <c:pt idx="761">
                  <c:v>12.046099999999868</c:v>
                </c:pt>
                <c:pt idx="762">
                  <c:v>12.046199999999867</c:v>
                </c:pt>
                <c:pt idx="763">
                  <c:v>12.046299999999867</c:v>
                </c:pt>
                <c:pt idx="764">
                  <c:v>12.046399999999867</c:v>
                </c:pt>
                <c:pt idx="765">
                  <c:v>12.046499999999867</c:v>
                </c:pt>
                <c:pt idx="766">
                  <c:v>12.046599999999867</c:v>
                </c:pt>
                <c:pt idx="767">
                  <c:v>12.046699999999866</c:v>
                </c:pt>
                <c:pt idx="768">
                  <c:v>12.046799999999866</c:v>
                </c:pt>
                <c:pt idx="769">
                  <c:v>12.046899999999866</c:v>
                </c:pt>
                <c:pt idx="770">
                  <c:v>12.046999999999866</c:v>
                </c:pt>
                <c:pt idx="771">
                  <c:v>12.047099999999865</c:v>
                </c:pt>
                <c:pt idx="772">
                  <c:v>12.047199999999865</c:v>
                </c:pt>
                <c:pt idx="773">
                  <c:v>12.047299999999865</c:v>
                </c:pt>
                <c:pt idx="774">
                  <c:v>12.047399999999865</c:v>
                </c:pt>
                <c:pt idx="775">
                  <c:v>12.047499999999864</c:v>
                </c:pt>
                <c:pt idx="776">
                  <c:v>12.047599999999864</c:v>
                </c:pt>
                <c:pt idx="777">
                  <c:v>12.047699999999864</c:v>
                </c:pt>
                <c:pt idx="778">
                  <c:v>12.047799999999864</c:v>
                </c:pt>
                <c:pt idx="779">
                  <c:v>12.047899999999863</c:v>
                </c:pt>
                <c:pt idx="780">
                  <c:v>12.047999999999863</c:v>
                </c:pt>
                <c:pt idx="781">
                  <c:v>12.048099999999863</c:v>
                </c:pt>
                <c:pt idx="782">
                  <c:v>12.048199999999863</c:v>
                </c:pt>
                <c:pt idx="783">
                  <c:v>12.048299999999863</c:v>
                </c:pt>
                <c:pt idx="784">
                  <c:v>12.048399999999862</c:v>
                </c:pt>
                <c:pt idx="785">
                  <c:v>12.048499999999862</c:v>
                </c:pt>
                <c:pt idx="786">
                  <c:v>12.048599999999862</c:v>
                </c:pt>
                <c:pt idx="787">
                  <c:v>12.048699999999862</c:v>
                </c:pt>
                <c:pt idx="788">
                  <c:v>12.048799999999861</c:v>
                </c:pt>
                <c:pt idx="789">
                  <c:v>12.048899999999861</c:v>
                </c:pt>
                <c:pt idx="790">
                  <c:v>12.048999999999861</c:v>
                </c:pt>
                <c:pt idx="791">
                  <c:v>12.049099999999861</c:v>
                </c:pt>
                <c:pt idx="792">
                  <c:v>12.04919999999986</c:v>
                </c:pt>
                <c:pt idx="793">
                  <c:v>12.04929999999986</c:v>
                </c:pt>
                <c:pt idx="794">
                  <c:v>12.04939999999986</c:v>
                </c:pt>
                <c:pt idx="795">
                  <c:v>12.04949999999986</c:v>
                </c:pt>
                <c:pt idx="796">
                  <c:v>12.04959999999986</c:v>
                </c:pt>
                <c:pt idx="797">
                  <c:v>12.049699999999859</c:v>
                </c:pt>
                <c:pt idx="798">
                  <c:v>12.049799999999859</c:v>
                </c:pt>
                <c:pt idx="799">
                  <c:v>12.049899999999859</c:v>
                </c:pt>
                <c:pt idx="800">
                  <c:v>12.049999999999859</c:v>
                </c:pt>
                <c:pt idx="801">
                  <c:v>12.050099999999858</c:v>
                </c:pt>
                <c:pt idx="802">
                  <c:v>12.050199999999858</c:v>
                </c:pt>
                <c:pt idx="803">
                  <c:v>12.050299999999858</c:v>
                </c:pt>
                <c:pt idx="804">
                  <c:v>12.050399999999858</c:v>
                </c:pt>
                <c:pt idx="805">
                  <c:v>12.050499999999857</c:v>
                </c:pt>
                <c:pt idx="806">
                  <c:v>12.050599999999857</c:v>
                </c:pt>
                <c:pt idx="807">
                  <c:v>12.050699999999857</c:v>
                </c:pt>
                <c:pt idx="808">
                  <c:v>12.050799999999857</c:v>
                </c:pt>
                <c:pt idx="809">
                  <c:v>12.050899999999857</c:v>
                </c:pt>
                <c:pt idx="810">
                  <c:v>12.050999999999856</c:v>
                </c:pt>
                <c:pt idx="811">
                  <c:v>12.051099999999856</c:v>
                </c:pt>
                <c:pt idx="812">
                  <c:v>12.051199999999856</c:v>
                </c:pt>
                <c:pt idx="813">
                  <c:v>12.051299999999856</c:v>
                </c:pt>
                <c:pt idx="814">
                  <c:v>12.051399999999855</c:v>
                </c:pt>
                <c:pt idx="815">
                  <c:v>12.051499999999855</c:v>
                </c:pt>
                <c:pt idx="816">
                  <c:v>12.051599999999855</c:v>
                </c:pt>
                <c:pt idx="817">
                  <c:v>12.051699999999855</c:v>
                </c:pt>
                <c:pt idx="818">
                  <c:v>12.051799999999854</c:v>
                </c:pt>
                <c:pt idx="819">
                  <c:v>12.051899999999854</c:v>
                </c:pt>
                <c:pt idx="820">
                  <c:v>12.051999999999854</c:v>
                </c:pt>
                <c:pt idx="821">
                  <c:v>12.052099999999854</c:v>
                </c:pt>
                <c:pt idx="822">
                  <c:v>12.052199999999853</c:v>
                </c:pt>
                <c:pt idx="823">
                  <c:v>12.052299999999853</c:v>
                </c:pt>
                <c:pt idx="824">
                  <c:v>12.052399999999853</c:v>
                </c:pt>
                <c:pt idx="825">
                  <c:v>12.052499999999853</c:v>
                </c:pt>
                <c:pt idx="826">
                  <c:v>12.052599999999853</c:v>
                </c:pt>
                <c:pt idx="827">
                  <c:v>12.052699999999852</c:v>
                </c:pt>
                <c:pt idx="828">
                  <c:v>12.052799999999852</c:v>
                </c:pt>
                <c:pt idx="829">
                  <c:v>12.052899999999852</c:v>
                </c:pt>
                <c:pt idx="830">
                  <c:v>12.052999999999852</c:v>
                </c:pt>
                <c:pt idx="831">
                  <c:v>12.053099999999851</c:v>
                </c:pt>
                <c:pt idx="832">
                  <c:v>12.053199999999851</c:v>
                </c:pt>
                <c:pt idx="833">
                  <c:v>12.053299999999851</c:v>
                </c:pt>
                <c:pt idx="834">
                  <c:v>12.053399999999851</c:v>
                </c:pt>
                <c:pt idx="835">
                  <c:v>12.05349999999985</c:v>
                </c:pt>
                <c:pt idx="836">
                  <c:v>12.05359999999985</c:v>
                </c:pt>
                <c:pt idx="837">
                  <c:v>12.05369999999985</c:v>
                </c:pt>
                <c:pt idx="838">
                  <c:v>12.05379999999985</c:v>
                </c:pt>
                <c:pt idx="839">
                  <c:v>12.05389999999985</c:v>
                </c:pt>
                <c:pt idx="840">
                  <c:v>12.053999999999849</c:v>
                </c:pt>
                <c:pt idx="841">
                  <c:v>12.054099999999849</c:v>
                </c:pt>
                <c:pt idx="842">
                  <c:v>12.054199999999849</c:v>
                </c:pt>
                <c:pt idx="843">
                  <c:v>12.054299999999849</c:v>
                </c:pt>
                <c:pt idx="844">
                  <c:v>12.054399999999848</c:v>
                </c:pt>
                <c:pt idx="845">
                  <c:v>12.054499999999848</c:v>
                </c:pt>
                <c:pt idx="846">
                  <c:v>12.054599999999848</c:v>
                </c:pt>
                <c:pt idx="847">
                  <c:v>12.054699999999848</c:v>
                </c:pt>
                <c:pt idx="848">
                  <c:v>12.054799999999847</c:v>
                </c:pt>
                <c:pt idx="849">
                  <c:v>12.054899999999847</c:v>
                </c:pt>
                <c:pt idx="850">
                  <c:v>12.054999999999847</c:v>
                </c:pt>
                <c:pt idx="851">
                  <c:v>12.055099999999847</c:v>
                </c:pt>
                <c:pt idx="852">
                  <c:v>12.055199999999846</c:v>
                </c:pt>
                <c:pt idx="853">
                  <c:v>12.055299999999846</c:v>
                </c:pt>
                <c:pt idx="854">
                  <c:v>12.055399999999846</c:v>
                </c:pt>
                <c:pt idx="855">
                  <c:v>12.055499999999846</c:v>
                </c:pt>
                <c:pt idx="856">
                  <c:v>12.055599999999846</c:v>
                </c:pt>
                <c:pt idx="857">
                  <c:v>12.055699999999845</c:v>
                </c:pt>
                <c:pt idx="858">
                  <c:v>12.055799999999845</c:v>
                </c:pt>
                <c:pt idx="859">
                  <c:v>12.055899999999845</c:v>
                </c:pt>
                <c:pt idx="860">
                  <c:v>12.055999999999845</c:v>
                </c:pt>
                <c:pt idx="861">
                  <c:v>12.056099999999844</c:v>
                </c:pt>
                <c:pt idx="862">
                  <c:v>12.056199999999844</c:v>
                </c:pt>
                <c:pt idx="863">
                  <c:v>12.056299999999844</c:v>
                </c:pt>
                <c:pt idx="864">
                  <c:v>12.056399999999844</c:v>
                </c:pt>
                <c:pt idx="865">
                  <c:v>12.056499999999843</c:v>
                </c:pt>
                <c:pt idx="866">
                  <c:v>12.056599999999843</c:v>
                </c:pt>
                <c:pt idx="867">
                  <c:v>12.056699999999843</c:v>
                </c:pt>
                <c:pt idx="868">
                  <c:v>12.056799999999843</c:v>
                </c:pt>
                <c:pt idx="869">
                  <c:v>12.056899999999843</c:v>
                </c:pt>
                <c:pt idx="870">
                  <c:v>12.056999999999842</c:v>
                </c:pt>
                <c:pt idx="871">
                  <c:v>12.057099999999842</c:v>
                </c:pt>
                <c:pt idx="872">
                  <c:v>12.057199999999842</c:v>
                </c:pt>
                <c:pt idx="873">
                  <c:v>12.057299999999842</c:v>
                </c:pt>
                <c:pt idx="874">
                  <c:v>12.057399999999841</c:v>
                </c:pt>
                <c:pt idx="875">
                  <c:v>12.057499999999841</c:v>
                </c:pt>
                <c:pt idx="876">
                  <c:v>12.057599999999841</c:v>
                </c:pt>
                <c:pt idx="877">
                  <c:v>12.057699999999841</c:v>
                </c:pt>
                <c:pt idx="878">
                  <c:v>12.05779999999984</c:v>
                </c:pt>
                <c:pt idx="879">
                  <c:v>12.05789999999984</c:v>
                </c:pt>
                <c:pt idx="880">
                  <c:v>12.05799999999984</c:v>
                </c:pt>
                <c:pt idx="881">
                  <c:v>12.05809999999984</c:v>
                </c:pt>
                <c:pt idx="882">
                  <c:v>12.058199999999839</c:v>
                </c:pt>
                <c:pt idx="883">
                  <c:v>12.058299999999839</c:v>
                </c:pt>
                <c:pt idx="884">
                  <c:v>12.058399999999839</c:v>
                </c:pt>
                <c:pt idx="885">
                  <c:v>12.058499999999839</c:v>
                </c:pt>
                <c:pt idx="886">
                  <c:v>12.058599999999839</c:v>
                </c:pt>
                <c:pt idx="887">
                  <c:v>12.058699999999838</c:v>
                </c:pt>
                <c:pt idx="888">
                  <c:v>12.058799999999838</c:v>
                </c:pt>
                <c:pt idx="889">
                  <c:v>12.058899999999838</c:v>
                </c:pt>
                <c:pt idx="890">
                  <c:v>12.058999999999838</c:v>
                </c:pt>
                <c:pt idx="891">
                  <c:v>12.059099999999837</c:v>
                </c:pt>
                <c:pt idx="892">
                  <c:v>12.059199999999837</c:v>
                </c:pt>
                <c:pt idx="893">
                  <c:v>12.059299999999837</c:v>
                </c:pt>
                <c:pt idx="894">
                  <c:v>12.059399999999837</c:v>
                </c:pt>
                <c:pt idx="895">
                  <c:v>12.059499999999836</c:v>
                </c:pt>
                <c:pt idx="896">
                  <c:v>12.059599999999836</c:v>
                </c:pt>
                <c:pt idx="897">
                  <c:v>12.059699999999836</c:v>
                </c:pt>
                <c:pt idx="898">
                  <c:v>12.059799999999836</c:v>
                </c:pt>
                <c:pt idx="899">
                  <c:v>12.059899999999836</c:v>
                </c:pt>
                <c:pt idx="900">
                  <c:v>12.059999999999835</c:v>
                </c:pt>
                <c:pt idx="901">
                  <c:v>12.060099999999835</c:v>
                </c:pt>
                <c:pt idx="902">
                  <c:v>12.060199999999835</c:v>
                </c:pt>
                <c:pt idx="903">
                  <c:v>12.060299999999835</c:v>
                </c:pt>
                <c:pt idx="904">
                  <c:v>12.060399999999834</c:v>
                </c:pt>
                <c:pt idx="905">
                  <c:v>12.060499999999834</c:v>
                </c:pt>
                <c:pt idx="906">
                  <c:v>12.060599999999834</c:v>
                </c:pt>
                <c:pt idx="907">
                  <c:v>12.060699999999834</c:v>
                </c:pt>
                <c:pt idx="908">
                  <c:v>12.060799999999833</c:v>
                </c:pt>
                <c:pt idx="909">
                  <c:v>12.060899999999833</c:v>
                </c:pt>
                <c:pt idx="910">
                  <c:v>12.060999999999833</c:v>
                </c:pt>
                <c:pt idx="911">
                  <c:v>12.061099999999833</c:v>
                </c:pt>
                <c:pt idx="912">
                  <c:v>12.061199999999832</c:v>
                </c:pt>
                <c:pt idx="913">
                  <c:v>12.061299999999832</c:v>
                </c:pt>
                <c:pt idx="914">
                  <c:v>12.061399999999832</c:v>
                </c:pt>
                <c:pt idx="915">
                  <c:v>12.061499999999832</c:v>
                </c:pt>
                <c:pt idx="916">
                  <c:v>12.061599999999832</c:v>
                </c:pt>
                <c:pt idx="917">
                  <c:v>12.061699999999831</c:v>
                </c:pt>
                <c:pt idx="918">
                  <c:v>12.061799999999831</c:v>
                </c:pt>
                <c:pt idx="919">
                  <c:v>12.061899999999831</c:v>
                </c:pt>
                <c:pt idx="920">
                  <c:v>12.061999999999831</c:v>
                </c:pt>
                <c:pt idx="921">
                  <c:v>12.06209999999983</c:v>
                </c:pt>
                <c:pt idx="922">
                  <c:v>12.06219999999983</c:v>
                </c:pt>
                <c:pt idx="923">
                  <c:v>12.06229999999983</c:v>
                </c:pt>
                <c:pt idx="924">
                  <c:v>12.06239999999983</c:v>
                </c:pt>
                <c:pt idx="925">
                  <c:v>12.062499999999829</c:v>
                </c:pt>
                <c:pt idx="926">
                  <c:v>12.062599999999829</c:v>
                </c:pt>
                <c:pt idx="927">
                  <c:v>12.062699999999829</c:v>
                </c:pt>
                <c:pt idx="928">
                  <c:v>12.062799999999829</c:v>
                </c:pt>
                <c:pt idx="929">
                  <c:v>12.062899999999829</c:v>
                </c:pt>
                <c:pt idx="930">
                  <c:v>12.062999999999828</c:v>
                </c:pt>
                <c:pt idx="931">
                  <c:v>12.063099999999828</c:v>
                </c:pt>
                <c:pt idx="932">
                  <c:v>12.063199999999828</c:v>
                </c:pt>
                <c:pt idx="933">
                  <c:v>12.063299999999828</c:v>
                </c:pt>
                <c:pt idx="934">
                  <c:v>12.063399999999827</c:v>
                </c:pt>
                <c:pt idx="935">
                  <c:v>12.063499999999827</c:v>
                </c:pt>
                <c:pt idx="936">
                  <c:v>12.063599999999827</c:v>
                </c:pt>
                <c:pt idx="937">
                  <c:v>12.063699999999827</c:v>
                </c:pt>
                <c:pt idx="938">
                  <c:v>12.063799999999826</c:v>
                </c:pt>
                <c:pt idx="939">
                  <c:v>12.063899999999826</c:v>
                </c:pt>
                <c:pt idx="940">
                  <c:v>12.063999999999826</c:v>
                </c:pt>
                <c:pt idx="941">
                  <c:v>12.064099999999826</c:v>
                </c:pt>
                <c:pt idx="942">
                  <c:v>12.064199999999826</c:v>
                </c:pt>
                <c:pt idx="943">
                  <c:v>12.064299999999825</c:v>
                </c:pt>
                <c:pt idx="944">
                  <c:v>12.064399999999825</c:v>
                </c:pt>
                <c:pt idx="945">
                  <c:v>12.064499999999825</c:v>
                </c:pt>
                <c:pt idx="946">
                  <c:v>12.064599999999825</c:v>
                </c:pt>
                <c:pt idx="947">
                  <c:v>12.064699999999824</c:v>
                </c:pt>
                <c:pt idx="948">
                  <c:v>12.064799999999824</c:v>
                </c:pt>
                <c:pt idx="949">
                  <c:v>12.064899999999824</c:v>
                </c:pt>
                <c:pt idx="950">
                  <c:v>12.064999999999824</c:v>
                </c:pt>
                <c:pt idx="951">
                  <c:v>12.065099999999823</c:v>
                </c:pt>
                <c:pt idx="952">
                  <c:v>12.065199999999823</c:v>
                </c:pt>
                <c:pt idx="953">
                  <c:v>12.065299999999823</c:v>
                </c:pt>
                <c:pt idx="954">
                  <c:v>12.065399999999823</c:v>
                </c:pt>
                <c:pt idx="955">
                  <c:v>12.065499999999822</c:v>
                </c:pt>
                <c:pt idx="956">
                  <c:v>12.065599999999822</c:v>
                </c:pt>
                <c:pt idx="957">
                  <c:v>12.065699999999822</c:v>
                </c:pt>
                <c:pt idx="958">
                  <c:v>12.065799999999822</c:v>
                </c:pt>
                <c:pt idx="959">
                  <c:v>12.065899999999822</c:v>
                </c:pt>
                <c:pt idx="960">
                  <c:v>12.065999999999821</c:v>
                </c:pt>
                <c:pt idx="961">
                  <c:v>12.066099999999821</c:v>
                </c:pt>
                <c:pt idx="962">
                  <c:v>12.066199999999821</c:v>
                </c:pt>
                <c:pt idx="963">
                  <c:v>12.066299999999821</c:v>
                </c:pt>
                <c:pt idx="964">
                  <c:v>12.06639999999982</c:v>
                </c:pt>
                <c:pt idx="965">
                  <c:v>12.06649999999982</c:v>
                </c:pt>
                <c:pt idx="966">
                  <c:v>12.06659999999982</c:v>
                </c:pt>
                <c:pt idx="967">
                  <c:v>12.06669999999982</c:v>
                </c:pt>
                <c:pt idx="968">
                  <c:v>12.066799999999819</c:v>
                </c:pt>
                <c:pt idx="969">
                  <c:v>12.066899999999819</c:v>
                </c:pt>
                <c:pt idx="970">
                  <c:v>12.066999999999819</c:v>
                </c:pt>
                <c:pt idx="971">
                  <c:v>12.067099999999819</c:v>
                </c:pt>
                <c:pt idx="972">
                  <c:v>12.067199999999819</c:v>
                </c:pt>
                <c:pt idx="973">
                  <c:v>12.067299999999818</c:v>
                </c:pt>
                <c:pt idx="974">
                  <c:v>12.067399999999818</c:v>
                </c:pt>
                <c:pt idx="975">
                  <c:v>12.067499999999818</c:v>
                </c:pt>
                <c:pt idx="976">
                  <c:v>12.067599999999818</c:v>
                </c:pt>
                <c:pt idx="977">
                  <c:v>12.067699999999817</c:v>
                </c:pt>
                <c:pt idx="978">
                  <c:v>12.067799999999817</c:v>
                </c:pt>
                <c:pt idx="979">
                  <c:v>12.067899999999817</c:v>
                </c:pt>
                <c:pt idx="980">
                  <c:v>12.067999999999817</c:v>
                </c:pt>
                <c:pt idx="981">
                  <c:v>12.068099999999816</c:v>
                </c:pt>
                <c:pt idx="982">
                  <c:v>12.068199999999816</c:v>
                </c:pt>
                <c:pt idx="983">
                  <c:v>12.068299999999816</c:v>
                </c:pt>
                <c:pt idx="984">
                  <c:v>12.068399999999816</c:v>
                </c:pt>
                <c:pt idx="985">
                  <c:v>12.068499999999815</c:v>
                </c:pt>
                <c:pt idx="986">
                  <c:v>12.068599999999815</c:v>
                </c:pt>
                <c:pt idx="987">
                  <c:v>12.068699999999815</c:v>
                </c:pt>
                <c:pt idx="988">
                  <c:v>12.068799999999815</c:v>
                </c:pt>
                <c:pt idx="989">
                  <c:v>12.068899999999815</c:v>
                </c:pt>
                <c:pt idx="990">
                  <c:v>12.068999999999814</c:v>
                </c:pt>
                <c:pt idx="991">
                  <c:v>12.069099999999814</c:v>
                </c:pt>
                <c:pt idx="992">
                  <c:v>12.069199999999814</c:v>
                </c:pt>
                <c:pt idx="993">
                  <c:v>12.069299999999814</c:v>
                </c:pt>
                <c:pt idx="994">
                  <c:v>12.069399999999813</c:v>
                </c:pt>
                <c:pt idx="995">
                  <c:v>12.069499999999813</c:v>
                </c:pt>
                <c:pt idx="996">
                  <c:v>12.069599999999813</c:v>
                </c:pt>
                <c:pt idx="997">
                  <c:v>12.069699999999813</c:v>
                </c:pt>
                <c:pt idx="998">
                  <c:v>12.069799999999812</c:v>
                </c:pt>
                <c:pt idx="999">
                  <c:v>12.069899999999812</c:v>
                </c:pt>
                <c:pt idx="1000">
                  <c:v>12.069999999999812</c:v>
                </c:pt>
              </c:numCache>
            </c:numRef>
          </c:xVal>
          <c:yVal>
            <c:numRef>
              <c:f>Calculs!$AH$4:$AH$1004</c:f>
              <c:numCache>
                <c:formatCode>0.00</c:formatCode>
                <c:ptCount val="1001"/>
                <c:pt idx="0">
                  <c:v>0</c:v>
                </c:pt>
                <c:pt idx="1">
                  <c:v>28.940969608987853</c:v>
                </c:pt>
                <c:pt idx="2">
                  <c:v>86.862890669865308</c:v>
                </c:pt>
                <c:pt idx="3">
                  <c:v>111.24905605203202</c:v>
                </c:pt>
                <c:pt idx="4">
                  <c:v>102.02971857834414</c:v>
                </c:pt>
                <c:pt idx="5">
                  <c:v>97.236433454954664</c:v>
                </c:pt>
                <c:pt idx="6">
                  <c:v>96.878933245669913</c:v>
                </c:pt>
                <c:pt idx="7">
                  <c:v>96.518994441002945</c:v>
                </c:pt>
                <c:pt idx="8">
                  <c:v>96.156639269794056</c:v>
                </c:pt>
                <c:pt idx="9">
                  <c:v>95.7918901573005</c:v>
                </c:pt>
                <c:pt idx="10">
                  <c:v>95.424769720324022</c:v>
                </c:pt>
                <c:pt idx="11">
                  <c:v>95.055300762308462</c:v>
                </c:pt>
                <c:pt idx="12">
                  <c:v>94.683506268409744</c:v>
                </c:pt>
                <c:pt idx="13">
                  <c:v>94.309409400539366</c:v>
                </c:pt>
                <c:pt idx="14">
                  <c:v>93.933033492384084</c:v>
                </c:pt>
                <c:pt idx="15">
                  <c:v>93.554402044402835</c:v>
                </c:pt>
                <c:pt idx="16">
                  <c:v>93.173538718803172</c:v>
                </c:pt>
                <c:pt idx="17">
                  <c:v>92.790467334498913</c:v>
                </c:pt>
                <c:pt idx="18">
                  <c:v>92.405211862050834</c:v>
                </c:pt>
                <c:pt idx="19">
                  <c:v>92.01779641859217</c:v>
                </c:pt>
                <c:pt idx="20">
                  <c:v>91.628245262740805</c:v>
                </c:pt>
                <c:pt idx="21">
                  <c:v>91.236582789499906</c:v>
                </c:pt>
                <c:pt idx="22">
                  <c:v>90.84283352514889</c:v>
                </c:pt>
                <c:pt idx="23">
                  <c:v>90.447022122126398</c:v>
                </c:pt>
                <c:pt idx="24">
                  <c:v>90.049173353907022</c:v>
                </c:pt>
                <c:pt idx="25">
                  <c:v>89.649312109873847</c:v>
                </c:pt>
                <c:pt idx="26">
                  <c:v>89.247463390188116</c:v>
                </c:pt>
                <c:pt idx="27">
                  <c:v>88.843652210693904</c:v>
                </c:pt>
                <c:pt idx="28">
                  <c:v>88.437903671717706</c:v>
                </c:pt>
                <c:pt idx="29">
                  <c:v>88.030243059746326</c:v>
                </c:pt>
                <c:pt idx="30">
                  <c:v>87.620695752087826</c:v>
                </c:pt>
                <c:pt idx="31">
                  <c:v>87.20928721172713</c:v>
                </c:pt>
                <c:pt idx="32">
                  <c:v>86.796042982191153</c:v>
                </c:pt>
                <c:pt idx="33">
                  <c:v>86.380988682425766</c:v>
                </c:pt>
                <c:pt idx="34">
                  <c:v>85.964150001685724</c:v>
                </c:pt>
                <c:pt idx="35">
                  <c:v>85.545552694439138</c:v>
                </c:pt>
                <c:pt idx="36">
                  <c:v>85.125222575287765</c:v>
                </c:pt>
                <c:pt idx="37">
                  <c:v>84.703185513904558</c:v>
                </c:pt>
                <c:pt idx="38">
                  <c:v>84.279467429989722</c:v>
                </c:pt>
                <c:pt idx="39">
                  <c:v>83.854094288247126</c:v>
                </c:pt>
                <c:pt idx="40">
                  <c:v>83.427092093381916</c:v>
                </c:pt>
                <c:pt idx="41">
                  <c:v>82.998486885121224</c:v>
                </c:pt>
                <c:pt idx="42">
                  <c:v>82.568304733258898</c:v>
                </c:pt>
                <c:pt idx="43">
                  <c:v>82.136571732726182</c:v>
                </c:pt>
                <c:pt idx="44">
                  <c:v>81.703313998689126</c:v>
                </c:pt>
                <c:pt idx="45">
                  <c:v>81.268557661674564</c:v>
                </c:pt>
                <c:pt idx="46">
                  <c:v>80.832328862725717</c:v>
                </c:pt>
                <c:pt idx="47">
                  <c:v>80.394653748588695</c:v>
                </c:pt>
                <c:pt idx="48">
                  <c:v>79.955558466931492</c:v>
                </c:pt>
                <c:pt idx="49">
                  <c:v>79.515069161596372</c:v>
                </c:pt>
                <c:pt idx="50">
                  <c:v>79.073211967887161</c:v>
                </c:pt>
                <c:pt idx="51">
                  <c:v>78.630013007892586</c:v>
                </c:pt>
                <c:pt idx="52">
                  <c:v>78.185498385846785</c:v>
                </c:pt>
                <c:pt idx="53">
                  <c:v>77.739694183528229</c:v>
                </c:pt>
                <c:pt idx="54">
                  <c:v>77.292626455698283</c:v>
                </c:pt>
                <c:pt idx="55">
                  <c:v>76.844321225580401</c:v>
                </c:pt>
                <c:pt idx="56">
                  <c:v>76.394804480380969</c:v>
                </c:pt>
                <c:pt idx="57">
                  <c:v>75.944102166853298</c:v>
                </c:pt>
                <c:pt idx="58">
                  <c:v>75.492240186905164</c:v>
                </c:pt>
                <c:pt idx="59">
                  <c:v>75.039244393251423</c:v>
                </c:pt>
                <c:pt idx="60">
                  <c:v>74.58514058511247</c:v>
                </c:pt>
                <c:pt idx="61">
                  <c:v>74.129954503959567</c:v>
                </c:pt>
                <c:pt idx="62">
                  <c:v>73.673711829307834</c:v>
                </c:pt>
                <c:pt idx="63">
                  <c:v>72.825994348839316</c:v>
                </c:pt>
                <c:pt idx="64">
                  <c:v>71.586692372267422</c:v>
                </c:pt>
                <c:pt idx="65">
                  <c:v>70.346487856593157</c:v>
                </c:pt>
                <c:pt idx="66">
                  <c:v>69.105463212601052</c:v>
                </c:pt>
                <c:pt idx="67">
                  <c:v>67.505593723159606</c:v>
                </c:pt>
                <c:pt idx="68">
                  <c:v>65.546906934333407</c:v>
                </c:pt>
                <c:pt idx="69">
                  <c:v>62.950765486104089</c:v>
                </c:pt>
                <c:pt idx="70">
                  <c:v>59.717319179596281</c:v>
                </c:pt>
                <c:pt idx="71">
                  <c:v>56.484316399355208</c:v>
                </c:pt>
                <c:pt idx="72">
                  <c:v>53.25204458291789</c:v>
                </c:pt>
                <c:pt idx="73">
                  <c:v>50.020782965235334</c:v>
                </c:pt>
                <c:pt idx="74">
                  <c:v>46.790802521898279</c:v>
                </c:pt>
                <c:pt idx="75">
                  <c:v>43.562365918602801</c:v>
                </c:pt>
                <c:pt idx="76">
                  <c:v>40.335727466724585</c:v>
                </c:pt>
                <c:pt idx="77">
                  <c:v>37.111133084865315</c:v>
                </c:pt>
                <c:pt idx="78">
                  <c:v>33.888820266229793</c:v>
                </c:pt>
                <c:pt idx="79">
                  <c:v>30.669018051687956</c:v>
                </c:pt>
                <c:pt idx="80">
                  <c:v>27.451947008371711</c:v>
                </c:pt>
                <c:pt idx="81">
                  <c:v>24.99639050620133</c:v>
                </c:pt>
                <c:pt idx="82">
                  <c:v>23.301855286349571</c:v>
                </c:pt>
                <c:pt idx="83">
                  <c:v>21.608981047392863</c:v>
                </c:pt>
                <c:pt idx="84">
                  <c:v>19.917828533188054</c:v>
                </c:pt>
                <c:pt idx="85">
                  <c:v>18.228456108025089</c:v>
                </c:pt>
                <c:pt idx="86">
                  <c:v>16.540919760885355</c:v>
                </c:pt>
                <c:pt idx="87">
                  <c:v>14.855273110430428</c:v>
                </c:pt>
                <c:pt idx="88">
                  <c:v>13.171567410695545</c:v>
                </c:pt>
                <c:pt idx="89">
                  <c:v>11.72960148910688</c:v>
                </c:pt>
                <c:pt idx="90">
                  <c:v>10.529140883738554</c:v>
                </c:pt>
                <c:pt idx="91">
                  <c:v>9.3301503676060538</c:v>
                </c:pt>
                <c:pt idx="92">
                  <c:v>8.1326514197281199</c:v>
                </c:pt>
                <c:pt idx="93">
                  <c:v>6.9966165566702561</c:v>
                </c:pt>
                <c:pt idx="94">
                  <c:v>5.921989441773162</c:v>
                </c:pt>
                <c:pt idx="95">
                  <c:v>4.8487519231429914</c:v>
                </c:pt>
                <c:pt idx="96">
                  <c:v>3.7769171890782953</c:v>
                </c:pt>
                <c:pt idx="97">
                  <c:v>2.946343434747253</c:v>
                </c:pt>
                <c:pt idx="98">
                  <c:v>2.3567230144792894</c:v>
                </c:pt>
                <c:pt idx="99">
                  <c:v>1.7678812564043829</c:v>
                </c:pt>
                <c:pt idx="100">
                  <c:v>1.1798192339199784</c:v>
                </c:pt>
                <c:pt idx="101">
                  <c:v>0.59253774522658587</c:v>
                </c:pt>
                <c:pt idx="102">
                  <c:v>6.0373149582094226E-3</c:v>
                </c:pt>
                <c:pt idx="103">
                  <c:v>-0.57968180418103776</c:v>
                </c:pt>
                <c:pt idx="104">
                  <c:v>-1.1646196297750291</c:v>
                </c:pt>
                <c:pt idx="105">
                  <c:v>-1.7487764480495362</c:v>
                </c:pt>
                <c:pt idx="106">
                  <c:v>-2.3321528122228914</c:v>
                </c:pt>
                <c:pt idx="107">
                  <c:v>-2.914749540854372</c:v>
                </c:pt>
                <c:pt idx="108">
                  <c:v>-3.4965677161912785</c:v>
                </c:pt>
                <c:pt idx="109">
                  <c:v>-3.7777543075154605</c:v>
                </c:pt>
                <c:pt idx="110">
                  <c:v>-3.758737425719552</c:v>
                </c:pt>
                <c:pt idx="111">
                  <c:v>-3.7397966654720487</c:v>
                </c:pt>
                <c:pt idx="112">
                  <c:v>-3.7209317031034481</c:v>
                </c:pt>
                <c:pt idx="113">
                  <c:v>-3.7021422168679079</c:v>
                </c:pt>
                <c:pt idx="114">
                  <c:v>-3.6834278869301764</c:v>
                </c:pt>
                <c:pt idx="115">
                  <c:v>-3.6647883953526388</c:v>
                </c:pt>
                <c:pt idx="116">
                  <c:v>-3.6462234260824475</c:v>
                </c:pt>
                <c:pt idx="117">
                  <c:v>-3.6277326649387716</c:v>
                </c:pt>
                <c:pt idx="118">
                  <c:v>-3.6093157996001444</c:v>
                </c:pt>
                <c:pt idx="119">
                  <c:v>-3.5909725195919102</c:v>
                </c:pt>
                <c:pt idx="120">
                  <c:v>-3.5727025162737824</c:v>
                </c:pt>
                <c:pt idx="121">
                  <c:v>-3.5545054828274965</c:v>
                </c:pt>
                <c:pt idx="122">
                  <c:v>-3.5363811142445551</c:v>
                </c:pt>
                <c:pt idx="123">
                  <c:v>-3.5183291073140825</c:v>
                </c:pt>
                <c:pt idx="124">
                  <c:v>-3.5003491606107673</c:v>
                </c:pt>
                <c:pt idx="125">
                  <c:v>-3.4824409744829223</c:v>
                </c:pt>
                <c:pt idx="126">
                  <c:v>-3.464604251040603</c:v>
                </c:pt>
                <c:pt idx="127">
                  <c:v>-3.4468386941438669</c:v>
                </c:pt>
                <c:pt idx="128">
                  <c:v>-3.4291440093910839</c:v>
                </c:pt>
                <c:pt idx="129">
                  <c:v>-3.4115199041073714</c:v>
                </c:pt>
                <c:pt idx="130">
                  <c:v>-3.3939660873331059</c:v>
                </c:pt>
                <c:pt idx="131">
                  <c:v>-3.3764822698125321</c:v>
                </c:pt>
                <c:pt idx="132">
                  <c:v>-3.3590681639824629</c:v>
                </c:pt>
                <c:pt idx="133">
                  <c:v>-3.3417234839610628</c:v>
                </c:pt>
                <c:pt idx="134">
                  <c:v>-3.3244479455367308</c:v>
                </c:pt>
                <c:pt idx="135">
                  <c:v>-3.3072412661570643</c:v>
                </c:pt>
                <c:pt idx="136">
                  <c:v>-3.2901031649179129</c:v>
                </c:pt>
                <c:pt idx="137">
                  <c:v>-3.2730333625525185</c:v>
                </c:pt>
                <c:pt idx="138">
                  <c:v>-3.2560315814207459</c:v>
                </c:pt>
                <c:pt idx="139">
                  <c:v>-3.2390975454983884</c:v>
                </c:pt>
                <c:pt idx="140">
                  <c:v>-3.222230980366569</c:v>
                </c:pt>
                <c:pt idx="141">
                  <c:v>-3.2054316132012217</c:v>
                </c:pt>
                <c:pt idx="142">
                  <c:v>-3.1886991727626479</c:v>
                </c:pt>
                <c:pt idx="143">
                  <c:v>-3.1720333893851729</c:v>
                </c:pt>
                <c:pt idx="144">
                  <c:v>-3.1554339949668644</c:v>
                </c:pt>
                <c:pt idx="145">
                  <c:v>-3.1389007229593431</c:v>
                </c:pt>
                <c:pt idx="146">
                  <c:v>-3.1224333083576736</c:v>
                </c:pt>
                <c:pt idx="147">
                  <c:v>-3.106031487690327</c:v>
                </c:pt>
                <c:pt idx="148">
                  <c:v>-3.0896949990092328</c:v>
                </c:pt>
                <c:pt idx="149">
                  <c:v>-3.0734235818798981</c:v>
                </c:pt>
                <c:pt idx="150">
                  <c:v>-3.0572169773716174</c:v>
                </c:pt>
                <c:pt idx="151">
                  <c:v>-3.0410749280477383</c:v>
                </c:pt>
                <c:pt idx="152">
                  <c:v>-3.0249971779560325</c:v>
                </c:pt>
                <c:pt idx="153">
                  <c:v>-3.0089834726191107</c:v>
                </c:pt>
                <c:pt idx="154">
                  <c:v>-2.9930335590249326</c:v>
                </c:pt>
                <c:pt idx="155">
                  <c:v>-2.9771471856173894</c:v>
                </c:pt>
                <c:pt idx="156">
                  <c:v>-2.961324102286949</c:v>
                </c:pt>
                <c:pt idx="157">
                  <c:v>-2.9455640603613884</c:v>
                </c:pt>
                <c:pt idx="158">
                  <c:v>-2.9298668125965768</c:v>
                </c:pt>
                <c:pt idx="159">
                  <c:v>-2.9142321131673619</c:v>
                </c:pt>
                <c:pt idx="160">
                  <c:v>-2.898659717658493</c:v>
                </c:pt>
                <c:pt idx="161">
                  <c:v>-2.8831493830556396</c:v>
                </c:pt>
                <c:pt idx="162">
                  <c:v>-2.8677008677364677</c:v>
                </c:pt>
                <c:pt idx="163">
                  <c:v>-2.8523139314617829</c:v>
                </c:pt>
                <c:pt idx="164">
                  <c:v>-2.836988335366752</c:v>
                </c:pt>
                <c:pt idx="165">
                  <c:v>-2.8217238419521893</c:v>
                </c:pt>
                <c:pt idx="166">
                  <c:v>-2.8065202150759001</c:v>
                </c:pt>
                <c:pt idx="167">
                  <c:v>-2.7913772199441031</c:v>
                </c:pt>
                <c:pt idx="168">
                  <c:v>-2.7762946231029138</c:v>
                </c:pt>
                <c:pt idx="169">
                  <c:v>-2.761272192429896</c:v>
                </c:pt>
                <c:pt idx="170">
                  <c:v>-2.746309697125672</c:v>
                </c:pt>
                <c:pt idx="171">
                  <c:v>-2.7314069077056042</c:v>
                </c:pt>
                <c:pt idx="172">
                  <c:v>-2.7165635959915369</c:v>
                </c:pt>
                <c:pt idx="173">
                  <c:v>-2.7017795351036007</c:v>
                </c:pt>
                <c:pt idx="174">
                  <c:v>-2.6870544994520831</c:v>
                </c:pt>
                <c:pt idx="175">
                  <c:v>-2.6723882647293604</c:v>
                </c:pt>
                <c:pt idx="176">
                  <c:v>-2.65778060790189</c:v>
                </c:pt>
                <c:pt idx="177">
                  <c:v>-2.6432313072022549</c:v>
                </c:pt>
                <c:pt idx="178">
                  <c:v>-2.6287401421212948</c:v>
                </c:pt>
                <c:pt idx="179">
                  <c:v>-2.6143068934002662</c:v>
                </c:pt>
                <c:pt idx="180">
                  <c:v>-2.5999313430230826</c:v>
                </c:pt>
                <c:pt idx="181">
                  <c:v>-2.5856132742086055</c:v>
                </c:pt>
                <c:pt idx="182">
                  <c:v>-2.5713524714030016</c:v>
                </c:pt>
                <c:pt idx="183">
                  <c:v>-2.5571487202721404</c:v>
                </c:pt>
                <c:pt idx="184">
                  <c:v>-2.5430018076940746</c:v>
                </c:pt>
                <c:pt idx="185">
                  <c:v>-2.5289115217515574</c:v>
                </c:pt>
                <c:pt idx="186">
                  <c:v>-2.5148776517246243</c:v>
                </c:pt>
                <c:pt idx="187">
                  <c:v>-2.500899988083233</c:v>
                </c:pt>
                <c:pt idx="188">
                  <c:v>-2.4869783224799544</c:v>
                </c:pt>
                <c:pt idx="189">
                  <c:v>-2.4731124477427184</c:v>
                </c:pt>
                <c:pt idx="190">
                  <c:v>-2.4593021578676226</c:v>
                </c:pt>
                <c:pt idx="191">
                  <c:v>-2.4455472480117866</c:v>
                </c:pt>
                <c:pt idx="192">
                  <c:v>-2.4318475144862566</c:v>
                </c:pt>
                <c:pt idx="193">
                  <c:v>-2.4182027547489824</c:v>
                </c:pt>
                <c:pt idx="194">
                  <c:v>-2.4046127673978273</c:v>
                </c:pt>
                <c:pt idx="195">
                  <c:v>-2.3910773521636357</c:v>
                </c:pt>
                <c:pt idx="196">
                  <c:v>-2.3775963099033608</c:v>
                </c:pt>
                <c:pt idx="197">
                  <c:v>-2.3641694425932358</c:v>
                </c:pt>
                <c:pt idx="198">
                  <c:v>-2.3507965533219952</c:v>
                </c:pt>
                <c:pt idx="199">
                  <c:v>-2.3374774462841561</c:v>
                </c:pt>
                <c:pt idx="200">
                  <c:v>-2.3242119267733434</c:v>
                </c:pt>
                <c:pt idx="201">
                  <c:v>-2.3109998011756594</c:v>
                </c:pt>
                <c:pt idx="202">
                  <c:v>-2.1811552976785129</c:v>
                </c:pt>
                <c:pt idx="203">
                  <c:v>-2.0565114539719089</c:v>
                </c:pt>
                <c:pt idx="204">
                  <c:v>-1.9368869026393949</c:v>
                </c:pt>
                <c:pt idx="205">
                  <c:v>-1.8221102301088703</c:v>
                </c:pt>
                <c:pt idx="206">
                  <c:v>-1.7120194060895231</c:v>
                </c:pt>
                <c:pt idx="207">
                  <c:v>-1.6064612538799674</c:v>
                </c:pt>
                <c:pt idx="208">
                  <c:v>-1.5052909583706746</c:v>
                </c:pt>
                <c:pt idx="209">
                  <c:v>-1.4083716088464149</c:v>
                </c:pt>
                <c:pt idx="210">
                  <c:v>-1.3155737739497551</c:v>
                </c:pt>
                <c:pt idx="211">
                  <c:v>-1.2267751063975436</c:v>
                </c:pt>
                <c:pt idx="212">
                  <c:v>-1.1418599752513028</c:v>
                </c:pt>
                <c:pt idx="213">
                  <c:v>-1.0607191237317739</c:v>
                </c:pt>
                <c:pt idx="214">
                  <c:v>-0.98324935073966135</c:v>
                </c:pt>
                <c:pt idx="215">
                  <c:v>-0.9093532144004407</c:v>
                </c:pt>
                <c:pt idx="216">
                  <c:v>-0.8389387560927648</c:v>
                </c:pt>
                <c:pt idx="217">
                  <c:v>-0.77191924354862052</c:v>
                </c:pt>
                <c:pt idx="218">
                  <c:v>-0.70821293173041344</c:v>
                </c:pt>
                <c:pt idx="219">
                  <c:v>-0.6477428402963773</c:v>
                </c:pt>
                <c:pt idx="220">
                  <c:v>-0.59043654656218225</c:v>
                </c:pt>
                <c:pt idx="221">
                  <c:v>-0.53622599295387441</c:v>
                </c:pt>
                <c:pt idx="222">
                  <c:v>-0.4850473080259417</c:v>
                </c:pt>
                <c:pt idx="223">
                  <c:v>-0.43684064018847413</c:v>
                </c:pt>
                <c:pt idx="224">
                  <c:v>-0.39155000334911932</c:v>
                </c:pt>
                <c:pt idx="225">
                  <c:v>-0.34912313372819298</c:v>
                </c:pt>
                <c:pt idx="226">
                  <c:v>-0.30951135714772754</c:v>
                </c:pt>
                <c:pt idx="227">
                  <c:v>-0.27266946612513798</c:v>
                </c:pt>
                <c:pt idx="228">
                  <c:v>-0.23855560611556709</c:v>
                </c:pt>
                <c:pt idx="229">
                  <c:v>-0.20713117023697619</c:v>
                </c:pt>
                <c:pt idx="230">
                  <c:v>-0.17836070176696209</c:v>
                </c:pt>
                <c:pt idx="231">
                  <c:v>-0.15221180359982273</c:v>
                </c:pt>
                <c:pt idx="232">
                  <c:v>-0.12865505366114721</c:v>
                </c:pt>
                <c:pt idx="233">
                  <c:v>-0.10766392493227607</c:v>
                </c:pt>
                <c:pt idx="234">
                  <c:v>-8.9214708125434319E-2</c:v>
                </c:pt>
                <c:pt idx="235">
                  <c:v>-7.3286433968319978E-2</c:v>
                </c:pt>
                <c:pt idx="236">
                  <c:v>-5.9860790140449677E-2</c:v>
                </c:pt>
                <c:pt idx="237">
                  <c:v>-4.8922024531308998E-2</c:v>
                </c:pt>
                <c:pt idx="238">
                  <c:v>-4.0456820727905761E-2</c:v>
                </c:pt>
                <c:pt idx="239">
                  <c:v>-3.445412255595099E-2</c:v>
                </c:pt>
                <c:pt idx="240">
                  <c:v>-3.090487283765455E-2</c:v>
                </c:pt>
                <c:pt idx="241">
                  <c:v>-2.9801624147563755E-2</c:v>
                </c:pt>
                <c:pt idx="242">
                  <c:v>-3.1137993789337699E-2</c:v>
                </c:pt>
                <c:pt idx="243">
                  <c:v>-3.4907988464806639E-2</c:v>
                </c:pt>
                <c:pt idx="244">
                  <c:v>-4.1105295105558104E-2</c:v>
                </c:pt>
                <c:pt idx="245">
                  <c:v>-4.9722658694692293E-2</c:v>
                </c:pt>
                <c:pt idx="246">
                  <c:v>-6.075141873360887E-2</c:v>
                </c:pt>
                <c:pt idx="247">
                  <c:v>-7.4181205548714435E-2</c:v>
                </c:pt>
                <c:pt idx="248">
                  <c:v>-8.9999759363882353E-2</c:v>
                </c:pt>
                <c:pt idx="249">
                  <c:v>-0.10819283131679847</c:v>
                </c:pt>
                <c:pt idx="250">
                  <c:v>-0.12874413601665649</c:v>
                </c:pt>
                <c:pt idx="251">
                  <c:v>-0.1516353363134709</c:v>
                </c:pt>
                <c:pt idx="252">
                  <c:v>-0.17684604876383694</c:v>
                </c:pt>
                <c:pt idx="253">
                  <c:v>-0.20435386305194003</c:v>
                </c:pt>
                <c:pt idx="254">
                  <c:v>-0.23413437138300111</c:v>
                </c:pt>
                <c:pt idx="255">
                  <c:v>-0.26616120543508726</c:v>
                </c:pt>
                <c:pt idx="256">
                  <c:v>-0.30040607935041247</c:v>
                </c:pt>
                <c:pt idx="257">
                  <c:v>-0.33683883776442292</c:v>
                </c:pt>
                <c:pt idx="258">
                  <c:v>-0.37542750817449966</c:v>
                </c:pt>
                <c:pt idx="259">
                  <c:v>-0.41613835713116698</c:v>
                </c:pt>
                <c:pt idx="260">
                  <c:v>-0.45893594984431735</c:v>
                </c:pt>
                <c:pt idx="261">
                  <c:v>-0.50378321286421757</c:v>
                </c:pt>
                <c:pt idx="262">
                  <c:v>-0.55064149953875241</c:v>
                </c:pt>
                <c:pt idx="263">
                  <c:v>-0.59947065797449617</c:v>
                </c:pt>
                <c:pt idx="264">
                  <c:v>-0.65022910124574318</c:v>
                </c:pt>
                <c:pt idx="265">
                  <c:v>-0.70287387960632552</c:v>
                </c:pt>
                <c:pt idx="266">
                  <c:v>-0.75736075446615148</c:v>
                </c:pt>
                <c:pt idx="267">
                  <c:v>-0.81364427389945326</c:v>
                </c:pt>
                <c:pt idx="268">
                  <c:v>-0.87167784945562155</c:v>
                </c:pt>
                <c:pt idx="269">
                  <c:v>-0.93141383404688138</c:v>
                </c:pt>
                <c:pt idx="270">
                  <c:v>-0.99280360069035489</c:v>
                </c:pt>
                <c:pt idx="271">
                  <c:v>-1.055797621885445</c:v>
                </c:pt>
                <c:pt idx="272">
                  <c:v>-1.1203455494112322</c:v>
                </c:pt>
                <c:pt idx="273">
                  <c:v>-1.1863962943327337</c:v>
                </c:pt>
                <c:pt idx="274">
                  <c:v>-1.2538981070095363</c:v>
                </c:pt>
                <c:pt idx="275">
                  <c:v>-1.3227986569054841</c:v>
                </c:pt>
                <c:pt idx="276">
                  <c:v>-1.3930451120038077</c:v>
                </c:pt>
                <c:pt idx="277">
                  <c:v>-1.4645842176383139</c:v>
                </c:pt>
                <c:pt idx="278">
                  <c:v>-1.5373623745579783</c:v>
                </c:pt>
                <c:pt idx="279">
                  <c:v>-1.6113257160494918</c:v>
                </c:pt>
                <c:pt idx="280">
                  <c:v>-1.6864201839499433</c:v>
                </c:pt>
                <c:pt idx="281">
                  <c:v>-1.7625916033898807</c:v>
                </c:pt>
                <c:pt idx="282">
                  <c:v>-1.8397857561153725</c:v>
                </c:pt>
                <c:pt idx="283">
                  <c:v>-1.9179484522464112</c:v>
                </c:pt>
                <c:pt idx="284">
                  <c:v>-1.9970256003379747</c:v>
                </c:pt>
                <c:pt idx="285">
                  <c:v>-2.0769632756192418</c:v>
                </c:pt>
                <c:pt idx="286">
                  <c:v>-2.1577077862958354</c:v>
                </c:pt>
                <c:pt idx="287">
                  <c:v>-2.2392057378094243</c:v>
                </c:pt>
                <c:pt idx="288">
                  <c:v>-2.3214040949585866</c:v>
                </c:pt>
                <c:pt idx="289">
                  <c:v>-2.4042502417944167</c:v>
                </c:pt>
                <c:pt idx="290">
                  <c:v>-2.4876920392139206</c:v>
                </c:pt>
                <c:pt idx="291">
                  <c:v>-2.5716778801837497</c:v>
                </c:pt>
                <c:pt idx="292">
                  <c:v>-2.6561567425362513</c:v>
                </c:pt>
                <c:pt idx="293">
                  <c:v>-2.7410782392890729</c:v>
                </c:pt>
                <c:pt idx="294">
                  <c:v>-2.8263926664486436</c:v>
                </c:pt>
                <c:pt idx="295">
                  <c:v>-2.9120510482667981</c:v>
                </c:pt>
                <c:pt idx="296">
                  <c:v>-2.9980051799283856</c:v>
                </c:pt>
                <c:pt idx="297">
                  <c:v>-3.0842076676562011</c:v>
                </c:pt>
                <c:pt idx="298">
                  <c:v>-3.1706119662275416</c:v>
                </c:pt>
                <c:pt idx="299">
                  <c:v>-3.2571724139046125</c:v>
                </c:pt>
                <c:pt idx="300">
                  <c:v>-3.3438442647883542</c:v>
                </c:pt>
                <c:pt idx="301">
                  <c:v>-3.4305837186124033</c:v>
                </c:pt>
                <c:pt idx="302">
                  <c:v>-3.4306699015534527</c:v>
                </c:pt>
                <c:pt idx="303">
                  <c:v>-3.4307560845115916</c:v>
                </c:pt>
                <c:pt idx="304">
                  <c:v>-3.4308422674867716</c:v>
                </c:pt>
                <c:pt idx="305">
                  <c:v>-3.4309284504789566</c:v>
                </c:pt>
                <c:pt idx="306">
                  <c:v>-3.4310146334881026</c:v>
                </c:pt>
                <c:pt idx="307">
                  <c:v>-3.4311008165141685</c:v>
                </c:pt>
                <c:pt idx="308">
                  <c:v>-3.4311869995571147</c:v>
                </c:pt>
                <c:pt idx="309">
                  <c:v>-3.4312731826168985</c:v>
                </c:pt>
                <c:pt idx="310">
                  <c:v>-3.4313593656934791</c:v>
                </c:pt>
                <c:pt idx="311">
                  <c:v>-3.4314455487868121</c:v>
                </c:pt>
                <c:pt idx="312">
                  <c:v>-3.4315317318968614</c:v>
                </c:pt>
                <c:pt idx="313">
                  <c:v>-3.4316179150235815</c:v>
                </c:pt>
                <c:pt idx="314">
                  <c:v>-3.43170409816693</c:v>
                </c:pt>
                <c:pt idx="315">
                  <c:v>-3.431790281326871</c:v>
                </c:pt>
                <c:pt idx="316">
                  <c:v>-3.4318764645033579</c:v>
                </c:pt>
                <c:pt idx="317">
                  <c:v>-3.4319626476963516</c:v>
                </c:pt>
                <c:pt idx="318">
                  <c:v>-3.4320488309058099</c:v>
                </c:pt>
                <c:pt idx="319">
                  <c:v>-3.4321350141316933</c:v>
                </c:pt>
                <c:pt idx="320">
                  <c:v>-3.4322211973739569</c:v>
                </c:pt>
                <c:pt idx="321">
                  <c:v>-3.4323073806325626</c:v>
                </c:pt>
                <c:pt idx="322">
                  <c:v>-3.4323935639074667</c:v>
                </c:pt>
                <c:pt idx="323">
                  <c:v>-3.4324797471986268</c:v>
                </c:pt>
                <c:pt idx="324">
                  <c:v>-3.4325659305060063</c:v>
                </c:pt>
                <c:pt idx="325">
                  <c:v>-3.4326521138295609</c:v>
                </c:pt>
                <c:pt idx="326">
                  <c:v>-3.4327382971692493</c:v>
                </c:pt>
                <c:pt idx="327">
                  <c:v>-3.4328244805250292</c:v>
                </c:pt>
                <c:pt idx="328">
                  <c:v>-3.4329106638968612</c:v>
                </c:pt>
                <c:pt idx="329">
                  <c:v>-3.4329968472847021</c:v>
                </c:pt>
                <c:pt idx="330">
                  <c:v>-3.4330830306885103</c:v>
                </c:pt>
                <c:pt idx="331">
                  <c:v>-3.4331692141082457</c:v>
                </c:pt>
                <c:pt idx="332">
                  <c:v>-3.4332553975438662</c:v>
                </c:pt>
                <c:pt idx="333">
                  <c:v>-3.4333415809953323</c:v>
                </c:pt>
                <c:pt idx="334">
                  <c:v>-3.4334277644625981</c:v>
                </c:pt>
                <c:pt idx="335">
                  <c:v>-3.4335139479456291</c:v>
                </c:pt>
                <c:pt idx="336">
                  <c:v>-3.4336001314443774</c:v>
                </c:pt>
                <c:pt idx="337">
                  <c:v>-3.4336863149588042</c:v>
                </c:pt>
                <c:pt idx="338">
                  <c:v>-3.4337724984888687</c:v>
                </c:pt>
                <c:pt idx="339">
                  <c:v>-3.4338586820345287</c:v>
                </c:pt>
                <c:pt idx="340">
                  <c:v>-3.4339448655957425</c:v>
                </c:pt>
                <c:pt idx="341">
                  <c:v>-3.4340310491724702</c:v>
                </c:pt>
                <c:pt idx="342">
                  <c:v>-3.434117232764669</c:v>
                </c:pt>
                <c:pt idx="343">
                  <c:v>-3.4342034163722972</c:v>
                </c:pt>
                <c:pt idx="344">
                  <c:v>-3.4342895999953158</c:v>
                </c:pt>
                <c:pt idx="345">
                  <c:v>-3.4343757836336808</c:v>
                </c:pt>
                <c:pt idx="346">
                  <c:v>-3.4344619672873531</c:v>
                </c:pt>
                <c:pt idx="347">
                  <c:v>-3.4345481509562887</c:v>
                </c:pt>
                <c:pt idx="348">
                  <c:v>-3.4346343346404486</c:v>
                </c:pt>
                <c:pt idx="349">
                  <c:v>-3.4347205183397898</c:v>
                </c:pt>
                <c:pt idx="350">
                  <c:v>-3.4348067020542712</c:v>
                </c:pt>
                <c:pt idx="351">
                  <c:v>-3.4348928857838525</c:v>
                </c:pt>
                <c:pt idx="352">
                  <c:v>-3.4349790695284925</c:v>
                </c:pt>
                <c:pt idx="353">
                  <c:v>-3.435065253288148</c:v>
                </c:pt>
                <c:pt idx="354">
                  <c:v>-3.4351514370627783</c:v>
                </c:pt>
                <c:pt idx="355">
                  <c:v>-3.4352376208523432</c:v>
                </c:pt>
                <c:pt idx="356">
                  <c:v>-3.4353238046567989</c:v>
                </c:pt>
                <c:pt idx="357">
                  <c:v>-3.4354099884761067</c:v>
                </c:pt>
                <c:pt idx="358">
                  <c:v>-3.435496172310224</c:v>
                </c:pt>
                <c:pt idx="359">
                  <c:v>-3.4355823561591103</c:v>
                </c:pt>
                <c:pt idx="360">
                  <c:v>-3.4356685400227218</c:v>
                </c:pt>
                <c:pt idx="361">
                  <c:v>-3.4357547239010207</c:v>
                </c:pt>
                <c:pt idx="362">
                  <c:v>-3.435840907793962</c:v>
                </c:pt>
                <c:pt idx="363">
                  <c:v>-3.4359270917015081</c:v>
                </c:pt>
                <c:pt idx="364">
                  <c:v>-3.4360132756236146</c:v>
                </c:pt>
                <c:pt idx="365">
                  <c:v>-3.4360994595602423</c:v>
                </c:pt>
                <c:pt idx="366">
                  <c:v>-3.4361856435113478</c:v>
                </c:pt>
                <c:pt idx="367">
                  <c:v>-3.4362718274768902</c:v>
                </c:pt>
                <c:pt idx="368">
                  <c:v>-3.4363580114568295</c:v>
                </c:pt>
                <c:pt idx="369">
                  <c:v>-3.4364441954511231</c:v>
                </c:pt>
                <c:pt idx="370">
                  <c:v>-3.4365303794597315</c:v>
                </c:pt>
                <c:pt idx="371">
                  <c:v>-3.4366165634826102</c:v>
                </c:pt>
                <c:pt idx="372">
                  <c:v>-3.4367027475197207</c:v>
                </c:pt>
                <c:pt idx="373">
                  <c:v>-3.4367889315710194</c:v>
                </c:pt>
                <c:pt idx="374">
                  <c:v>-3.4368751156364663</c:v>
                </c:pt>
                <c:pt idx="375">
                  <c:v>-3.4369612997160206</c:v>
                </c:pt>
                <c:pt idx="376">
                  <c:v>-3.4370474838096401</c:v>
                </c:pt>
                <c:pt idx="377">
                  <c:v>-3.4371336679172817</c:v>
                </c:pt>
                <c:pt idx="378">
                  <c:v>-3.4372198520389072</c:v>
                </c:pt>
                <c:pt idx="379">
                  <c:v>-3.4373060361744758</c:v>
                </c:pt>
                <c:pt idx="380">
                  <c:v>-3.4373922203239409</c:v>
                </c:pt>
                <c:pt idx="381">
                  <c:v>-3.4374784044872659</c:v>
                </c:pt>
                <c:pt idx="382">
                  <c:v>-3.4375645886644079</c:v>
                </c:pt>
                <c:pt idx="383">
                  <c:v>-3.4376507728553256</c:v>
                </c:pt>
                <c:pt idx="384">
                  <c:v>-3.4377369570599798</c:v>
                </c:pt>
                <c:pt idx="385">
                  <c:v>-3.4378231412783253</c:v>
                </c:pt>
                <c:pt idx="386">
                  <c:v>-3.4379093255103244</c:v>
                </c:pt>
                <c:pt idx="387">
                  <c:v>-3.437995509755932</c:v>
                </c:pt>
                <c:pt idx="388">
                  <c:v>-3.4380816940151089</c:v>
                </c:pt>
                <c:pt idx="389">
                  <c:v>-3.4381678782878144</c:v>
                </c:pt>
                <c:pt idx="390">
                  <c:v>-3.4382540625740057</c:v>
                </c:pt>
                <c:pt idx="391">
                  <c:v>-3.4383402468736435</c:v>
                </c:pt>
                <c:pt idx="392">
                  <c:v>-3.4384264311866835</c:v>
                </c:pt>
                <c:pt idx="393">
                  <c:v>-3.4385126155130865</c:v>
                </c:pt>
                <c:pt idx="394">
                  <c:v>-3.4385987998528114</c:v>
                </c:pt>
                <c:pt idx="395">
                  <c:v>-3.4386849842058158</c:v>
                </c:pt>
                <c:pt idx="396">
                  <c:v>-3.4387711685720586</c:v>
                </c:pt>
                <c:pt idx="397">
                  <c:v>-3.4388573529514992</c:v>
                </c:pt>
                <c:pt idx="398">
                  <c:v>-3.438943537344096</c:v>
                </c:pt>
                <c:pt idx="399">
                  <c:v>-3.4390297217498067</c:v>
                </c:pt>
                <c:pt idx="400">
                  <c:v>-3.4391159061685901</c:v>
                </c:pt>
                <c:pt idx="401">
                  <c:v>-3.4392020906004075</c:v>
                </c:pt>
                <c:pt idx="402">
                  <c:v>-3.4392882750452145</c:v>
                </c:pt>
                <c:pt idx="403">
                  <c:v>-3.4393744595029698</c:v>
                </c:pt>
                <c:pt idx="404">
                  <c:v>-3.4394606439736344</c:v>
                </c:pt>
                <c:pt idx="405">
                  <c:v>-3.4395468284571642</c:v>
                </c:pt>
                <c:pt idx="406">
                  <c:v>-3.4396330129535206</c:v>
                </c:pt>
                <c:pt idx="407">
                  <c:v>-3.4397191974626597</c:v>
                </c:pt>
                <c:pt idx="408">
                  <c:v>-3.4398053819845429</c:v>
                </c:pt>
                <c:pt idx="409">
                  <c:v>-3.4398915665191283</c:v>
                </c:pt>
                <c:pt idx="410">
                  <c:v>-3.4399777510663716</c:v>
                </c:pt>
                <c:pt idx="411">
                  <c:v>-3.4400639356262346</c:v>
                </c:pt>
                <c:pt idx="412">
                  <c:v>-3.4401501201986755</c:v>
                </c:pt>
                <c:pt idx="413">
                  <c:v>-3.4402363047836522</c:v>
                </c:pt>
                <c:pt idx="414">
                  <c:v>-3.4403224893811251</c:v>
                </c:pt>
                <c:pt idx="415">
                  <c:v>-3.4404086739910498</c:v>
                </c:pt>
                <c:pt idx="416">
                  <c:v>-3.4404948586133877</c:v>
                </c:pt>
                <c:pt idx="417">
                  <c:v>-3.4405810432480957</c:v>
                </c:pt>
                <c:pt idx="418">
                  <c:v>-3.4406672278951338</c:v>
                </c:pt>
                <c:pt idx="419">
                  <c:v>-3.4407534125544612</c:v>
                </c:pt>
                <c:pt idx="420">
                  <c:v>-3.4408395972260348</c:v>
                </c:pt>
                <c:pt idx="421">
                  <c:v>-3.4409257819098125</c:v>
                </c:pt>
                <c:pt idx="422">
                  <c:v>-3.4410119666057568</c:v>
                </c:pt>
                <c:pt idx="423">
                  <c:v>-3.4410981513138239</c:v>
                </c:pt>
                <c:pt idx="424">
                  <c:v>-3.4411843360339729</c:v>
                </c:pt>
                <c:pt idx="425">
                  <c:v>-3.4412705207661625</c:v>
                </c:pt>
                <c:pt idx="426">
                  <c:v>-3.4413567055103504</c:v>
                </c:pt>
                <c:pt idx="427">
                  <c:v>-3.441442890266496</c:v>
                </c:pt>
                <c:pt idx="428">
                  <c:v>-3.4415290750345604</c:v>
                </c:pt>
                <c:pt idx="429">
                  <c:v>-3.4416152598144985</c:v>
                </c:pt>
                <c:pt idx="430">
                  <c:v>-3.4417014446062701</c:v>
                </c:pt>
                <c:pt idx="431">
                  <c:v>-3.441787629409836</c:v>
                </c:pt>
                <c:pt idx="432">
                  <c:v>-3.4418738142251533</c:v>
                </c:pt>
                <c:pt idx="433">
                  <c:v>-3.4419599990521794</c:v>
                </c:pt>
                <c:pt idx="434">
                  <c:v>-3.4420461838908776</c:v>
                </c:pt>
                <c:pt idx="435">
                  <c:v>-3.442132368741202</c:v>
                </c:pt>
                <c:pt idx="436">
                  <c:v>-3.4422185536031114</c:v>
                </c:pt>
                <c:pt idx="437">
                  <c:v>-3.4423047384765666</c:v>
                </c:pt>
                <c:pt idx="438">
                  <c:v>-3.4423909233615246</c:v>
                </c:pt>
                <c:pt idx="439">
                  <c:v>-3.4424771082579464</c:v>
                </c:pt>
                <c:pt idx="440">
                  <c:v>-3.4425632931657906</c:v>
                </c:pt>
                <c:pt idx="441">
                  <c:v>-3.4426494780850128</c:v>
                </c:pt>
                <c:pt idx="442">
                  <c:v>-3.4427356630155739</c:v>
                </c:pt>
                <c:pt idx="443">
                  <c:v>-3.4428218479574322</c:v>
                </c:pt>
                <c:pt idx="444">
                  <c:v>-3.4429080329105459</c:v>
                </c:pt>
                <c:pt idx="445">
                  <c:v>-3.4429942178748769</c:v>
                </c:pt>
                <c:pt idx="446">
                  <c:v>-3.4430804028503799</c:v>
                </c:pt>
                <c:pt idx="447">
                  <c:v>-3.4431665878370166</c:v>
                </c:pt>
                <c:pt idx="448">
                  <c:v>-3.4432527728347426</c:v>
                </c:pt>
                <c:pt idx="449">
                  <c:v>-3.4433389578435172</c:v>
                </c:pt>
                <c:pt idx="450">
                  <c:v>-3.4434251428633025</c:v>
                </c:pt>
                <c:pt idx="451">
                  <c:v>-3.4435113278940532</c:v>
                </c:pt>
                <c:pt idx="452">
                  <c:v>-3.4435975129357317</c:v>
                </c:pt>
                <c:pt idx="453">
                  <c:v>-3.4436836979882939</c:v>
                </c:pt>
                <c:pt idx="454">
                  <c:v>-3.4437698830517012</c:v>
                </c:pt>
                <c:pt idx="455">
                  <c:v>-3.4438560681259092</c:v>
                </c:pt>
                <c:pt idx="456">
                  <c:v>-3.4439422532108774</c:v>
                </c:pt>
                <c:pt idx="457">
                  <c:v>-3.4440284383065669</c:v>
                </c:pt>
                <c:pt idx="458">
                  <c:v>-3.4441146234129332</c:v>
                </c:pt>
                <c:pt idx="459">
                  <c:v>-3.4442008085299363</c:v>
                </c:pt>
                <c:pt idx="460">
                  <c:v>-3.4442869936575367</c:v>
                </c:pt>
                <c:pt idx="461">
                  <c:v>-3.4443731787956899</c:v>
                </c:pt>
                <c:pt idx="462">
                  <c:v>-3.4444593639443579</c:v>
                </c:pt>
                <c:pt idx="463">
                  <c:v>-3.4445455491034971</c:v>
                </c:pt>
                <c:pt idx="464">
                  <c:v>-3.4446317342730661</c:v>
                </c:pt>
                <c:pt idx="465">
                  <c:v>-3.444717919453026</c:v>
                </c:pt>
                <c:pt idx="466">
                  <c:v>-3.4448041046433349</c:v>
                </c:pt>
                <c:pt idx="467">
                  <c:v>-3.4448902898439488</c:v>
                </c:pt>
                <c:pt idx="468">
                  <c:v>-3.4449764750548302</c:v>
                </c:pt>
                <c:pt idx="469">
                  <c:v>-3.4450626602759336</c:v>
                </c:pt>
                <c:pt idx="470">
                  <c:v>-3.4451488455072226</c:v>
                </c:pt>
                <c:pt idx="471">
                  <c:v>-3.4452350307486532</c:v>
                </c:pt>
                <c:pt idx="472">
                  <c:v>-3.4453212160001838</c:v>
                </c:pt>
                <c:pt idx="473">
                  <c:v>-3.4454074012617757</c:v>
                </c:pt>
                <c:pt idx="474">
                  <c:v>-3.4454935865333844</c:v>
                </c:pt>
                <c:pt idx="475">
                  <c:v>-3.4455797718149701</c:v>
                </c:pt>
                <c:pt idx="476">
                  <c:v>-3.4456659571064914</c:v>
                </c:pt>
                <c:pt idx="477">
                  <c:v>-3.4457521424079056</c:v>
                </c:pt>
                <c:pt idx="478">
                  <c:v>-3.4458383277191751</c:v>
                </c:pt>
                <c:pt idx="479">
                  <c:v>-3.4459245130402576</c:v>
                </c:pt>
                <c:pt idx="480">
                  <c:v>-3.4460106983711087</c:v>
                </c:pt>
                <c:pt idx="481">
                  <c:v>-3.4460968837116908</c:v>
                </c:pt>
                <c:pt idx="482">
                  <c:v>-3.4461830690619606</c:v>
                </c:pt>
                <c:pt idx="483">
                  <c:v>-3.4462692544218787</c:v>
                </c:pt>
                <c:pt idx="484">
                  <c:v>-3.4463554397914011</c:v>
                </c:pt>
                <c:pt idx="485">
                  <c:v>-3.4464416251704884</c:v>
                </c:pt>
                <c:pt idx="486">
                  <c:v>-3.4465278105590991</c:v>
                </c:pt>
                <c:pt idx="487">
                  <c:v>-3.4466139959571915</c:v>
                </c:pt>
                <c:pt idx="488">
                  <c:v>-3.446700181364724</c:v>
                </c:pt>
                <c:pt idx="489">
                  <c:v>-3.4467863667816587</c:v>
                </c:pt>
                <c:pt idx="490">
                  <c:v>-3.4468725522079509</c:v>
                </c:pt>
                <c:pt idx="491">
                  <c:v>-3.4469587376435578</c:v>
                </c:pt>
                <c:pt idx="492">
                  <c:v>-3.4470449230884448</c:v>
                </c:pt>
                <c:pt idx="493">
                  <c:v>-3.4471311085425635</c:v>
                </c:pt>
                <c:pt idx="494">
                  <c:v>-3.4472172940058754</c:v>
                </c:pt>
                <c:pt idx="495">
                  <c:v>-3.4473034794783408</c:v>
                </c:pt>
                <c:pt idx="496">
                  <c:v>-3.4473896649599176</c:v>
                </c:pt>
                <c:pt idx="497">
                  <c:v>-3.4474758504505649</c:v>
                </c:pt>
                <c:pt idx="498">
                  <c:v>-3.4475620359502379</c:v>
                </c:pt>
                <c:pt idx="499">
                  <c:v>-3.4476482214588993</c:v>
                </c:pt>
                <c:pt idx="500">
                  <c:v>-3.4477344069765081</c:v>
                </c:pt>
                <c:pt idx="501">
                  <c:v>-3.4478205925030219</c:v>
                </c:pt>
                <c:pt idx="502">
                  <c:v>-3.4479067780383987</c:v>
                </c:pt>
                <c:pt idx="503">
                  <c:v>-3.4479929635825992</c:v>
                </c:pt>
                <c:pt idx="504">
                  <c:v>-3.4480791491355798</c:v>
                </c:pt>
                <c:pt idx="505">
                  <c:v>-3.4481653346973009</c:v>
                </c:pt>
                <c:pt idx="506">
                  <c:v>-3.4482515202677191</c:v>
                </c:pt>
                <c:pt idx="507">
                  <c:v>-3.4483377058467957</c:v>
                </c:pt>
                <c:pt idx="508">
                  <c:v>-3.4484238914344889</c:v>
                </c:pt>
                <c:pt idx="509">
                  <c:v>-3.4485100770307571</c:v>
                </c:pt>
                <c:pt idx="510">
                  <c:v>-3.4485962626355602</c:v>
                </c:pt>
                <c:pt idx="511">
                  <c:v>-3.4486824482488556</c:v>
                </c:pt>
                <c:pt idx="512">
                  <c:v>-3.448768633870603</c:v>
                </c:pt>
                <c:pt idx="513">
                  <c:v>-3.4488548195007596</c:v>
                </c:pt>
                <c:pt idx="514">
                  <c:v>-3.4489410051392873</c:v>
                </c:pt>
                <c:pt idx="515">
                  <c:v>-3.4490271907861407</c:v>
                </c:pt>
                <c:pt idx="516">
                  <c:v>-3.4491133764412814</c:v>
                </c:pt>
                <c:pt idx="517">
                  <c:v>-3.4491995621046678</c:v>
                </c:pt>
                <c:pt idx="518">
                  <c:v>-3.4492857477762588</c:v>
                </c:pt>
                <c:pt idx="519">
                  <c:v>-3.4493719334560122</c:v>
                </c:pt>
                <c:pt idx="520">
                  <c:v>-3.4494581191438889</c:v>
                </c:pt>
                <c:pt idx="521">
                  <c:v>-3.4495443048398449</c:v>
                </c:pt>
                <c:pt idx="522">
                  <c:v>-3.4496304905438415</c:v>
                </c:pt>
                <c:pt idx="523">
                  <c:v>-3.4497166762558362</c:v>
                </c:pt>
                <c:pt idx="524">
                  <c:v>-3.4498028619757877</c:v>
                </c:pt>
                <c:pt idx="525">
                  <c:v>-3.4498890477036546</c:v>
                </c:pt>
                <c:pt idx="526">
                  <c:v>-3.4499752334393947</c:v>
                </c:pt>
                <c:pt idx="527">
                  <c:v>-3.4500614191829704</c:v>
                </c:pt>
                <c:pt idx="528">
                  <c:v>-3.4501476049343403</c:v>
                </c:pt>
                <c:pt idx="529">
                  <c:v>-3.4502337906934577</c:v>
                </c:pt>
                <c:pt idx="530">
                  <c:v>-3.4503199764602872</c:v>
                </c:pt>
                <c:pt idx="531">
                  <c:v>-3.4504061622347852</c:v>
                </c:pt>
                <c:pt idx="532">
                  <c:v>-3.4504923480169096</c:v>
                </c:pt>
                <c:pt idx="533">
                  <c:v>-3.4505785338066213</c:v>
                </c:pt>
                <c:pt idx="534">
                  <c:v>-3.4506647196038767</c:v>
                </c:pt>
                <c:pt idx="535">
                  <c:v>-3.4507509054086385</c:v>
                </c:pt>
                <c:pt idx="536">
                  <c:v>-3.4508370912208632</c:v>
                </c:pt>
                <c:pt idx="537">
                  <c:v>-3.4509232770405078</c:v>
                </c:pt>
                <c:pt idx="538">
                  <c:v>-3.4510094628675332</c:v>
                </c:pt>
                <c:pt idx="539">
                  <c:v>-3.4510956487018998</c:v>
                </c:pt>
                <c:pt idx="540">
                  <c:v>-3.4511818345435614</c:v>
                </c:pt>
                <c:pt idx="541">
                  <c:v>-3.4512680203924813</c:v>
                </c:pt>
                <c:pt idx="542">
                  <c:v>-3.4513542062486167</c:v>
                </c:pt>
                <c:pt idx="543">
                  <c:v>-3.4514403921119272</c:v>
                </c:pt>
                <c:pt idx="544">
                  <c:v>-3.4515265779823712</c:v>
                </c:pt>
                <c:pt idx="545">
                  <c:v>-3.4516127638599077</c:v>
                </c:pt>
                <c:pt idx="546">
                  <c:v>-3.4516989497444928</c:v>
                </c:pt>
                <c:pt idx="547">
                  <c:v>-3.4517851356360891</c:v>
                </c:pt>
                <c:pt idx="548">
                  <c:v>-3.4518713215346546</c:v>
                </c:pt>
                <c:pt idx="549">
                  <c:v>-3.4519575074401478</c:v>
                </c:pt>
                <c:pt idx="550">
                  <c:v>-3.4520436933525271</c:v>
                </c:pt>
                <c:pt idx="551">
                  <c:v>-3.4521298792717521</c:v>
                </c:pt>
                <c:pt idx="552">
                  <c:v>-3.4522160651977787</c:v>
                </c:pt>
                <c:pt idx="553">
                  <c:v>-3.452302251130571</c:v>
                </c:pt>
                <c:pt idx="554">
                  <c:v>-3.452388437070081</c:v>
                </c:pt>
                <c:pt idx="555">
                  <c:v>-3.4524746230162746</c:v>
                </c:pt>
                <c:pt idx="556">
                  <c:v>-3.4525608089691078</c:v>
                </c:pt>
                <c:pt idx="557">
                  <c:v>-3.4526469949285366</c:v>
                </c:pt>
                <c:pt idx="558">
                  <c:v>-3.4527331808945259</c:v>
                </c:pt>
                <c:pt idx="559">
                  <c:v>-3.4528193668670273</c:v>
                </c:pt>
                <c:pt idx="560">
                  <c:v>-3.4529055528460058</c:v>
                </c:pt>
                <c:pt idx="561">
                  <c:v>-3.4529917388314182</c:v>
                </c:pt>
                <c:pt idx="562">
                  <c:v>-3.453077924823222</c:v>
                </c:pt>
                <c:pt idx="563">
                  <c:v>-3.4531641108213762</c:v>
                </c:pt>
                <c:pt idx="564">
                  <c:v>-3.4532502968258409</c:v>
                </c:pt>
                <c:pt idx="565">
                  <c:v>-3.4533364828365745</c:v>
                </c:pt>
                <c:pt idx="566">
                  <c:v>-3.4534226688535368</c:v>
                </c:pt>
                <c:pt idx="567">
                  <c:v>-3.4535088548766844</c:v>
                </c:pt>
                <c:pt idx="568">
                  <c:v>-3.4535950409059764</c:v>
                </c:pt>
                <c:pt idx="569">
                  <c:v>-3.4536812269413746</c:v>
                </c:pt>
                <c:pt idx="570">
                  <c:v>-3.4537674129828333</c:v>
                </c:pt>
                <c:pt idx="571">
                  <c:v>-3.453853599030317</c:v>
                </c:pt>
                <c:pt idx="572">
                  <c:v>-3.4539397850837816</c:v>
                </c:pt>
                <c:pt idx="573">
                  <c:v>-3.4540259711431847</c:v>
                </c:pt>
                <c:pt idx="574">
                  <c:v>-3.4541121572084843</c:v>
                </c:pt>
                <c:pt idx="575">
                  <c:v>-3.4541983432796433</c:v>
                </c:pt>
                <c:pt idx="576">
                  <c:v>-3.4542845293566184</c:v>
                </c:pt>
                <c:pt idx="577">
                  <c:v>-3.4543707154393686</c:v>
                </c:pt>
                <c:pt idx="578">
                  <c:v>-3.4544569015278523</c:v>
                </c:pt>
                <c:pt idx="579">
                  <c:v>-3.4545430876220289</c:v>
                </c:pt>
                <c:pt idx="580">
                  <c:v>-3.4546292737218582</c:v>
                </c:pt>
                <c:pt idx="581">
                  <c:v>-3.4547154598272964</c:v>
                </c:pt>
                <c:pt idx="582">
                  <c:v>-3.454801645938304</c:v>
                </c:pt>
                <c:pt idx="583">
                  <c:v>-3.45488783205484</c:v>
                </c:pt>
                <c:pt idx="584">
                  <c:v>-3.4549740181768622</c:v>
                </c:pt>
                <c:pt idx="585">
                  <c:v>-3.4550602043043339</c:v>
                </c:pt>
                <c:pt idx="586">
                  <c:v>-3.4551463904372075</c:v>
                </c:pt>
                <c:pt idx="587">
                  <c:v>-3.455232576575443</c:v>
                </c:pt>
                <c:pt idx="588">
                  <c:v>-3.4553187627190045</c:v>
                </c:pt>
                <c:pt idx="589">
                  <c:v>-3.4554049488678453</c:v>
                </c:pt>
                <c:pt idx="590">
                  <c:v>-3.4554911350219282</c:v>
                </c:pt>
                <c:pt idx="591">
                  <c:v>-3.4555773211812078</c:v>
                </c:pt>
                <c:pt idx="592">
                  <c:v>-3.4556635073456472</c:v>
                </c:pt>
                <c:pt idx="593">
                  <c:v>-3.4557496935152034</c:v>
                </c:pt>
                <c:pt idx="594">
                  <c:v>-3.4558358796898356</c:v>
                </c:pt>
                <c:pt idx="595">
                  <c:v>-3.4559220658694998</c:v>
                </c:pt>
                <c:pt idx="596">
                  <c:v>-3.4560082520541586</c:v>
                </c:pt>
                <c:pt idx="597">
                  <c:v>-3.4560944382437726</c:v>
                </c:pt>
                <c:pt idx="598">
                  <c:v>-3.456180624438296</c:v>
                </c:pt>
                <c:pt idx="599">
                  <c:v>-3.4562668106376875</c:v>
                </c:pt>
                <c:pt idx="600">
                  <c:v>-3.4563529968419093</c:v>
                </c:pt>
                <c:pt idx="601">
                  <c:v>-3.4564391830509198</c:v>
                </c:pt>
                <c:pt idx="602">
                  <c:v>-3.4565253692646758</c:v>
                </c:pt>
                <c:pt idx="603">
                  <c:v>-3.4566115554831391</c:v>
                </c:pt>
                <c:pt idx="604">
                  <c:v>-3.4566977417062668</c:v>
                </c:pt>
                <c:pt idx="605">
                  <c:v>-3.4567839279340151</c:v>
                </c:pt>
                <c:pt idx="606">
                  <c:v>-3.4568701141663474</c:v>
                </c:pt>
                <c:pt idx="607">
                  <c:v>-3.4569563004032227</c:v>
                </c:pt>
                <c:pt idx="608">
                  <c:v>-3.4570424866445957</c:v>
                </c:pt>
                <c:pt idx="609">
                  <c:v>-3.4571286728904265</c:v>
                </c:pt>
                <c:pt idx="610">
                  <c:v>-3.4572148591406773</c:v>
                </c:pt>
                <c:pt idx="611">
                  <c:v>-3.4573010453953041</c:v>
                </c:pt>
                <c:pt idx="612">
                  <c:v>-3.457387231654268</c:v>
                </c:pt>
                <c:pt idx="613">
                  <c:v>-3.4574734179175235</c:v>
                </c:pt>
                <c:pt idx="614">
                  <c:v>-3.4575596041850356</c:v>
                </c:pt>
                <c:pt idx="615">
                  <c:v>-3.4576457904567595</c:v>
                </c:pt>
                <c:pt idx="616">
                  <c:v>-3.4577319767326529</c:v>
                </c:pt>
                <c:pt idx="617">
                  <c:v>-3.4578181630126772</c:v>
                </c:pt>
                <c:pt idx="618">
                  <c:v>-3.4579043492967889</c:v>
                </c:pt>
                <c:pt idx="619">
                  <c:v>-3.4579905355849503</c:v>
                </c:pt>
                <c:pt idx="620">
                  <c:v>-3.4580767218771173</c:v>
                </c:pt>
                <c:pt idx="621">
                  <c:v>-3.4581629081732501</c:v>
                </c:pt>
                <c:pt idx="622">
                  <c:v>-3.4582490944733091</c:v>
                </c:pt>
                <c:pt idx="623">
                  <c:v>-3.4583352807772498</c:v>
                </c:pt>
                <c:pt idx="624">
                  <c:v>-3.4584214670850315</c:v>
                </c:pt>
                <c:pt idx="625">
                  <c:v>-3.4585076533966168</c:v>
                </c:pt>
                <c:pt idx="626">
                  <c:v>-3.4585938397119618</c:v>
                </c:pt>
                <c:pt idx="627">
                  <c:v>-3.4586800260310264</c:v>
                </c:pt>
                <c:pt idx="628">
                  <c:v>-3.4587662123537672</c:v>
                </c:pt>
                <c:pt idx="629">
                  <c:v>-3.4588523986801452</c:v>
                </c:pt>
                <c:pt idx="630">
                  <c:v>-3.4589385850101211</c:v>
                </c:pt>
                <c:pt idx="631">
                  <c:v>-3.4590247713436506</c:v>
                </c:pt>
                <c:pt idx="632">
                  <c:v>-3.459110957680692</c:v>
                </c:pt>
                <c:pt idx="633">
                  <c:v>-3.4591971440212079</c:v>
                </c:pt>
                <c:pt idx="634">
                  <c:v>-3.4592833303651562</c:v>
                </c:pt>
                <c:pt idx="635">
                  <c:v>-3.4593695167124925</c:v>
                </c:pt>
                <c:pt idx="636">
                  <c:v>-3.459455703063179</c:v>
                </c:pt>
                <c:pt idx="637">
                  <c:v>-3.4595418894171739</c:v>
                </c:pt>
                <c:pt idx="638">
                  <c:v>-3.4596280757744338</c:v>
                </c:pt>
                <c:pt idx="639">
                  <c:v>-3.4597142621349222</c:v>
                </c:pt>
                <c:pt idx="640">
                  <c:v>-3.4598004484985942</c:v>
                </c:pt>
                <c:pt idx="641">
                  <c:v>-3.4598866348654096</c:v>
                </c:pt>
                <c:pt idx="642">
                  <c:v>-3.4599728212353291</c:v>
                </c:pt>
                <c:pt idx="643">
                  <c:v>-3.4600590076083093</c:v>
                </c:pt>
                <c:pt idx="644">
                  <c:v>-3.4601451939843115</c:v>
                </c:pt>
                <c:pt idx="645">
                  <c:v>-3.4602313803632909</c:v>
                </c:pt>
                <c:pt idx="646">
                  <c:v>-3.4603175667452115</c:v>
                </c:pt>
                <c:pt idx="647">
                  <c:v>-3.4604037531300285</c:v>
                </c:pt>
                <c:pt idx="648">
                  <c:v>-3.4604899395177</c:v>
                </c:pt>
                <c:pt idx="649">
                  <c:v>-3.4605761259081889</c:v>
                </c:pt>
                <c:pt idx="650">
                  <c:v>-3.4606623123014515</c:v>
                </c:pt>
                <c:pt idx="651">
                  <c:v>-3.4607484986974457</c:v>
                </c:pt>
                <c:pt idx="652">
                  <c:v>-3.4608346850961338</c:v>
                </c:pt>
                <c:pt idx="653">
                  <c:v>-3.4609208714974717</c:v>
                </c:pt>
                <c:pt idx="654">
                  <c:v>-3.4610070579014196</c:v>
                </c:pt>
                <c:pt idx="655">
                  <c:v>-3.4610932443079365</c:v>
                </c:pt>
                <c:pt idx="656">
                  <c:v>-3.4611794307169812</c:v>
                </c:pt>
                <c:pt idx="657">
                  <c:v>-3.4612656171285132</c:v>
                </c:pt>
                <c:pt idx="658">
                  <c:v>-3.4613518035424908</c:v>
                </c:pt>
                <c:pt idx="659">
                  <c:v>-3.4614379899588714</c:v>
                </c:pt>
                <c:pt idx="660">
                  <c:v>-3.4615241763776159</c:v>
                </c:pt>
                <c:pt idx="661">
                  <c:v>-3.4616103627986843</c:v>
                </c:pt>
                <c:pt idx="662">
                  <c:v>-3.4616965492220304</c:v>
                </c:pt>
                <c:pt idx="663">
                  <c:v>-3.4617827356476205</c:v>
                </c:pt>
                <c:pt idx="664">
                  <c:v>-3.4618689220754093</c:v>
                </c:pt>
                <c:pt idx="665">
                  <c:v>-3.461955108505355</c:v>
                </c:pt>
                <c:pt idx="666">
                  <c:v>-3.4620412949374186</c:v>
                </c:pt>
                <c:pt idx="667">
                  <c:v>-3.4621274813715583</c:v>
                </c:pt>
                <c:pt idx="668">
                  <c:v>-3.4622136678077315</c:v>
                </c:pt>
                <c:pt idx="669">
                  <c:v>-3.4622998542459009</c:v>
                </c:pt>
                <c:pt idx="670">
                  <c:v>-3.4623860406860234</c:v>
                </c:pt>
                <c:pt idx="671">
                  <c:v>-3.4624722271280555</c:v>
                </c:pt>
                <c:pt idx="672">
                  <c:v>-3.4625584135719594</c:v>
                </c:pt>
                <c:pt idx="673">
                  <c:v>-3.4626446000176925</c:v>
                </c:pt>
                <c:pt idx="674">
                  <c:v>-3.4627307864652161</c:v>
                </c:pt>
                <c:pt idx="675">
                  <c:v>-3.462816972914486</c:v>
                </c:pt>
                <c:pt idx="676">
                  <c:v>-3.462903159365462</c:v>
                </c:pt>
                <c:pt idx="677">
                  <c:v>-3.4629893458181047</c:v>
                </c:pt>
                <c:pt idx="678">
                  <c:v>-3.4630755322723723</c:v>
                </c:pt>
                <c:pt idx="679">
                  <c:v>-3.4631617187282204</c:v>
                </c:pt>
                <c:pt idx="680">
                  <c:v>-3.4632479051856158</c:v>
                </c:pt>
                <c:pt idx="681">
                  <c:v>-3.4633340916445081</c:v>
                </c:pt>
                <c:pt idx="682">
                  <c:v>-3.4634202781048633</c:v>
                </c:pt>
                <c:pt idx="683">
                  <c:v>-3.4635064645666369</c:v>
                </c:pt>
                <c:pt idx="684">
                  <c:v>-3.4635926510297894</c:v>
                </c:pt>
                <c:pt idx="685">
                  <c:v>-3.4636788374942777</c:v>
                </c:pt>
                <c:pt idx="686">
                  <c:v>-3.4637650239600637</c:v>
                </c:pt>
                <c:pt idx="687">
                  <c:v>-3.4638512104271051</c:v>
                </c:pt>
                <c:pt idx="688">
                  <c:v>-3.4639373968953602</c:v>
                </c:pt>
                <c:pt idx="689">
                  <c:v>-3.464023583364789</c:v>
                </c:pt>
                <c:pt idx="690">
                  <c:v>-3.4641097698353494</c:v>
                </c:pt>
                <c:pt idx="691">
                  <c:v>-3.4641959563069999</c:v>
                </c:pt>
                <c:pt idx="692">
                  <c:v>-3.4642821427797004</c:v>
                </c:pt>
                <c:pt idx="693">
                  <c:v>-3.4643683292534098</c:v>
                </c:pt>
                <c:pt idx="694">
                  <c:v>-3.464454515728089</c:v>
                </c:pt>
                <c:pt idx="695">
                  <c:v>-3.4645407022036943</c:v>
                </c:pt>
                <c:pt idx="696">
                  <c:v>-3.4646268886801845</c:v>
                </c:pt>
                <c:pt idx="697">
                  <c:v>-3.4647130751575217</c:v>
                </c:pt>
                <c:pt idx="698">
                  <c:v>-3.4647992616356609</c:v>
                </c:pt>
                <c:pt idx="699">
                  <c:v>-3.4648854481145639</c:v>
                </c:pt>
                <c:pt idx="700">
                  <c:v>-3.4649716345941863</c:v>
                </c:pt>
                <c:pt idx="701">
                  <c:v>-3.4650578210744936</c:v>
                </c:pt>
                <c:pt idx="702">
                  <c:v>-3.4651440075554376</c:v>
                </c:pt>
                <c:pt idx="703">
                  <c:v>-3.4652301940369798</c:v>
                </c:pt>
                <c:pt idx="704">
                  <c:v>-3.4653163805190808</c:v>
                </c:pt>
                <c:pt idx="705">
                  <c:v>-3.4654025670016986</c:v>
                </c:pt>
                <c:pt idx="706">
                  <c:v>-3.465488753484792</c:v>
                </c:pt>
                <c:pt idx="707">
                  <c:v>-3.4655749399683211</c:v>
                </c:pt>
                <c:pt idx="708">
                  <c:v>-3.4656611264522414</c:v>
                </c:pt>
                <c:pt idx="709">
                  <c:v>-3.4657473129365175</c:v>
                </c:pt>
                <c:pt idx="710">
                  <c:v>-3.465833499421104</c:v>
                </c:pt>
                <c:pt idx="711">
                  <c:v>-3.4659196859059591</c:v>
                </c:pt>
                <c:pt idx="712">
                  <c:v>-3.4660058723910461</c:v>
                </c:pt>
                <c:pt idx="713">
                  <c:v>-3.4660920588763209</c:v>
                </c:pt>
                <c:pt idx="714">
                  <c:v>-3.4661782453617445</c:v>
                </c:pt>
                <c:pt idx="715">
                  <c:v>-3.4662644318472728</c:v>
                </c:pt>
                <c:pt idx="716">
                  <c:v>-3.4663506183328683</c:v>
                </c:pt>
                <c:pt idx="717">
                  <c:v>-3.4664368048184868</c:v>
                </c:pt>
                <c:pt idx="718">
                  <c:v>-3.4665229913040894</c:v>
                </c:pt>
                <c:pt idx="719">
                  <c:v>-3.4666091777896373</c:v>
                </c:pt>
                <c:pt idx="720">
                  <c:v>-3.4666953642750831</c:v>
                </c:pt>
                <c:pt idx="721">
                  <c:v>-3.4667815507603903</c:v>
                </c:pt>
                <c:pt idx="722">
                  <c:v>-3.4668677372455177</c:v>
                </c:pt>
                <c:pt idx="723">
                  <c:v>-3.4669539237304252</c:v>
                </c:pt>
                <c:pt idx="724">
                  <c:v>-3.467040110215069</c:v>
                </c:pt>
                <c:pt idx="725">
                  <c:v>-3.4671262966994081</c:v>
                </c:pt>
                <c:pt idx="726">
                  <c:v>-3.4672124831834035</c:v>
                </c:pt>
                <c:pt idx="727">
                  <c:v>-3.4672986696670147</c:v>
                </c:pt>
                <c:pt idx="728">
                  <c:v>-3.4673848561501992</c:v>
                </c:pt>
                <c:pt idx="729">
                  <c:v>-3.4674710426329161</c:v>
                </c:pt>
                <c:pt idx="730">
                  <c:v>-3.4675572291151235</c:v>
                </c:pt>
                <c:pt idx="731">
                  <c:v>-3.4676434155967821</c:v>
                </c:pt>
                <c:pt idx="732">
                  <c:v>-3.4677296020778505</c:v>
                </c:pt>
                <c:pt idx="733">
                  <c:v>-3.4678157885582888</c:v>
                </c:pt>
                <c:pt idx="734">
                  <c:v>-3.4679019750380515</c:v>
                </c:pt>
                <c:pt idx="735">
                  <c:v>-3.4679881615171033</c:v>
                </c:pt>
                <c:pt idx="736">
                  <c:v>-3.4680743479953997</c:v>
                </c:pt>
                <c:pt idx="737">
                  <c:v>-3.4681605344729016</c:v>
                </c:pt>
                <c:pt idx="738">
                  <c:v>-3.4682467209495695</c:v>
                </c:pt>
                <c:pt idx="739">
                  <c:v>-3.4683329074253564</c:v>
                </c:pt>
                <c:pt idx="740">
                  <c:v>-3.4684190939002275</c:v>
                </c:pt>
                <c:pt idx="741">
                  <c:v>-3.4685052803741381</c:v>
                </c:pt>
                <c:pt idx="742">
                  <c:v>-3.4685914668470486</c:v>
                </c:pt>
                <c:pt idx="743">
                  <c:v>-3.4686776533189176</c:v>
                </c:pt>
                <c:pt idx="744">
                  <c:v>-3.468763839789704</c:v>
                </c:pt>
                <c:pt idx="745">
                  <c:v>-3.4688500262593687</c:v>
                </c:pt>
                <c:pt idx="746">
                  <c:v>-3.4689362127278685</c:v>
                </c:pt>
                <c:pt idx="747">
                  <c:v>-3.4690223991951643</c:v>
                </c:pt>
                <c:pt idx="748">
                  <c:v>-3.4691085856612127</c:v>
                </c:pt>
                <c:pt idx="749">
                  <c:v>-3.4691947721259728</c:v>
                </c:pt>
                <c:pt idx="750">
                  <c:v>-3.4692809585894082</c:v>
                </c:pt>
                <c:pt idx="751">
                  <c:v>-3.4693671450514718</c:v>
                </c:pt>
                <c:pt idx="752">
                  <c:v>-3.4694533315121272</c:v>
                </c:pt>
                <c:pt idx="753">
                  <c:v>-3.46953951797133</c:v>
                </c:pt>
                <c:pt idx="754">
                  <c:v>-3.4696257044290415</c:v>
                </c:pt>
                <c:pt idx="755">
                  <c:v>-3.4697118908852218</c:v>
                </c:pt>
                <c:pt idx="756">
                  <c:v>-3.4697980773398247</c:v>
                </c:pt>
                <c:pt idx="757">
                  <c:v>-3.4698842637928151</c:v>
                </c:pt>
                <c:pt idx="758">
                  <c:v>-3.4699704502441495</c:v>
                </c:pt>
                <c:pt idx="759">
                  <c:v>-3.4700566366937875</c:v>
                </c:pt>
                <c:pt idx="760">
                  <c:v>-3.4701428231416891</c:v>
                </c:pt>
                <c:pt idx="761">
                  <c:v>-3.4702290095878117</c:v>
                </c:pt>
                <c:pt idx="762">
                  <c:v>-3.470315196032113</c:v>
                </c:pt>
                <c:pt idx="763">
                  <c:v>-3.4704013824745545</c:v>
                </c:pt>
                <c:pt idx="764">
                  <c:v>-3.4704875689150936</c:v>
                </c:pt>
                <c:pt idx="765">
                  <c:v>-3.4705737553536906</c:v>
                </c:pt>
                <c:pt idx="766">
                  <c:v>-3.4706599417903052</c:v>
                </c:pt>
                <c:pt idx="767">
                  <c:v>-3.4707461282248944</c:v>
                </c:pt>
                <c:pt idx="768">
                  <c:v>-3.470832314657418</c:v>
                </c:pt>
                <c:pt idx="769">
                  <c:v>-3.4709185010878381</c:v>
                </c:pt>
                <c:pt idx="770">
                  <c:v>-3.4710046875161082</c:v>
                </c:pt>
                <c:pt idx="771">
                  <c:v>-3.4710908739421895</c:v>
                </c:pt>
                <c:pt idx="772">
                  <c:v>-3.4711770603660437</c:v>
                </c:pt>
                <c:pt idx="773">
                  <c:v>-3.4712632467876268</c:v>
                </c:pt>
                <c:pt idx="774">
                  <c:v>-3.4713494332068979</c:v>
                </c:pt>
                <c:pt idx="775">
                  <c:v>-3.4714356196238194</c:v>
                </c:pt>
                <c:pt idx="776">
                  <c:v>-3.4715218060383441</c:v>
                </c:pt>
                <c:pt idx="777">
                  <c:v>-3.4716079924504384</c:v>
                </c:pt>
                <c:pt idx="778">
                  <c:v>-3.4716941788600559</c:v>
                </c:pt>
                <c:pt idx="779">
                  <c:v>-3.4717803652671595</c:v>
                </c:pt>
                <c:pt idx="780">
                  <c:v>-3.471866551671706</c:v>
                </c:pt>
                <c:pt idx="781">
                  <c:v>-3.4719527380736559</c:v>
                </c:pt>
                <c:pt idx="782">
                  <c:v>-3.4720389244729644</c:v>
                </c:pt>
                <c:pt idx="783">
                  <c:v>-3.4721251108695941</c:v>
                </c:pt>
                <c:pt idx="784">
                  <c:v>-3.4722112972635029</c:v>
                </c:pt>
                <c:pt idx="785">
                  <c:v>-3.4722974836546521</c:v>
                </c:pt>
                <c:pt idx="786">
                  <c:v>-3.4723836700429986</c:v>
                </c:pt>
                <c:pt idx="787">
                  <c:v>-3.4724698564285035</c:v>
                </c:pt>
                <c:pt idx="788">
                  <c:v>-3.4725560428111191</c:v>
                </c:pt>
                <c:pt idx="789">
                  <c:v>-3.472642229190813</c:v>
                </c:pt>
                <c:pt idx="790">
                  <c:v>-3.4727284155675409</c:v>
                </c:pt>
                <c:pt idx="791">
                  <c:v>-3.4728146019412609</c:v>
                </c:pt>
                <c:pt idx="792">
                  <c:v>-3.4729007883119341</c:v>
                </c:pt>
                <c:pt idx="793">
                  <c:v>-3.4729869746795172</c:v>
                </c:pt>
                <c:pt idx="794">
                  <c:v>-3.4730731610439718</c:v>
                </c:pt>
                <c:pt idx="795">
                  <c:v>-3.473159347405252</c:v>
                </c:pt>
                <c:pt idx="796">
                  <c:v>-3.4732455337633246</c:v>
                </c:pt>
                <c:pt idx="797">
                  <c:v>-3.4733317201181424</c:v>
                </c:pt>
                <c:pt idx="798">
                  <c:v>-3.4734179064696686</c:v>
                </c:pt>
                <c:pt idx="799">
                  <c:v>-3.4735040928178584</c:v>
                </c:pt>
                <c:pt idx="800">
                  <c:v>-3.4735902791626736</c:v>
                </c:pt>
                <c:pt idx="801">
                  <c:v>-3.4736764655040746</c:v>
                </c:pt>
                <c:pt idx="802">
                  <c:v>-3.4737626518420157</c:v>
                </c:pt>
                <c:pt idx="803">
                  <c:v>-3.4738488381764618</c:v>
                </c:pt>
                <c:pt idx="804">
                  <c:v>-3.4739350245073655</c:v>
                </c:pt>
                <c:pt idx="805">
                  <c:v>-3.4740212108346884</c:v>
                </c:pt>
                <c:pt idx="806">
                  <c:v>-3.4741073971583929</c:v>
                </c:pt>
                <c:pt idx="807">
                  <c:v>-3.4741935834784354</c:v>
                </c:pt>
                <c:pt idx="808">
                  <c:v>-3.4742797697947738</c:v>
                </c:pt>
                <c:pt idx="809">
                  <c:v>-3.4743659561073721</c:v>
                </c:pt>
                <c:pt idx="810">
                  <c:v>-3.4744521424161805</c:v>
                </c:pt>
                <c:pt idx="811">
                  <c:v>-3.4745383287211675</c:v>
                </c:pt>
                <c:pt idx="812">
                  <c:v>-3.4746245150222883</c:v>
                </c:pt>
                <c:pt idx="813">
                  <c:v>-3.4747107013195024</c:v>
                </c:pt>
                <c:pt idx="814">
                  <c:v>-3.4747968876127664</c:v>
                </c:pt>
                <c:pt idx="815">
                  <c:v>-3.4748830739020411</c:v>
                </c:pt>
                <c:pt idx="816">
                  <c:v>-3.474969260187287</c:v>
                </c:pt>
                <c:pt idx="817">
                  <c:v>-3.4750554464684607</c:v>
                </c:pt>
                <c:pt idx="818">
                  <c:v>-3.4751416327455229</c:v>
                </c:pt>
                <c:pt idx="819">
                  <c:v>-3.4752278190184329</c:v>
                </c:pt>
                <c:pt idx="820">
                  <c:v>-3.475314005287149</c:v>
                </c:pt>
                <c:pt idx="821">
                  <c:v>-3.4754001915516293</c:v>
                </c:pt>
                <c:pt idx="822">
                  <c:v>-3.4754863778118366</c:v>
                </c:pt>
                <c:pt idx="823">
                  <c:v>-3.4755725640677269</c:v>
                </c:pt>
                <c:pt idx="824">
                  <c:v>-3.4756587503192602</c:v>
                </c:pt>
                <c:pt idx="825">
                  <c:v>-3.4757449365663957</c:v>
                </c:pt>
                <c:pt idx="826">
                  <c:v>-3.4758311228090926</c:v>
                </c:pt>
                <c:pt idx="827">
                  <c:v>-3.4759173090473081</c:v>
                </c:pt>
                <c:pt idx="828">
                  <c:v>-3.4760034952810037</c:v>
                </c:pt>
                <c:pt idx="829">
                  <c:v>-3.4760896815101376</c:v>
                </c:pt>
                <c:pt idx="830">
                  <c:v>-3.4761758677346695</c:v>
                </c:pt>
                <c:pt idx="831">
                  <c:v>-3.4762620539545575</c:v>
                </c:pt>
                <c:pt idx="832">
                  <c:v>-3.4763482401697612</c:v>
                </c:pt>
                <c:pt idx="833">
                  <c:v>-3.4764344263802398</c:v>
                </c:pt>
                <c:pt idx="834">
                  <c:v>-3.4765206125859525</c:v>
                </c:pt>
                <c:pt idx="835">
                  <c:v>-3.4766067987868583</c:v>
                </c:pt>
                <c:pt idx="836">
                  <c:v>-3.4766929849829151</c:v>
                </c:pt>
                <c:pt idx="837">
                  <c:v>-3.4767791711740861</c:v>
                </c:pt>
                <c:pt idx="838">
                  <c:v>-3.4768653573603232</c:v>
                </c:pt>
                <c:pt idx="839">
                  <c:v>-3.4769515435415927</c:v>
                </c:pt>
                <c:pt idx="840">
                  <c:v>-3.4770377297178494</c:v>
                </c:pt>
                <c:pt idx="841">
                  <c:v>-3.4771239158890537</c:v>
                </c:pt>
                <c:pt idx="842">
                  <c:v>-3.477210102055166</c:v>
                </c:pt>
                <c:pt idx="843">
                  <c:v>-3.4772962882161429</c:v>
                </c:pt>
                <c:pt idx="844">
                  <c:v>-3.4773824743719461</c:v>
                </c:pt>
                <c:pt idx="845">
                  <c:v>-3.4774686605225331</c:v>
                </c:pt>
                <c:pt idx="846">
                  <c:v>-3.4775548466678652</c:v>
                </c:pt>
                <c:pt idx="847">
                  <c:v>-3.4776410328078962</c:v>
                </c:pt>
                <c:pt idx="848">
                  <c:v>-3.4777272189425914</c:v>
                </c:pt>
                <c:pt idx="849">
                  <c:v>-3.4778134050719052</c:v>
                </c:pt>
                <c:pt idx="850">
                  <c:v>-3.4778995911958011</c:v>
                </c:pt>
                <c:pt idx="851">
                  <c:v>-3.4779857773142351</c:v>
                </c:pt>
                <c:pt idx="852">
                  <c:v>-3.4780719634271668</c:v>
                </c:pt>
                <c:pt idx="853">
                  <c:v>-3.4781581495345568</c:v>
                </c:pt>
                <c:pt idx="854">
                  <c:v>-3.4782443356363615</c:v>
                </c:pt>
                <c:pt idx="855">
                  <c:v>-3.4783305217325435</c:v>
                </c:pt>
                <c:pt idx="856">
                  <c:v>-3.478416707823059</c:v>
                </c:pt>
                <c:pt idx="857">
                  <c:v>-3.4785028939078675</c:v>
                </c:pt>
                <c:pt idx="858">
                  <c:v>-3.4785890799869308</c:v>
                </c:pt>
                <c:pt idx="859">
                  <c:v>-3.4786752660602049</c:v>
                </c:pt>
                <c:pt idx="860">
                  <c:v>-3.4787614521276513</c:v>
                </c:pt>
                <c:pt idx="861">
                  <c:v>-3.4788476381892273</c:v>
                </c:pt>
                <c:pt idx="862">
                  <c:v>-3.4789338242448933</c:v>
                </c:pt>
                <c:pt idx="863">
                  <c:v>-3.4790200102946063</c:v>
                </c:pt>
                <c:pt idx="864">
                  <c:v>-3.4791061963383276</c:v>
                </c:pt>
                <c:pt idx="865">
                  <c:v>-3.4791923823760182</c:v>
                </c:pt>
                <c:pt idx="866">
                  <c:v>-3.4792785684076315</c:v>
                </c:pt>
                <c:pt idx="867">
                  <c:v>-3.4793647544331305</c:v>
                </c:pt>
                <c:pt idx="868">
                  <c:v>-3.4794509404524763</c:v>
                </c:pt>
                <c:pt idx="869">
                  <c:v>-3.4795371264656243</c:v>
                </c:pt>
                <c:pt idx="870">
                  <c:v>-3.4796233124725342</c:v>
                </c:pt>
                <c:pt idx="871">
                  <c:v>-3.4797094984731651</c:v>
                </c:pt>
                <c:pt idx="872">
                  <c:v>-3.4797956844674789</c:v>
                </c:pt>
                <c:pt idx="873">
                  <c:v>-3.4798818704554306</c:v>
                </c:pt>
                <c:pt idx="874">
                  <c:v>-3.4799680564369839</c:v>
                </c:pt>
                <c:pt idx="875">
                  <c:v>-3.4800542424120939</c:v>
                </c:pt>
                <c:pt idx="876">
                  <c:v>-3.4801404283807233</c:v>
                </c:pt>
                <c:pt idx="877">
                  <c:v>-3.4802266143428269</c:v>
                </c:pt>
                <c:pt idx="878">
                  <c:v>-3.4803128002983681</c:v>
                </c:pt>
                <c:pt idx="879">
                  <c:v>-3.4803989862473035</c:v>
                </c:pt>
                <c:pt idx="880">
                  <c:v>-3.4804851721895935</c:v>
                </c:pt>
                <c:pt idx="881">
                  <c:v>-3.4805713581251965</c:v>
                </c:pt>
                <c:pt idx="882">
                  <c:v>-3.4806575440540719</c:v>
                </c:pt>
                <c:pt idx="883">
                  <c:v>-3.4807437299761803</c:v>
                </c:pt>
                <c:pt idx="884">
                  <c:v>-3.4808299158914777</c:v>
                </c:pt>
                <c:pt idx="885">
                  <c:v>-3.4809161017999264</c:v>
                </c:pt>
                <c:pt idx="886">
                  <c:v>-3.4810022877014837</c:v>
                </c:pt>
                <c:pt idx="887">
                  <c:v>-3.4810884735961083</c:v>
                </c:pt>
                <c:pt idx="888">
                  <c:v>-3.4811746594837611</c:v>
                </c:pt>
                <c:pt idx="889">
                  <c:v>-3.4812608453643996</c:v>
                </c:pt>
                <c:pt idx="890">
                  <c:v>-3.4813470312379859</c:v>
                </c:pt>
                <c:pt idx="891">
                  <c:v>-3.4814332171044766</c:v>
                </c:pt>
                <c:pt idx="892">
                  <c:v>-3.4815194029638317</c:v>
                </c:pt>
                <c:pt idx="893">
                  <c:v>-3.4816055888160098</c:v>
                </c:pt>
                <c:pt idx="894">
                  <c:v>-3.4816917746609697</c:v>
                </c:pt>
                <c:pt idx="895">
                  <c:v>-3.4817779604986732</c:v>
                </c:pt>
                <c:pt idx="896">
                  <c:v>-3.4818641463290749</c:v>
                </c:pt>
                <c:pt idx="897">
                  <c:v>-3.4819503321521368</c:v>
                </c:pt>
                <c:pt idx="898">
                  <c:v>-3.4820365179678188</c:v>
                </c:pt>
                <c:pt idx="899">
                  <c:v>-3.4821227037760778</c:v>
                </c:pt>
                <c:pt idx="900">
                  <c:v>-3.4822088895768766</c:v>
                </c:pt>
                <c:pt idx="901">
                  <c:v>-3.4822950753701729</c:v>
                </c:pt>
                <c:pt idx="902">
                  <c:v>-3.4823812611559211</c:v>
                </c:pt>
                <c:pt idx="903">
                  <c:v>-3.4824674469340882</c:v>
                </c:pt>
                <c:pt idx="904">
                  <c:v>-3.4825536327046276</c:v>
                </c:pt>
                <c:pt idx="905">
                  <c:v>-3.4826398184675011</c:v>
                </c:pt>
                <c:pt idx="906">
                  <c:v>-3.4827260042226666</c:v>
                </c:pt>
                <c:pt idx="907">
                  <c:v>-3.482812189970085</c:v>
                </c:pt>
                <c:pt idx="908">
                  <c:v>-3.4828983757097136</c:v>
                </c:pt>
                <c:pt idx="909">
                  <c:v>-3.482984561441512</c:v>
                </c:pt>
                <c:pt idx="910">
                  <c:v>-3.4830707471654407</c:v>
                </c:pt>
                <c:pt idx="911">
                  <c:v>-3.483156932881458</c:v>
                </c:pt>
                <c:pt idx="912">
                  <c:v>-3.4832431185895221</c:v>
                </c:pt>
                <c:pt idx="913">
                  <c:v>-3.4833293042895939</c:v>
                </c:pt>
                <c:pt idx="914">
                  <c:v>-3.4834154899816316</c:v>
                </c:pt>
                <c:pt idx="915">
                  <c:v>-3.4835016756655959</c:v>
                </c:pt>
                <c:pt idx="916">
                  <c:v>-3.4835878613414426</c:v>
                </c:pt>
                <c:pt idx="917">
                  <c:v>-3.483674047009135</c:v>
                </c:pt>
                <c:pt idx="918">
                  <c:v>-3.4837602326686281</c:v>
                </c:pt>
                <c:pt idx="919">
                  <c:v>-3.4838464183198856</c:v>
                </c:pt>
                <c:pt idx="920">
                  <c:v>-3.4839326039628626</c:v>
                </c:pt>
                <c:pt idx="921">
                  <c:v>-3.4840187895975228</c:v>
                </c:pt>
                <c:pt idx="922">
                  <c:v>-3.4841049752238193</c:v>
                </c:pt>
                <c:pt idx="923">
                  <c:v>-3.4841911608417164</c:v>
                </c:pt>
                <c:pt idx="924">
                  <c:v>-3.4842773464511714</c:v>
                </c:pt>
                <c:pt idx="925">
                  <c:v>-3.4843635320521442</c:v>
                </c:pt>
                <c:pt idx="926">
                  <c:v>-3.4844497176445928</c:v>
                </c:pt>
                <c:pt idx="927">
                  <c:v>-3.4845359032284762</c:v>
                </c:pt>
                <c:pt idx="928">
                  <c:v>-3.4846220888037562</c:v>
                </c:pt>
                <c:pt idx="929">
                  <c:v>-3.4847082743703921</c:v>
                </c:pt>
                <c:pt idx="930">
                  <c:v>-3.484794459928338</c:v>
                </c:pt>
                <c:pt idx="931">
                  <c:v>-3.4848806454775563</c:v>
                </c:pt>
                <c:pt idx="932">
                  <c:v>-3.4849668310180073</c:v>
                </c:pt>
                <c:pt idx="933">
                  <c:v>-3.4850530165496503</c:v>
                </c:pt>
                <c:pt idx="934">
                  <c:v>-3.4851392020724425</c:v>
                </c:pt>
                <c:pt idx="935">
                  <c:v>-3.4852253875863441</c:v>
                </c:pt>
                <c:pt idx="936">
                  <c:v>-3.4853115730913156</c:v>
                </c:pt>
                <c:pt idx="937">
                  <c:v>-3.4853977585873128</c:v>
                </c:pt>
                <c:pt idx="938">
                  <c:v>-3.4854839440742977</c:v>
                </c:pt>
                <c:pt idx="939">
                  <c:v>-3.4855701295522299</c:v>
                </c:pt>
                <c:pt idx="940">
                  <c:v>-3.4856563150210667</c:v>
                </c:pt>
                <c:pt idx="941">
                  <c:v>-3.4857425004807707</c:v>
                </c:pt>
                <c:pt idx="942">
                  <c:v>-3.4858286859312959</c:v>
                </c:pt>
                <c:pt idx="943">
                  <c:v>-3.4859148713726062</c:v>
                </c:pt>
                <c:pt idx="944">
                  <c:v>-3.4860010568046569</c:v>
                </c:pt>
                <c:pt idx="945">
                  <c:v>-3.4860872422274114</c:v>
                </c:pt>
                <c:pt idx="946">
                  <c:v>-3.4861734276408254</c:v>
                </c:pt>
                <c:pt idx="947">
                  <c:v>-3.4862596130448593</c:v>
                </c:pt>
                <c:pt idx="948">
                  <c:v>-3.4863457984394728</c:v>
                </c:pt>
                <c:pt idx="949">
                  <c:v>-3.4864319838246223</c:v>
                </c:pt>
                <c:pt idx="950">
                  <c:v>-3.4865181692002736</c:v>
                </c:pt>
                <c:pt idx="951">
                  <c:v>-3.4866043545663801</c:v>
                </c:pt>
                <c:pt idx="952">
                  <c:v>-3.4866905399229036</c:v>
                </c:pt>
                <c:pt idx="953">
                  <c:v>-3.4867767252698019</c:v>
                </c:pt>
                <c:pt idx="954">
                  <c:v>-3.4868629106070346</c:v>
                </c:pt>
                <c:pt idx="955">
                  <c:v>-3.4869490959345604</c:v>
                </c:pt>
                <c:pt idx="956">
                  <c:v>-3.4870352812523415</c:v>
                </c:pt>
                <c:pt idx="957">
                  <c:v>-3.4871214665603336</c:v>
                </c:pt>
                <c:pt idx="958">
                  <c:v>-3.4872076518584976</c:v>
                </c:pt>
                <c:pt idx="959">
                  <c:v>-3.4872938371467934</c:v>
                </c:pt>
                <c:pt idx="960">
                  <c:v>-3.4873800224251776</c:v>
                </c:pt>
                <c:pt idx="961">
                  <c:v>-3.4874662076936125</c:v>
                </c:pt>
                <c:pt idx="962">
                  <c:v>-3.487552392952054</c:v>
                </c:pt>
                <c:pt idx="963">
                  <c:v>-3.4876385782004671</c:v>
                </c:pt>
                <c:pt idx="964">
                  <c:v>-3.4877247634388042</c:v>
                </c:pt>
                <c:pt idx="965">
                  <c:v>-3.4878109486670281</c:v>
                </c:pt>
                <c:pt idx="966">
                  <c:v>-3.4878971338850961</c:v>
                </c:pt>
                <c:pt idx="967">
                  <c:v>-3.4879833190929719</c:v>
                </c:pt>
                <c:pt idx="968">
                  <c:v>-3.4880695042906082</c:v>
                </c:pt>
                <c:pt idx="969">
                  <c:v>-3.4881556894779719</c:v>
                </c:pt>
                <c:pt idx="970">
                  <c:v>-3.4882418746550155</c:v>
                </c:pt>
                <c:pt idx="971">
                  <c:v>-3.4883280598217006</c:v>
                </c:pt>
                <c:pt idx="972">
                  <c:v>-3.48841424497799</c:v>
                </c:pt>
                <c:pt idx="973">
                  <c:v>-3.4885004301238358</c:v>
                </c:pt>
                <c:pt idx="974">
                  <c:v>-3.4885866152592033</c:v>
                </c:pt>
                <c:pt idx="975">
                  <c:v>-3.4886728003840481</c:v>
                </c:pt>
                <c:pt idx="976">
                  <c:v>-3.4887589854983321</c:v>
                </c:pt>
                <c:pt idx="977">
                  <c:v>-3.4888451706020143</c:v>
                </c:pt>
                <c:pt idx="978">
                  <c:v>-3.4889313556950512</c:v>
                </c:pt>
                <c:pt idx="979">
                  <c:v>-3.4890175407774047</c:v>
                </c:pt>
                <c:pt idx="980">
                  <c:v>-3.4891037258490334</c:v>
                </c:pt>
                <c:pt idx="981">
                  <c:v>-3.4891899109098965</c:v>
                </c:pt>
                <c:pt idx="982">
                  <c:v>-3.4892760959599518</c:v>
                </c:pt>
                <c:pt idx="983">
                  <c:v>-3.4893622809991611</c:v>
                </c:pt>
                <c:pt idx="984">
                  <c:v>-3.4894484660274832</c:v>
                </c:pt>
                <c:pt idx="985">
                  <c:v>-3.4895346510448753</c:v>
                </c:pt>
                <c:pt idx="986">
                  <c:v>-3.4896208360512984</c:v>
                </c:pt>
                <c:pt idx="987">
                  <c:v>-3.4897070210467112</c:v>
                </c:pt>
                <c:pt idx="988">
                  <c:v>-3.4897932060310737</c:v>
                </c:pt>
                <c:pt idx="989">
                  <c:v>-3.4898793910043455</c:v>
                </c:pt>
                <c:pt idx="990">
                  <c:v>-3.4899655759664849</c:v>
                </c:pt>
                <c:pt idx="991">
                  <c:v>-3.4900517609174493</c:v>
                </c:pt>
                <c:pt idx="992">
                  <c:v>-3.4901379458572026</c:v>
                </c:pt>
                <c:pt idx="993">
                  <c:v>-3.4902241307857014</c:v>
                </c:pt>
                <c:pt idx="994">
                  <c:v>-3.4903103157029025</c:v>
                </c:pt>
                <c:pt idx="995">
                  <c:v>-3.4903965006087696</c:v>
                </c:pt>
                <c:pt idx="996">
                  <c:v>-3.4904826855032587</c:v>
                </c:pt>
                <c:pt idx="997">
                  <c:v>-3.4905688703863311</c:v>
                </c:pt>
                <c:pt idx="998">
                  <c:v>-3.4906550552579456</c:v>
                </c:pt>
                <c:pt idx="999">
                  <c:v>-3.4907412401180626</c:v>
                </c:pt>
                <c:pt idx="1000">
                  <c:v>-3.4908274249666373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4C-DF48-ADA1-B093CE44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53360"/>
        <c:axId val="1"/>
      </c:scatterChart>
      <c:valAx>
        <c:axId val="18059533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Accélérations [m/s²]_</a:t>
                </a:r>
              </a:p>
            </c:rich>
          </c:tx>
          <c:layout>
            <c:manualLayout>
              <c:xMode val="edge"/>
              <c:yMode val="edge"/>
              <c:x val="2.7122641509433963E-2"/>
              <c:y val="0.2973865266841644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5953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491258030774126"/>
          <c:y val="0.25214561439489114"/>
          <c:w val="0.28593070606586024"/>
          <c:h val="0.153851561325696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Positions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674528301886802"/>
          <c:y val="9.4771544282144501E-2"/>
          <c:w val="0.86438679245283023"/>
          <c:h val="0.738564448543608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Courbes!$B$144</c:f>
              <c:strCache>
                <c:ptCount val="1"/>
                <c:pt idx="0">
                  <c:v>Portée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2.1000000000000014</c:v>
                </c:pt>
                <c:pt idx="202">
                  <c:v>2.2000000000000015</c:v>
                </c:pt>
                <c:pt idx="203">
                  <c:v>2.3000000000000016</c:v>
                </c:pt>
                <c:pt idx="204">
                  <c:v>2.4000000000000017</c:v>
                </c:pt>
                <c:pt idx="205">
                  <c:v>2.5000000000000018</c:v>
                </c:pt>
                <c:pt idx="206">
                  <c:v>2.6000000000000019</c:v>
                </c:pt>
                <c:pt idx="207">
                  <c:v>2.700000000000002</c:v>
                </c:pt>
                <c:pt idx="208">
                  <c:v>2.800000000000002</c:v>
                </c:pt>
                <c:pt idx="209">
                  <c:v>2.9000000000000021</c:v>
                </c:pt>
                <c:pt idx="210">
                  <c:v>3.0000000000000022</c:v>
                </c:pt>
                <c:pt idx="211">
                  <c:v>3.1000000000000023</c:v>
                </c:pt>
                <c:pt idx="212">
                  <c:v>3.2000000000000024</c:v>
                </c:pt>
                <c:pt idx="213">
                  <c:v>3.3000000000000025</c:v>
                </c:pt>
                <c:pt idx="214">
                  <c:v>3.4000000000000026</c:v>
                </c:pt>
                <c:pt idx="215">
                  <c:v>3.5000000000000027</c:v>
                </c:pt>
                <c:pt idx="216">
                  <c:v>3.6000000000000028</c:v>
                </c:pt>
                <c:pt idx="217">
                  <c:v>3.7000000000000028</c:v>
                </c:pt>
                <c:pt idx="218">
                  <c:v>3.8000000000000029</c:v>
                </c:pt>
                <c:pt idx="219">
                  <c:v>3.900000000000003</c:v>
                </c:pt>
                <c:pt idx="220">
                  <c:v>4.0000000000000027</c:v>
                </c:pt>
                <c:pt idx="221">
                  <c:v>4.1000000000000023</c:v>
                </c:pt>
                <c:pt idx="222">
                  <c:v>4.200000000000002</c:v>
                </c:pt>
                <c:pt idx="223">
                  <c:v>4.3000000000000016</c:v>
                </c:pt>
                <c:pt idx="224">
                  <c:v>4.4000000000000012</c:v>
                </c:pt>
                <c:pt idx="225">
                  <c:v>4.5000000000000009</c:v>
                </c:pt>
                <c:pt idx="226">
                  <c:v>4.6000000000000005</c:v>
                </c:pt>
                <c:pt idx="227">
                  <c:v>4.7</c:v>
                </c:pt>
                <c:pt idx="228">
                  <c:v>4.8</c:v>
                </c:pt>
                <c:pt idx="229">
                  <c:v>4.8999999999999995</c:v>
                </c:pt>
                <c:pt idx="230">
                  <c:v>4.9999999999999991</c:v>
                </c:pt>
                <c:pt idx="231">
                  <c:v>5.0999999999999988</c:v>
                </c:pt>
                <c:pt idx="232">
                  <c:v>5.1999999999999984</c:v>
                </c:pt>
                <c:pt idx="233">
                  <c:v>5.299999999999998</c:v>
                </c:pt>
                <c:pt idx="234">
                  <c:v>5.3999999999999977</c:v>
                </c:pt>
                <c:pt idx="235">
                  <c:v>5.4999999999999973</c:v>
                </c:pt>
                <c:pt idx="236">
                  <c:v>5.599999999999997</c:v>
                </c:pt>
                <c:pt idx="237">
                  <c:v>5.6999999999999966</c:v>
                </c:pt>
                <c:pt idx="238">
                  <c:v>5.7999999999999963</c:v>
                </c:pt>
                <c:pt idx="239">
                  <c:v>5.8999999999999959</c:v>
                </c:pt>
                <c:pt idx="240">
                  <c:v>5.9999999999999956</c:v>
                </c:pt>
                <c:pt idx="241">
                  <c:v>6.0999999999999952</c:v>
                </c:pt>
                <c:pt idx="242">
                  <c:v>6.1999999999999948</c:v>
                </c:pt>
                <c:pt idx="243">
                  <c:v>6.2999999999999945</c:v>
                </c:pt>
                <c:pt idx="244">
                  <c:v>6.3999999999999941</c:v>
                </c:pt>
                <c:pt idx="245">
                  <c:v>6.4999999999999938</c:v>
                </c:pt>
                <c:pt idx="246">
                  <c:v>6.5999999999999934</c:v>
                </c:pt>
                <c:pt idx="247">
                  <c:v>6.6999999999999931</c:v>
                </c:pt>
                <c:pt idx="248">
                  <c:v>6.7999999999999927</c:v>
                </c:pt>
                <c:pt idx="249">
                  <c:v>6.8999999999999924</c:v>
                </c:pt>
                <c:pt idx="250">
                  <c:v>6.999999999999992</c:v>
                </c:pt>
                <c:pt idx="251">
                  <c:v>7.0999999999999917</c:v>
                </c:pt>
                <c:pt idx="252">
                  <c:v>7.1999999999999913</c:v>
                </c:pt>
                <c:pt idx="253">
                  <c:v>7.2999999999999909</c:v>
                </c:pt>
                <c:pt idx="254">
                  <c:v>7.3999999999999906</c:v>
                </c:pt>
                <c:pt idx="255">
                  <c:v>7.4999999999999902</c:v>
                </c:pt>
                <c:pt idx="256">
                  <c:v>7.5999999999999899</c:v>
                </c:pt>
                <c:pt idx="257">
                  <c:v>7.6999999999999895</c:v>
                </c:pt>
                <c:pt idx="258">
                  <c:v>7.7999999999999892</c:v>
                </c:pt>
                <c:pt idx="259">
                  <c:v>7.8999999999999888</c:v>
                </c:pt>
                <c:pt idx="260">
                  <c:v>7.9999999999999885</c:v>
                </c:pt>
                <c:pt idx="261">
                  <c:v>8.099999999999989</c:v>
                </c:pt>
                <c:pt idx="262">
                  <c:v>8.1999999999999886</c:v>
                </c:pt>
                <c:pt idx="263">
                  <c:v>8.2999999999999883</c:v>
                </c:pt>
                <c:pt idx="264">
                  <c:v>8.3999999999999879</c:v>
                </c:pt>
                <c:pt idx="265">
                  <c:v>8.4999999999999876</c:v>
                </c:pt>
                <c:pt idx="266">
                  <c:v>8.5999999999999872</c:v>
                </c:pt>
                <c:pt idx="267">
                  <c:v>8.6999999999999869</c:v>
                </c:pt>
                <c:pt idx="268">
                  <c:v>8.7999999999999865</c:v>
                </c:pt>
                <c:pt idx="269">
                  <c:v>8.8999999999999861</c:v>
                </c:pt>
                <c:pt idx="270">
                  <c:v>8.9999999999999858</c:v>
                </c:pt>
                <c:pt idx="271">
                  <c:v>9.0999999999999854</c:v>
                </c:pt>
                <c:pt idx="272">
                  <c:v>9.1999999999999851</c:v>
                </c:pt>
                <c:pt idx="273">
                  <c:v>9.2999999999999847</c:v>
                </c:pt>
                <c:pt idx="274">
                  <c:v>9.3999999999999844</c:v>
                </c:pt>
                <c:pt idx="275">
                  <c:v>9.499999999999984</c:v>
                </c:pt>
                <c:pt idx="276">
                  <c:v>9.5999999999999837</c:v>
                </c:pt>
                <c:pt idx="277">
                  <c:v>9.6999999999999833</c:v>
                </c:pt>
                <c:pt idx="278">
                  <c:v>9.7999999999999829</c:v>
                </c:pt>
                <c:pt idx="279">
                  <c:v>9.8999999999999826</c:v>
                </c:pt>
                <c:pt idx="280">
                  <c:v>9.9999999999999822</c:v>
                </c:pt>
                <c:pt idx="281">
                  <c:v>10.099999999999982</c:v>
                </c:pt>
                <c:pt idx="282">
                  <c:v>10.199999999999982</c:v>
                </c:pt>
                <c:pt idx="283">
                  <c:v>10.299999999999981</c:v>
                </c:pt>
                <c:pt idx="284">
                  <c:v>10.399999999999981</c:v>
                </c:pt>
                <c:pt idx="285">
                  <c:v>10.49999999999998</c:v>
                </c:pt>
                <c:pt idx="286">
                  <c:v>10.59999999999998</c:v>
                </c:pt>
                <c:pt idx="287">
                  <c:v>10.69999999999998</c:v>
                </c:pt>
                <c:pt idx="288">
                  <c:v>10.799999999999979</c:v>
                </c:pt>
                <c:pt idx="289">
                  <c:v>10.899999999999979</c:v>
                </c:pt>
                <c:pt idx="290">
                  <c:v>10.999999999999979</c:v>
                </c:pt>
                <c:pt idx="291">
                  <c:v>11.099999999999978</c:v>
                </c:pt>
                <c:pt idx="292">
                  <c:v>11.199999999999978</c:v>
                </c:pt>
                <c:pt idx="293">
                  <c:v>11.299999999999978</c:v>
                </c:pt>
                <c:pt idx="294">
                  <c:v>11.399999999999977</c:v>
                </c:pt>
                <c:pt idx="295">
                  <c:v>11.499999999999977</c:v>
                </c:pt>
                <c:pt idx="296">
                  <c:v>11.599999999999977</c:v>
                </c:pt>
                <c:pt idx="297">
                  <c:v>11.699999999999976</c:v>
                </c:pt>
                <c:pt idx="298">
                  <c:v>11.799999999999976</c:v>
                </c:pt>
                <c:pt idx="299">
                  <c:v>11.899999999999975</c:v>
                </c:pt>
                <c:pt idx="300">
                  <c:v>11.999999999999975</c:v>
                </c:pt>
                <c:pt idx="301">
                  <c:v>12.000099999999975</c:v>
                </c:pt>
                <c:pt idx="302">
                  <c:v>12.000199999999975</c:v>
                </c:pt>
                <c:pt idx="303">
                  <c:v>12.000299999999974</c:v>
                </c:pt>
                <c:pt idx="304">
                  <c:v>12.000399999999974</c:v>
                </c:pt>
                <c:pt idx="305">
                  <c:v>12.000499999999974</c:v>
                </c:pt>
                <c:pt idx="306">
                  <c:v>12.000599999999974</c:v>
                </c:pt>
                <c:pt idx="307">
                  <c:v>12.000699999999973</c:v>
                </c:pt>
                <c:pt idx="308">
                  <c:v>12.000799999999973</c:v>
                </c:pt>
                <c:pt idx="309">
                  <c:v>12.000899999999973</c:v>
                </c:pt>
                <c:pt idx="310">
                  <c:v>12.000999999999973</c:v>
                </c:pt>
                <c:pt idx="311">
                  <c:v>12.001099999999973</c:v>
                </c:pt>
                <c:pt idx="312">
                  <c:v>12.001199999999972</c:v>
                </c:pt>
                <c:pt idx="313">
                  <c:v>12.001299999999972</c:v>
                </c:pt>
                <c:pt idx="314">
                  <c:v>12.001399999999972</c:v>
                </c:pt>
                <c:pt idx="315">
                  <c:v>12.001499999999972</c:v>
                </c:pt>
                <c:pt idx="316">
                  <c:v>12.001599999999971</c:v>
                </c:pt>
                <c:pt idx="317">
                  <c:v>12.001699999999971</c:v>
                </c:pt>
                <c:pt idx="318">
                  <c:v>12.001799999999971</c:v>
                </c:pt>
                <c:pt idx="319">
                  <c:v>12.001899999999971</c:v>
                </c:pt>
                <c:pt idx="320">
                  <c:v>12.00199999999997</c:v>
                </c:pt>
                <c:pt idx="321">
                  <c:v>12.00209999999997</c:v>
                </c:pt>
                <c:pt idx="322">
                  <c:v>12.00219999999997</c:v>
                </c:pt>
                <c:pt idx="323">
                  <c:v>12.00229999999997</c:v>
                </c:pt>
                <c:pt idx="324">
                  <c:v>12.00239999999997</c:v>
                </c:pt>
                <c:pt idx="325">
                  <c:v>12.002499999999969</c:v>
                </c:pt>
                <c:pt idx="326">
                  <c:v>12.002599999999969</c:v>
                </c:pt>
                <c:pt idx="327">
                  <c:v>12.002699999999969</c:v>
                </c:pt>
                <c:pt idx="328">
                  <c:v>12.002799999999969</c:v>
                </c:pt>
                <c:pt idx="329">
                  <c:v>12.002899999999968</c:v>
                </c:pt>
                <c:pt idx="330">
                  <c:v>12.002999999999968</c:v>
                </c:pt>
                <c:pt idx="331">
                  <c:v>12.003099999999968</c:v>
                </c:pt>
                <c:pt idx="332">
                  <c:v>12.003199999999968</c:v>
                </c:pt>
                <c:pt idx="333">
                  <c:v>12.003299999999967</c:v>
                </c:pt>
                <c:pt idx="334">
                  <c:v>12.003399999999967</c:v>
                </c:pt>
                <c:pt idx="335">
                  <c:v>12.003499999999967</c:v>
                </c:pt>
                <c:pt idx="336">
                  <c:v>12.003599999999967</c:v>
                </c:pt>
                <c:pt idx="337">
                  <c:v>12.003699999999967</c:v>
                </c:pt>
                <c:pt idx="338">
                  <c:v>12.003799999999966</c:v>
                </c:pt>
                <c:pt idx="339">
                  <c:v>12.003899999999966</c:v>
                </c:pt>
                <c:pt idx="340">
                  <c:v>12.003999999999966</c:v>
                </c:pt>
                <c:pt idx="341">
                  <c:v>12.004099999999966</c:v>
                </c:pt>
                <c:pt idx="342">
                  <c:v>12.004199999999965</c:v>
                </c:pt>
                <c:pt idx="343">
                  <c:v>12.004299999999965</c:v>
                </c:pt>
                <c:pt idx="344">
                  <c:v>12.004399999999965</c:v>
                </c:pt>
                <c:pt idx="345">
                  <c:v>12.004499999999965</c:v>
                </c:pt>
                <c:pt idx="346">
                  <c:v>12.004599999999964</c:v>
                </c:pt>
                <c:pt idx="347">
                  <c:v>12.004699999999964</c:v>
                </c:pt>
                <c:pt idx="348">
                  <c:v>12.004799999999964</c:v>
                </c:pt>
                <c:pt idx="349">
                  <c:v>12.004899999999964</c:v>
                </c:pt>
                <c:pt idx="350">
                  <c:v>12.004999999999963</c:v>
                </c:pt>
                <c:pt idx="351">
                  <c:v>12.005099999999963</c:v>
                </c:pt>
                <c:pt idx="352">
                  <c:v>12.005199999999963</c:v>
                </c:pt>
                <c:pt idx="353">
                  <c:v>12.005299999999963</c:v>
                </c:pt>
                <c:pt idx="354">
                  <c:v>12.005399999999963</c:v>
                </c:pt>
                <c:pt idx="355">
                  <c:v>12.005499999999962</c:v>
                </c:pt>
                <c:pt idx="356">
                  <c:v>12.005599999999962</c:v>
                </c:pt>
                <c:pt idx="357">
                  <c:v>12.005699999999962</c:v>
                </c:pt>
                <c:pt idx="358">
                  <c:v>12.005799999999962</c:v>
                </c:pt>
                <c:pt idx="359">
                  <c:v>12.005899999999961</c:v>
                </c:pt>
                <c:pt idx="360">
                  <c:v>12.005999999999961</c:v>
                </c:pt>
                <c:pt idx="361">
                  <c:v>12.006099999999961</c:v>
                </c:pt>
                <c:pt idx="362">
                  <c:v>12.006199999999961</c:v>
                </c:pt>
                <c:pt idx="363">
                  <c:v>12.00629999999996</c:v>
                </c:pt>
                <c:pt idx="364">
                  <c:v>12.00639999999996</c:v>
                </c:pt>
                <c:pt idx="365">
                  <c:v>12.00649999999996</c:v>
                </c:pt>
                <c:pt idx="366">
                  <c:v>12.00659999999996</c:v>
                </c:pt>
                <c:pt idx="367">
                  <c:v>12.00669999999996</c:v>
                </c:pt>
                <c:pt idx="368">
                  <c:v>12.006799999999959</c:v>
                </c:pt>
                <c:pt idx="369">
                  <c:v>12.006899999999959</c:v>
                </c:pt>
                <c:pt idx="370">
                  <c:v>12.006999999999959</c:v>
                </c:pt>
                <c:pt idx="371">
                  <c:v>12.007099999999959</c:v>
                </c:pt>
                <c:pt idx="372">
                  <c:v>12.007199999999958</c:v>
                </c:pt>
                <c:pt idx="373">
                  <c:v>12.007299999999958</c:v>
                </c:pt>
                <c:pt idx="374">
                  <c:v>12.007399999999958</c:v>
                </c:pt>
                <c:pt idx="375">
                  <c:v>12.007499999999958</c:v>
                </c:pt>
                <c:pt idx="376">
                  <c:v>12.007599999999957</c:v>
                </c:pt>
                <c:pt idx="377">
                  <c:v>12.007699999999957</c:v>
                </c:pt>
                <c:pt idx="378">
                  <c:v>12.007799999999957</c:v>
                </c:pt>
                <c:pt idx="379">
                  <c:v>12.007899999999957</c:v>
                </c:pt>
                <c:pt idx="380">
                  <c:v>12.007999999999956</c:v>
                </c:pt>
                <c:pt idx="381">
                  <c:v>12.008099999999956</c:v>
                </c:pt>
                <c:pt idx="382">
                  <c:v>12.008199999999956</c:v>
                </c:pt>
                <c:pt idx="383">
                  <c:v>12.008299999999956</c:v>
                </c:pt>
                <c:pt idx="384">
                  <c:v>12.008399999999956</c:v>
                </c:pt>
                <c:pt idx="385">
                  <c:v>12.008499999999955</c:v>
                </c:pt>
                <c:pt idx="386">
                  <c:v>12.008599999999955</c:v>
                </c:pt>
                <c:pt idx="387">
                  <c:v>12.008699999999955</c:v>
                </c:pt>
                <c:pt idx="388">
                  <c:v>12.008799999999955</c:v>
                </c:pt>
                <c:pt idx="389">
                  <c:v>12.008899999999954</c:v>
                </c:pt>
                <c:pt idx="390">
                  <c:v>12.008999999999954</c:v>
                </c:pt>
                <c:pt idx="391">
                  <c:v>12.009099999999954</c:v>
                </c:pt>
                <c:pt idx="392">
                  <c:v>12.009199999999954</c:v>
                </c:pt>
                <c:pt idx="393">
                  <c:v>12.009299999999953</c:v>
                </c:pt>
                <c:pt idx="394">
                  <c:v>12.009399999999953</c:v>
                </c:pt>
                <c:pt idx="395">
                  <c:v>12.009499999999953</c:v>
                </c:pt>
                <c:pt idx="396">
                  <c:v>12.009599999999953</c:v>
                </c:pt>
                <c:pt idx="397">
                  <c:v>12.009699999999953</c:v>
                </c:pt>
                <c:pt idx="398">
                  <c:v>12.009799999999952</c:v>
                </c:pt>
                <c:pt idx="399">
                  <c:v>12.009899999999952</c:v>
                </c:pt>
                <c:pt idx="400">
                  <c:v>12.009999999999952</c:v>
                </c:pt>
                <c:pt idx="401">
                  <c:v>12.010099999999952</c:v>
                </c:pt>
                <c:pt idx="402">
                  <c:v>12.010199999999951</c:v>
                </c:pt>
                <c:pt idx="403">
                  <c:v>12.010299999999951</c:v>
                </c:pt>
                <c:pt idx="404">
                  <c:v>12.010399999999951</c:v>
                </c:pt>
                <c:pt idx="405">
                  <c:v>12.010499999999951</c:v>
                </c:pt>
                <c:pt idx="406">
                  <c:v>12.01059999999995</c:v>
                </c:pt>
                <c:pt idx="407">
                  <c:v>12.01069999999995</c:v>
                </c:pt>
                <c:pt idx="408">
                  <c:v>12.01079999999995</c:v>
                </c:pt>
                <c:pt idx="409">
                  <c:v>12.01089999999995</c:v>
                </c:pt>
                <c:pt idx="410">
                  <c:v>12.010999999999949</c:v>
                </c:pt>
                <c:pt idx="411">
                  <c:v>12.011099999999949</c:v>
                </c:pt>
                <c:pt idx="412">
                  <c:v>12.011199999999949</c:v>
                </c:pt>
                <c:pt idx="413">
                  <c:v>12.011299999999949</c:v>
                </c:pt>
                <c:pt idx="414">
                  <c:v>12.011399999999949</c:v>
                </c:pt>
                <c:pt idx="415">
                  <c:v>12.011499999999948</c:v>
                </c:pt>
                <c:pt idx="416">
                  <c:v>12.011599999999948</c:v>
                </c:pt>
                <c:pt idx="417">
                  <c:v>12.011699999999948</c:v>
                </c:pt>
                <c:pt idx="418">
                  <c:v>12.011799999999948</c:v>
                </c:pt>
                <c:pt idx="419">
                  <c:v>12.011899999999947</c:v>
                </c:pt>
                <c:pt idx="420">
                  <c:v>12.011999999999947</c:v>
                </c:pt>
                <c:pt idx="421">
                  <c:v>12.012099999999947</c:v>
                </c:pt>
                <c:pt idx="422">
                  <c:v>12.012199999999947</c:v>
                </c:pt>
                <c:pt idx="423">
                  <c:v>12.012299999999946</c:v>
                </c:pt>
                <c:pt idx="424">
                  <c:v>12.012399999999946</c:v>
                </c:pt>
                <c:pt idx="425">
                  <c:v>12.012499999999946</c:v>
                </c:pt>
                <c:pt idx="426">
                  <c:v>12.012599999999946</c:v>
                </c:pt>
                <c:pt idx="427">
                  <c:v>12.012699999999946</c:v>
                </c:pt>
                <c:pt idx="428">
                  <c:v>12.012799999999945</c:v>
                </c:pt>
                <c:pt idx="429">
                  <c:v>12.012899999999945</c:v>
                </c:pt>
                <c:pt idx="430">
                  <c:v>12.012999999999945</c:v>
                </c:pt>
                <c:pt idx="431">
                  <c:v>12.013099999999945</c:v>
                </c:pt>
                <c:pt idx="432">
                  <c:v>12.013199999999944</c:v>
                </c:pt>
                <c:pt idx="433">
                  <c:v>12.013299999999944</c:v>
                </c:pt>
                <c:pt idx="434">
                  <c:v>12.013399999999944</c:v>
                </c:pt>
                <c:pt idx="435">
                  <c:v>12.013499999999944</c:v>
                </c:pt>
                <c:pt idx="436">
                  <c:v>12.013599999999943</c:v>
                </c:pt>
                <c:pt idx="437">
                  <c:v>12.013699999999943</c:v>
                </c:pt>
                <c:pt idx="438">
                  <c:v>12.013799999999943</c:v>
                </c:pt>
                <c:pt idx="439">
                  <c:v>12.013899999999943</c:v>
                </c:pt>
                <c:pt idx="440">
                  <c:v>12.013999999999943</c:v>
                </c:pt>
                <c:pt idx="441">
                  <c:v>12.014099999999942</c:v>
                </c:pt>
                <c:pt idx="442">
                  <c:v>12.014199999999942</c:v>
                </c:pt>
                <c:pt idx="443">
                  <c:v>12.014299999999942</c:v>
                </c:pt>
                <c:pt idx="444">
                  <c:v>12.014399999999942</c:v>
                </c:pt>
                <c:pt idx="445">
                  <c:v>12.014499999999941</c:v>
                </c:pt>
                <c:pt idx="446">
                  <c:v>12.014599999999941</c:v>
                </c:pt>
                <c:pt idx="447">
                  <c:v>12.014699999999941</c:v>
                </c:pt>
                <c:pt idx="448">
                  <c:v>12.014799999999941</c:v>
                </c:pt>
                <c:pt idx="449">
                  <c:v>12.01489999999994</c:v>
                </c:pt>
                <c:pt idx="450">
                  <c:v>12.01499999999994</c:v>
                </c:pt>
                <c:pt idx="451">
                  <c:v>12.01509999999994</c:v>
                </c:pt>
                <c:pt idx="452">
                  <c:v>12.01519999999994</c:v>
                </c:pt>
                <c:pt idx="453">
                  <c:v>12.015299999999939</c:v>
                </c:pt>
                <c:pt idx="454">
                  <c:v>12.015399999999939</c:v>
                </c:pt>
                <c:pt idx="455">
                  <c:v>12.015499999999939</c:v>
                </c:pt>
                <c:pt idx="456">
                  <c:v>12.015599999999939</c:v>
                </c:pt>
                <c:pt idx="457">
                  <c:v>12.015699999999939</c:v>
                </c:pt>
                <c:pt idx="458">
                  <c:v>12.015799999999938</c:v>
                </c:pt>
                <c:pt idx="459">
                  <c:v>12.015899999999938</c:v>
                </c:pt>
                <c:pt idx="460">
                  <c:v>12.015999999999938</c:v>
                </c:pt>
                <c:pt idx="461">
                  <c:v>12.016099999999938</c:v>
                </c:pt>
                <c:pt idx="462">
                  <c:v>12.016199999999937</c:v>
                </c:pt>
                <c:pt idx="463">
                  <c:v>12.016299999999937</c:v>
                </c:pt>
                <c:pt idx="464">
                  <c:v>12.016399999999937</c:v>
                </c:pt>
                <c:pt idx="465">
                  <c:v>12.016499999999937</c:v>
                </c:pt>
                <c:pt idx="466">
                  <c:v>12.016599999999936</c:v>
                </c:pt>
                <c:pt idx="467">
                  <c:v>12.016699999999936</c:v>
                </c:pt>
                <c:pt idx="468">
                  <c:v>12.016799999999936</c:v>
                </c:pt>
                <c:pt idx="469">
                  <c:v>12.016899999999936</c:v>
                </c:pt>
                <c:pt idx="470">
                  <c:v>12.016999999999936</c:v>
                </c:pt>
                <c:pt idx="471">
                  <c:v>12.017099999999935</c:v>
                </c:pt>
                <c:pt idx="472">
                  <c:v>12.017199999999935</c:v>
                </c:pt>
                <c:pt idx="473">
                  <c:v>12.017299999999935</c:v>
                </c:pt>
                <c:pt idx="474">
                  <c:v>12.017399999999935</c:v>
                </c:pt>
                <c:pt idx="475">
                  <c:v>12.017499999999934</c:v>
                </c:pt>
                <c:pt idx="476">
                  <c:v>12.017599999999934</c:v>
                </c:pt>
                <c:pt idx="477">
                  <c:v>12.017699999999934</c:v>
                </c:pt>
                <c:pt idx="478">
                  <c:v>12.017799999999934</c:v>
                </c:pt>
                <c:pt idx="479">
                  <c:v>12.017899999999933</c:v>
                </c:pt>
                <c:pt idx="480">
                  <c:v>12.017999999999933</c:v>
                </c:pt>
                <c:pt idx="481">
                  <c:v>12.018099999999933</c:v>
                </c:pt>
                <c:pt idx="482">
                  <c:v>12.018199999999933</c:v>
                </c:pt>
                <c:pt idx="483">
                  <c:v>12.018299999999932</c:v>
                </c:pt>
                <c:pt idx="484">
                  <c:v>12.018399999999932</c:v>
                </c:pt>
                <c:pt idx="485">
                  <c:v>12.018499999999932</c:v>
                </c:pt>
                <c:pt idx="486">
                  <c:v>12.018599999999932</c:v>
                </c:pt>
                <c:pt idx="487">
                  <c:v>12.018699999999932</c:v>
                </c:pt>
                <c:pt idx="488">
                  <c:v>12.018799999999931</c:v>
                </c:pt>
                <c:pt idx="489">
                  <c:v>12.018899999999931</c:v>
                </c:pt>
                <c:pt idx="490">
                  <c:v>12.018999999999931</c:v>
                </c:pt>
                <c:pt idx="491">
                  <c:v>12.019099999999931</c:v>
                </c:pt>
                <c:pt idx="492">
                  <c:v>12.01919999999993</c:v>
                </c:pt>
                <c:pt idx="493">
                  <c:v>12.01929999999993</c:v>
                </c:pt>
                <c:pt idx="494">
                  <c:v>12.01939999999993</c:v>
                </c:pt>
                <c:pt idx="495">
                  <c:v>12.01949999999993</c:v>
                </c:pt>
                <c:pt idx="496">
                  <c:v>12.019599999999929</c:v>
                </c:pt>
                <c:pt idx="497">
                  <c:v>12.019699999999929</c:v>
                </c:pt>
                <c:pt idx="498">
                  <c:v>12.019799999999929</c:v>
                </c:pt>
                <c:pt idx="499">
                  <c:v>12.019899999999929</c:v>
                </c:pt>
                <c:pt idx="500">
                  <c:v>12.019999999999929</c:v>
                </c:pt>
                <c:pt idx="501">
                  <c:v>12.020099999999928</c:v>
                </c:pt>
                <c:pt idx="502">
                  <c:v>12.020199999999928</c:v>
                </c:pt>
                <c:pt idx="503">
                  <c:v>12.020299999999928</c:v>
                </c:pt>
                <c:pt idx="504">
                  <c:v>12.020399999999928</c:v>
                </c:pt>
                <c:pt idx="505">
                  <c:v>12.020499999999927</c:v>
                </c:pt>
                <c:pt idx="506">
                  <c:v>12.020599999999927</c:v>
                </c:pt>
                <c:pt idx="507">
                  <c:v>12.020699999999927</c:v>
                </c:pt>
                <c:pt idx="508">
                  <c:v>12.020799999999927</c:v>
                </c:pt>
                <c:pt idx="509">
                  <c:v>12.020899999999926</c:v>
                </c:pt>
                <c:pt idx="510">
                  <c:v>12.020999999999926</c:v>
                </c:pt>
                <c:pt idx="511">
                  <c:v>12.021099999999926</c:v>
                </c:pt>
                <c:pt idx="512">
                  <c:v>12.021199999999926</c:v>
                </c:pt>
                <c:pt idx="513">
                  <c:v>12.021299999999925</c:v>
                </c:pt>
                <c:pt idx="514">
                  <c:v>12.021399999999925</c:v>
                </c:pt>
                <c:pt idx="515">
                  <c:v>12.021499999999925</c:v>
                </c:pt>
                <c:pt idx="516">
                  <c:v>12.021599999999925</c:v>
                </c:pt>
                <c:pt idx="517">
                  <c:v>12.021699999999925</c:v>
                </c:pt>
                <c:pt idx="518">
                  <c:v>12.021799999999924</c:v>
                </c:pt>
                <c:pt idx="519">
                  <c:v>12.021899999999924</c:v>
                </c:pt>
                <c:pt idx="520">
                  <c:v>12.021999999999924</c:v>
                </c:pt>
                <c:pt idx="521">
                  <c:v>12.022099999999924</c:v>
                </c:pt>
                <c:pt idx="522">
                  <c:v>12.022199999999923</c:v>
                </c:pt>
                <c:pt idx="523">
                  <c:v>12.022299999999923</c:v>
                </c:pt>
                <c:pt idx="524">
                  <c:v>12.022399999999923</c:v>
                </c:pt>
                <c:pt idx="525">
                  <c:v>12.022499999999923</c:v>
                </c:pt>
                <c:pt idx="526">
                  <c:v>12.022599999999922</c:v>
                </c:pt>
                <c:pt idx="527">
                  <c:v>12.022699999999922</c:v>
                </c:pt>
                <c:pt idx="528">
                  <c:v>12.022799999999922</c:v>
                </c:pt>
                <c:pt idx="529">
                  <c:v>12.022899999999922</c:v>
                </c:pt>
                <c:pt idx="530">
                  <c:v>12.022999999999922</c:v>
                </c:pt>
                <c:pt idx="531">
                  <c:v>12.023099999999921</c:v>
                </c:pt>
                <c:pt idx="532">
                  <c:v>12.023199999999921</c:v>
                </c:pt>
                <c:pt idx="533">
                  <c:v>12.023299999999921</c:v>
                </c:pt>
                <c:pt idx="534">
                  <c:v>12.023399999999921</c:v>
                </c:pt>
                <c:pt idx="535">
                  <c:v>12.02349999999992</c:v>
                </c:pt>
                <c:pt idx="536">
                  <c:v>12.02359999999992</c:v>
                </c:pt>
                <c:pt idx="537">
                  <c:v>12.02369999999992</c:v>
                </c:pt>
                <c:pt idx="538">
                  <c:v>12.02379999999992</c:v>
                </c:pt>
                <c:pt idx="539">
                  <c:v>12.023899999999919</c:v>
                </c:pt>
                <c:pt idx="540">
                  <c:v>12.023999999999919</c:v>
                </c:pt>
                <c:pt idx="541">
                  <c:v>12.024099999999919</c:v>
                </c:pt>
                <c:pt idx="542">
                  <c:v>12.024199999999919</c:v>
                </c:pt>
                <c:pt idx="543">
                  <c:v>12.024299999999918</c:v>
                </c:pt>
                <c:pt idx="544">
                  <c:v>12.024399999999918</c:v>
                </c:pt>
                <c:pt idx="545">
                  <c:v>12.024499999999918</c:v>
                </c:pt>
                <c:pt idx="546">
                  <c:v>12.024599999999918</c:v>
                </c:pt>
                <c:pt idx="547">
                  <c:v>12.024699999999918</c:v>
                </c:pt>
                <c:pt idx="548">
                  <c:v>12.024799999999917</c:v>
                </c:pt>
                <c:pt idx="549">
                  <c:v>12.024899999999917</c:v>
                </c:pt>
                <c:pt idx="550">
                  <c:v>12.024999999999917</c:v>
                </c:pt>
                <c:pt idx="551">
                  <c:v>12.025099999999917</c:v>
                </c:pt>
                <c:pt idx="552">
                  <c:v>12.025199999999916</c:v>
                </c:pt>
                <c:pt idx="553">
                  <c:v>12.025299999999916</c:v>
                </c:pt>
                <c:pt idx="554">
                  <c:v>12.025399999999916</c:v>
                </c:pt>
                <c:pt idx="555">
                  <c:v>12.025499999999916</c:v>
                </c:pt>
                <c:pt idx="556">
                  <c:v>12.025599999999915</c:v>
                </c:pt>
                <c:pt idx="557">
                  <c:v>12.025699999999915</c:v>
                </c:pt>
                <c:pt idx="558">
                  <c:v>12.025799999999915</c:v>
                </c:pt>
                <c:pt idx="559">
                  <c:v>12.025899999999915</c:v>
                </c:pt>
                <c:pt idx="560">
                  <c:v>12.025999999999915</c:v>
                </c:pt>
                <c:pt idx="561">
                  <c:v>12.026099999999914</c:v>
                </c:pt>
                <c:pt idx="562">
                  <c:v>12.026199999999914</c:v>
                </c:pt>
                <c:pt idx="563">
                  <c:v>12.026299999999914</c:v>
                </c:pt>
                <c:pt idx="564">
                  <c:v>12.026399999999914</c:v>
                </c:pt>
                <c:pt idx="565">
                  <c:v>12.026499999999913</c:v>
                </c:pt>
                <c:pt idx="566">
                  <c:v>12.026599999999913</c:v>
                </c:pt>
                <c:pt idx="567">
                  <c:v>12.026699999999913</c:v>
                </c:pt>
                <c:pt idx="568">
                  <c:v>12.026799999999913</c:v>
                </c:pt>
                <c:pt idx="569">
                  <c:v>12.026899999999912</c:v>
                </c:pt>
                <c:pt idx="570">
                  <c:v>12.026999999999912</c:v>
                </c:pt>
                <c:pt idx="571">
                  <c:v>12.027099999999912</c:v>
                </c:pt>
                <c:pt idx="572">
                  <c:v>12.027199999999912</c:v>
                </c:pt>
                <c:pt idx="573">
                  <c:v>12.027299999999912</c:v>
                </c:pt>
                <c:pt idx="574">
                  <c:v>12.027399999999911</c:v>
                </c:pt>
                <c:pt idx="575">
                  <c:v>12.027499999999911</c:v>
                </c:pt>
                <c:pt idx="576">
                  <c:v>12.027599999999911</c:v>
                </c:pt>
                <c:pt idx="577">
                  <c:v>12.027699999999911</c:v>
                </c:pt>
                <c:pt idx="578">
                  <c:v>12.02779999999991</c:v>
                </c:pt>
                <c:pt idx="579">
                  <c:v>12.02789999999991</c:v>
                </c:pt>
                <c:pt idx="580">
                  <c:v>12.02799999999991</c:v>
                </c:pt>
                <c:pt idx="581">
                  <c:v>12.02809999999991</c:v>
                </c:pt>
                <c:pt idx="582">
                  <c:v>12.028199999999909</c:v>
                </c:pt>
                <c:pt idx="583">
                  <c:v>12.028299999999909</c:v>
                </c:pt>
                <c:pt idx="584">
                  <c:v>12.028399999999909</c:v>
                </c:pt>
                <c:pt idx="585">
                  <c:v>12.028499999999909</c:v>
                </c:pt>
                <c:pt idx="586">
                  <c:v>12.028599999999908</c:v>
                </c:pt>
                <c:pt idx="587">
                  <c:v>12.028699999999908</c:v>
                </c:pt>
                <c:pt idx="588">
                  <c:v>12.028799999999908</c:v>
                </c:pt>
                <c:pt idx="589">
                  <c:v>12.028899999999908</c:v>
                </c:pt>
                <c:pt idx="590">
                  <c:v>12.028999999999908</c:v>
                </c:pt>
                <c:pt idx="591">
                  <c:v>12.029099999999907</c:v>
                </c:pt>
                <c:pt idx="592">
                  <c:v>12.029199999999907</c:v>
                </c:pt>
                <c:pt idx="593">
                  <c:v>12.029299999999907</c:v>
                </c:pt>
                <c:pt idx="594">
                  <c:v>12.029399999999907</c:v>
                </c:pt>
                <c:pt idx="595">
                  <c:v>12.029499999999906</c:v>
                </c:pt>
                <c:pt idx="596">
                  <c:v>12.029599999999906</c:v>
                </c:pt>
                <c:pt idx="597">
                  <c:v>12.029699999999906</c:v>
                </c:pt>
                <c:pt idx="598">
                  <c:v>12.029799999999906</c:v>
                </c:pt>
                <c:pt idx="599">
                  <c:v>12.029899999999905</c:v>
                </c:pt>
                <c:pt idx="600">
                  <c:v>12.029999999999905</c:v>
                </c:pt>
                <c:pt idx="601">
                  <c:v>12.030099999999905</c:v>
                </c:pt>
                <c:pt idx="602">
                  <c:v>12.030199999999905</c:v>
                </c:pt>
                <c:pt idx="603">
                  <c:v>12.030299999999905</c:v>
                </c:pt>
                <c:pt idx="604">
                  <c:v>12.030399999999904</c:v>
                </c:pt>
                <c:pt idx="605">
                  <c:v>12.030499999999904</c:v>
                </c:pt>
                <c:pt idx="606">
                  <c:v>12.030599999999904</c:v>
                </c:pt>
                <c:pt idx="607">
                  <c:v>12.030699999999904</c:v>
                </c:pt>
                <c:pt idx="608">
                  <c:v>12.030799999999903</c:v>
                </c:pt>
                <c:pt idx="609">
                  <c:v>12.030899999999903</c:v>
                </c:pt>
                <c:pt idx="610">
                  <c:v>12.030999999999903</c:v>
                </c:pt>
                <c:pt idx="611">
                  <c:v>12.031099999999903</c:v>
                </c:pt>
                <c:pt idx="612">
                  <c:v>12.031199999999902</c:v>
                </c:pt>
                <c:pt idx="613">
                  <c:v>12.031299999999902</c:v>
                </c:pt>
                <c:pt idx="614">
                  <c:v>12.031399999999902</c:v>
                </c:pt>
                <c:pt idx="615">
                  <c:v>12.031499999999902</c:v>
                </c:pt>
                <c:pt idx="616">
                  <c:v>12.031599999999901</c:v>
                </c:pt>
                <c:pt idx="617">
                  <c:v>12.031699999999901</c:v>
                </c:pt>
                <c:pt idx="618">
                  <c:v>12.031799999999901</c:v>
                </c:pt>
                <c:pt idx="619">
                  <c:v>12.031899999999901</c:v>
                </c:pt>
                <c:pt idx="620">
                  <c:v>12.031999999999901</c:v>
                </c:pt>
                <c:pt idx="621">
                  <c:v>12.0320999999999</c:v>
                </c:pt>
                <c:pt idx="622">
                  <c:v>12.0321999999999</c:v>
                </c:pt>
                <c:pt idx="623">
                  <c:v>12.0322999999999</c:v>
                </c:pt>
                <c:pt idx="624">
                  <c:v>12.0323999999999</c:v>
                </c:pt>
                <c:pt idx="625">
                  <c:v>12.032499999999899</c:v>
                </c:pt>
                <c:pt idx="626">
                  <c:v>12.032599999999899</c:v>
                </c:pt>
                <c:pt idx="627">
                  <c:v>12.032699999999899</c:v>
                </c:pt>
                <c:pt idx="628">
                  <c:v>12.032799999999899</c:v>
                </c:pt>
                <c:pt idx="629">
                  <c:v>12.032899999999898</c:v>
                </c:pt>
                <c:pt idx="630">
                  <c:v>12.032999999999898</c:v>
                </c:pt>
                <c:pt idx="631">
                  <c:v>12.033099999999898</c:v>
                </c:pt>
                <c:pt idx="632">
                  <c:v>12.033199999999898</c:v>
                </c:pt>
                <c:pt idx="633">
                  <c:v>12.033299999999898</c:v>
                </c:pt>
                <c:pt idx="634">
                  <c:v>12.033399999999897</c:v>
                </c:pt>
                <c:pt idx="635">
                  <c:v>12.033499999999897</c:v>
                </c:pt>
                <c:pt idx="636">
                  <c:v>12.033599999999897</c:v>
                </c:pt>
                <c:pt idx="637">
                  <c:v>12.033699999999897</c:v>
                </c:pt>
                <c:pt idx="638">
                  <c:v>12.033799999999896</c:v>
                </c:pt>
                <c:pt idx="639">
                  <c:v>12.033899999999896</c:v>
                </c:pt>
                <c:pt idx="640">
                  <c:v>12.033999999999896</c:v>
                </c:pt>
                <c:pt idx="641">
                  <c:v>12.034099999999896</c:v>
                </c:pt>
                <c:pt idx="642">
                  <c:v>12.034199999999895</c:v>
                </c:pt>
                <c:pt idx="643">
                  <c:v>12.034299999999895</c:v>
                </c:pt>
                <c:pt idx="644">
                  <c:v>12.034399999999895</c:v>
                </c:pt>
                <c:pt idx="645">
                  <c:v>12.034499999999895</c:v>
                </c:pt>
                <c:pt idx="646">
                  <c:v>12.034599999999894</c:v>
                </c:pt>
                <c:pt idx="647">
                  <c:v>12.034699999999894</c:v>
                </c:pt>
                <c:pt idx="648">
                  <c:v>12.034799999999894</c:v>
                </c:pt>
                <c:pt idx="649">
                  <c:v>12.034899999999894</c:v>
                </c:pt>
                <c:pt idx="650">
                  <c:v>12.034999999999894</c:v>
                </c:pt>
                <c:pt idx="651">
                  <c:v>12.035099999999893</c:v>
                </c:pt>
                <c:pt idx="652">
                  <c:v>12.035199999999893</c:v>
                </c:pt>
                <c:pt idx="653">
                  <c:v>12.035299999999893</c:v>
                </c:pt>
                <c:pt idx="654">
                  <c:v>12.035399999999893</c:v>
                </c:pt>
                <c:pt idx="655">
                  <c:v>12.035499999999892</c:v>
                </c:pt>
                <c:pt idx="656">
                  <c:v>12.035599999999892</c:v>
                </c:pt>
                <c:pt idx="657">
                  <c:v>12.035699999999892</c:v>
                </c:pt>
                <c:pt idx="658">
                  <c:v>12.035799999999892</c:v>
                </c:pt>
                <c:pt idx="659">
                  <c:v>12.035899999999891</c:v>
                </c:pt>
                <c:pt idx="660">
                  <c:v>12.035999999999891</c:v>
                </c:pt>
                <c:pt idx="661">
                  <c:v>12.036099999999891</c:v>
                </c:pt>
                <c:pt idx="662">
                  <c:v>12.036199999999891</c:v>
                </c:pt>
                <c:pt idx="663">
                  <c:v>12.036299999999891</c:v>
                </c:pt>
                <c:pt idx="664">
                  <c:v>12.03639999999989</c:v>
                </c:pt>
                <c:pt idx="665">
                  <c:v>12.03649999999989</c:v>
                </c:pt>
                <c:pt idx="666">
                  <c:v>12.03659999999989</c:v>
                </c:pt>
                <c:pt idx="667">
                  <c:v>12.03669999999989</c:v>
                </c:pt>
                <c:pt idx="668">
                  <c:v>12.036799999999889</c:v>
                </c:pt>
                <c:pt idx="669">
                  <c:v>12.036899999999889</c:v>
                </c:pt>
                <c:pt idx="670">
                  <c:v>12.036999999999889</c:v>
                </c:pt>
                <c:pt idx="671">
                  <c:v>12.037099999999889</c:v>
                </c:pt>
                <c:pt idx="672">
                  <c:v>12.037199999999888</c:v>
                </c:pt>
                <c:pt idx="673">
                  <c:v>12.037299999999888</c:v>
                </c:pt>
                <c:pt idx="674">
                  <c:v>12.037399999999888</c:v>
                </c:pt>
                <c:pt idx="675">
                  <c:v>12.037499999999888</c:v>
                </c:pt>
                <c:pt idx="676">
                  <c:v>12.037599999999888</c:v>
                </c:pt>
                <c:pt idx="677">
                  <c:v>12.037699999999887</c:v>
                </c:pt>
                <c:pt idx="678">
                  <c:v>12.037799999999887</c:v>
                </c:pt>
                <c:pt idx="679">
                  <c:v>12.037899999999887</c:v>
                </c:pt>
                <c:pt idx="680">
                  <c:v>12.037999999999887</c:v>
                </c:pt>
                <c:pt idx="681">
                  <c:v>12.038099999999886</c:v>
                </c:pt>
                <c:pt idx="682">
                  <c:v>12.038199999999886</c:v>
                </c:pt>
                <c:pt idx="683">
                  <c:v>12.038299999999886</c:v>
                </c:pt>
                <c:pt idx="684">
                  <c:v>12.038399999999886</c:v>
                </c:pt>
                <c:pt idx="685">
                  <c:v>12.038499999999885</c:v>
                </c:pt>
                <c:pt idx="686">
                  <c:v>12.038599999999885</c:v>
                </c:pt>
                <c:pt idx="687">
                  <c:v>12.038699999999885</c:v>
                </c:pt>
                <c:pt idx="688">
                  <c:v>12.038799999999885</c:v>
                </c:pt>
                <c:pt idx="689">
                  <c:v>12.038899999999884</c:v>
                </c:pt>
                <c:pt idx="690">
                  <c:v>12.038999999999884</c:v>
                </c:pt>
                <c:pt idx="691">
                  <c:v>12.039099999999884</c:v>
                </c:pt>
                <c:pt idx="692">
                  <c:v>12.039199999999884</c:v>
                </c:pt>
                <c:pt idx="693">
                  <c:v>12.039299999999884</c:v>
                </c:pt>
                <c:pt idx="694">
                  <c:v>12.039399999999883</c:v>
                </c:pt>
                <c:pt idx="695">
                  <c:v>12.039499999999883</c:v>
                </c:pt>
                <c:pt idx="696">
                  <c:v>12.039599999999883</c:v>
                </c:pt>
                <c:pt idx="697">
                  <c:v>12.039699999999883</c:v>
                </c:pt>
                <c:pt idx="698">
                  <c:v>12.039799999999882</c:v>
                </c:pt>
                <c:pt idx="699">
                  <c:v>12.039899999999882</c:v>
                </c:pt>
                <c:pt idx="700">
                  <c:v>12.039999999999882</c:v>
                </c:pt>
                <c:pt idx="701">
                  <c:v>12.040099999999882</c:v>
                </c:pt>
                <c:pt idx="702">
                  <c:v>12.040199999999881</c:v>
                </c:pt>
                <c:pt idx="703">
                  <c:v>12.040299999999881</c:v>
                </c:pt>
                <c:pt idx="704">
                  <c:v>12.040399999999881</c:v>
                </c:pt>
                <c:pt idx="705">
                  <c:v>12.040499999999881</c:v>
                </c:pt>
                <c:pt idx="706">
                  <c:v>12.040599999999881</c:v>
                </c:pt>
                <c:pt idx="707">
                  <c:v>12.04069999999988</c:v>
                </c:pt>
                <c:pt idx="708">
                  <c:v>12.04079999999988</c:v>
                </c:pt>
                <c:pt idx="709">
                  <c:v>12.04089999999988</c:v>
                </c:pt>
                <c:pt idx="710">
                  <c:v>12.04099999999988</c:v>
                </c:pt>
                <c:pt idx="711">
                  <c:v>12.041099999999879</c:v>
                </c:pt>
                <c:pt idx="712">
                  <c:v>12.041199999999879</c:v>
                </c:pt>
                <c:pt idx="713">
                  <c:v>12.041299999999879</c:v>
                </c:pt>
                <c:pt idx="714">
                  <c:v>12.041399999999879</c:v>
                </c:pt>
                <c:pt idx="715">
                  <c:v>12.041499999999878</c:v>
                </c:pt>
                <c:pt idx="716">
                  <c:v>12.041599999999878</c:v>
                </c:pt>
                <c:pt idx="717">
                  <c:v>12.041699999999878</c:v>
                </c:pt>
                <c:pt idx="718">
                  <c:v>12.041799999999878</c:v>
                </c:pt>
                <c:pt idx="719">
                  <c:v>12.041899999999877</c:v>
                </c:pt>
                <c:pt idx="720">
                  <c:v>12.041999999999877</c:v>
                </c:pt>
                <c:pt idx="721">
                  <c:v>12.042099999999877</c:v>
                </c:pt>
                <c:pt idx="722">
                  <c:v>12.042199999999877</c:v>
                </c:pt>
                <c:pt idx="723">
                  <c:v>12.042299999999877</c:v>
                </c:pt>
                <c:pt idx="724">
                  <c:v>12.042399999999876</c:v>
                </c:pt>
                <c:pt idx="725">
                  <c:v>12.042499999999876</c:v>
                </c:pt>
                <c:pt idx="726">
                  <c:v>12.042599999999876</c:v>
                </c:pt>
                <c:pt idx="727">
                  <c:v>12.042699999999876</c:v>
                </c:pt>
                <c:pt idx="728">
                  <c:v>12.042799999999875</c:v>
                </c:pt>
                <c:pt idx="729">
                  <c:v>12.042899999999875</c:v>
                </c:pt>
                <c:pt idx="730">
                  <c:v>12.042999999999875</c:v>
                </c:pt>
                <c:pt idx="731">
                  <c:v>12.043099999999875</c:v>
                </c:pt>
                <c:pt idx="732">
                  <c:v>12.043199999999874</c:v>
                </c:pt>
                <c:pt idx="733">
                  <c:v>12.043299999999874</c:v>
                </c:pt>
                <c:pt idx="734">
                  <c:v>12.043399999999874</c:v>
                </c:pt>
                <c:pt idx="735">
                  <c:v>12.043499999999874</c:v>
                </c:pt>
                <c:pt idx="736">
                  <c:v>12.043599999999874</c:v>
                </c:pt>
                <c:pt idx="737">
                  <c:v>12.043699999999873</c:v>
                </c:pt>
                <c:pt idx="738">
                  <c:v>12.043799999999873</c:v>
                </c:pt>
                <c:pt idx="739">
                  <c:v>12.043899999999873</c:v>
                </c:pt>
                <c:pt idx="740">
                  <c:v>12.043999999999873</c:v>
                </c:pt>
                <c:pt idx="741">
                  <c:v>12.044099999999872</c:v>
                </c:pt>
                <c:pt idx="742">
                  <c:v>12.044199999999872</c:v>
                </c:pt>
                <c:pt idx="743">
                  <c:v>12.044299999999872</c:v>
                </c:pt>
                <c:pt idx="744">
                  <c:v>12.044399999999872</c:v>
                </c:pt>
                <c:pt idx="745">
                  <c:v>12.044499999999871</c:v>
                </c:pt>
                <c:pt idx="746">
                  <c:v>12.044599999999871</c:v>
                </c:pt>
                <c:pt idx="747">
                  <c:v>12.044699999999871</c:v>
                </c:pt>
                <c:pt idx="748">
                  <c:v>12.044799999999871</c:v>
                </c:pt>
                <c:pt idx="749">
                  <c:v>12.04489999999987</c:v>
                </c:pt>
                <c:pt idx="750">
                  <c:v>12.04499999999987</c:v>
                </c:pt>
                <c:pt idx="751">
                  <c:v>12.04509999999987</c:v>
                </c:pt>
                <c:pt idx="752">
                  <c:v>12.04519999999987</c:v>
                </c:pt>
                <c:pt idx="753">
                  <c:v>12.04529999999987</c:v>
                </c:pt>
                <c:pt idx="754">
                  <c:v>12.045399999999869</c:v>
                </c:pt>
                <c:pt idx="755">
                  <c:v>12.045499999999869</c:v>
                </c:pt>
                <c:pt idx="756">
                  <c:v>12.045599999999869</c:v>
                </c:pt>
                <c:pt idx="757">
                  <c:v>12.045699999999869</c:v>
                </c:pt>
                <c:pt idx="758">
                  <c:v>12.045799999999868</c:v>
                </c:pt>
                <c:pt idx="759">
                  <c:v>12.045899999999868</c:v>
                </c:pt>
                <c:pt idx="760">
                  <c:v>12.045999999999868</c:v>
                </c:pt>
                <c:pt idx="761">
                  <c:v>12.046099999999868</c:v>
                </c:pt>
                <c:pt idx="762">
                  <c:v>12.046199999999867</c:v>
                </c:pt>
                <c:pt idx="763">
                  <c:v>12.046299999999867</c:v>
                </c:pt>
                <c:pt idx="764">
                  <c:v>12.046399999999867</c:v>
                </c:pt>
                <c:pt idx="765">
                  <c:v>12.046499999999867</c:v>
                </c:pt>
                <c:pt idx="766">
                  <c:v>12.046599999999867</c:v>
                </c:pt>
                <c:pt idx="767">
                  <c:v>12.046699999999866</c:v>
                </c:pt>
                <c:pt idx="768">
                  <c:v>12.046799999999866</c:v>
                </c:pt>
                <c:pt idx="769">
                  <c:v>12.046899999999866</c:v>
                </c:pt>
                <c:pt idx="770">
                  <c:v>12.046999999999866</c:v>
                </c:pt>
                <c:pt idx="771">
                  <c:v>12.047099999999865</c:v>
                </c:pt>
                <c:pt idx="772">
                  <c:v>12.047199999999865</c:v>
                </c:pt>
                <c:pt idx="773">
                  <c:v>12.047299999999865</c:v>
                </c:pt>
                <c:pt idx="774">
                  <c:v>12.047399999999865</c:v>
                </c:pt>
                <c:pt idx="775">
                  <c:v>12.047499999999864</c:v>
                </c:pt>
                <c:pt idx="776">
                  <c:v>12.047599999999864</c:v>
                </c:pt>
                <c:pt idx="777">
                  <c:v>12.047699999999864</c:v>
                </c:pt>
                <c:pt idx="778">
                  <c:v>12.047799999999864</c:v>
                </c:pt>
                <c:pt idx="779">
                  <c:v>12.047899999999863</c:v>
                </c:pt>
                <c:pt idx="780">
                  <c:v>12.047999999999863</c:v>
                </c:pt>
                <c:pt idx="781">
                  <c:v>12.048099999999863</c:v>
                </c:pt>
                <c:pt idx="782">
                  <c:v>12.048199999999863</c:v>
                </c:pt>
                <c:pt idx="783">
                  <c:v>12.048299999999863</c:v>
                </c:pt>
                <c:pt idx="784">
                  <c:v>12.048399999999862</c:v>
                </c:pt>
                <c:pt idx="785">
                  <c:v>12.048499999999862</c:v>
                </c:pt>
                <c:pt idx="786">
                  <c:v>12.048599999999862</c:v>
                </c:pt>
                <c:pt idx="787">
                  <c:v>12.048699999999862</c:v>
                </c:pt>
                <c:pt idx="788">
                  <c:v>12.048799999999861</c:v>
                </c:pt>
                <c:pt idx="789">
                  <c:v>12.048899999999861</c:v>
                </c:pt>
                <c:pt idx="790">
                  <c:v>12.048999999999861</c:v>
                </c:pt>
                <c:pt idx="791">
                  <c:v>12.049099999999861</c:v>
                </c:pt>
                <c:pt idx="792">
                  <c:v>12.04919999999986</c:v>
                </c:pt>
                <c:pt idx="793">
                  <c:v>12.04929999999986</c:v>
                </c:pt>
                <c:pt idx="794">
                  <c:v>12.04939999999986</c:v>
                </c:pt>
                <c:pt idx="795">
                  <c:v>12.04949999999986</c:v>
                </c:pt>
                <c:pt idx="796">
                  <c:v>12.04959999999986</c:v>
                </c:pt>
                <c:pt idx="797">
                  <c:v>12.049699999999859</c:v>
                </c:pt>
                <c:pt idx="798">
                  <c:v>12.049799999999859</c:v>
                </c:pt>
                <c:pt idx="799">
                  <c:v>12.049899999999859</c:v>
                </c:pt>
                <c:pt idx="800">
                  <c:v>12.049999999999859</c:v>
                </c:pt>
                <c:pt idx="801">
                  <c:v>12.050099999999858</c:v>
                </c:pt>
                <c:pt idx="802">
                  <c:v>12.050199999999858</c:v>
                </c:pt>
                <c:pt idx="803">
                  <c:v>12.050299999999858</c:v>
                </c:pt>
                <c:pt idx="804">
                  <c:v>12.050399999999858</c:v>
                </c:pt>
                <c:pt idx="805">
                  <c:v>12.050499999999857</c:v>
                </c:pt>
                <c:pt idx="806">
                  <c:v>12.050599999999857</c:v>
                </c:pt>
                <c:pt idx="807">
                  <c:v>12.050699999999857</c:v>
                </c:pt>
                <c:pt idx="808">
                  <c:v>12.050799999999857</c:v>
                </c:pt>
                <c:pt idx="809">
                  <c:v>12.050899999999857</c:v>
                </c:pt>
                <c:pt idx="810">
                  <c:v>12.050999999999856</c:v>
                </c:pt>
                <c:pt idx="811">
                  <c:v>12.051099999999856</c:v>
                </c:pt>
                <c:pt idx="812">
                  <c:v>12.051199999999856</c:v>
                </c:pt>
                <c:pt idx="813">
                  <c:v>12.051299999999856</c:v>
                </c:pt>
                <c:pt idx="814">
                  <c:v>12.051399999999855</c:v>
                </c:pt>
                <c:pt idx="815">
                  <c:v>12.051499999999855</c:v>
                </c:pt>
                <c:pt idx="816">
                  <c:v>12.051599999999855</c:v>
                </c:pt>
                <c:pt idx="817">
                  <c:v>12.051699999999855</c:v>
                </c:pt>
                <c:pt idx="818">
                  <c:v>12.051799999999854</c:v>
                </c:pt>
                <c:pt idx="819">
                  <c:v>12.051899999999854</c:v>
                </c:pt>
                <c:pt idx="820">
                  <c:v>12.051999999999854</c:v>
                </c:pt>
                <c:pt idx="821">
                  <c:v>12.052099999999854</c:v>
                </c:pt>
                <c:pt idx="822">
                  <c:v>12.052199999999853</c:v>
                </c:pt>
                <c:pt idx="823">
                  <c:v>12.052299999999853</c:v>
                </c:pt>
                <c:pt idx="824">
                  <c:v>12.052399999999853</c:v>
                </c:pt>
                <c:pt idx="825">
                  <c:v>12.052499999999853</c:v>
                </c:pt>
                <c:pt idx="826">
                  <c:v>12.052599999999853</c:v>
                </c:pt>
                <c:pt idx="827">
                  <c:v>12.052699999999852</c:v>
                </c:pt>
                <c:pt idx="828">
                  <c:v>12.052799999999852</c:v>
                </c:pt>
                <c:pt idx="829">
                  <c:v>12.052899999999852</c:v>
                </c:pt>
                <c:pt idx="830">
                  <c:v>12.052999999999852</c:v>
                </c:pt>
                <c:pt idx="831">
                  <c:v>12.053099999999851</c:v>
                </c:pt>
                <c:pt idx="832">
                  <c:v>12.053199999999851</c:v>
                </c:pt>
                <c:pt idx="833">
                  <c:v>12.053299999999851</c:v>
                </c:pt>
                <c:pt idx="834">
                  <c:v>12.053399999999851</c:v>
                </c:pt>
                <c:pt idx="835">
                  <c:v>12.05349999999985</c:v>
                </c:pt>
                <c:pt idx="836">
                  <c:v>12.05359999999985</c:v>
                </c:pt>
                <c:pt idx="837">
                  <c:v>12.05369999999985</c:v>
                </c:pt>
                <c:pt idx="838">
                  <c:v>12.05379999999985</c:v>
                </c:pt>
                <c:pt idx="839">
                  <c:v>12.05389999999985</c:v>
                </c:pt>
                <c:pt idx="840">
                  <c:v>12.053999999999849</c:v>
                </c:pt>
                <c:pt idx="841">
                  <c:v>12.054099999999849</c:v>
                </c:pt>
                <c:pt idx="842">
                  <c:v>12.054199999999849</c:v>
                </c:pt>
                <c:pt idx="843">
                  <c:v>12.054299999999849</c:v>
                </c:pt>
                <c:pt idx="844">
                  <c:v>12.054399999999848</c:v>
                </c:pt>
                <c:pt idx="845">
                  <c:v>12.054499999999848</c:v>
                </c:pt>
                <c:pt idx="846">
                  <c:v>12.054599999999848</c:v>
                </c:pt>
                <c:pt idx="847">
                  <c:v>12.054699999999848</c:v>
                </c:pt>
                <c:pt idx="848">
                  <c:v>12.054799999999847</c:v>
                </c:pt>
                <c:pt idx="849">
                  <c:v>12.054899999999847</c:v>
                </c:pt>
                <c:pt idx="850">
                  <c:v>12.054999999999847</c:v>
                </c:pt>
                <c:pt idx="851">
                  <c:v>12.055099999999847</c:v>
                </c:pt>
                <c:pt idx="852">
                  <c:v>12.055199999999846</c:v>
                </c:pt>
                <c:pt idx="853">
                  <c:v>12.055299999999846</c:v>
                </c:pt>
                <c:pt idx="854">
                  <c:v>12.055399999999846</c:v>
                </c:pt>
                <c:pt idx="855">
                  <c:v>12.055499999999846</c:v>
                </c:pt>
                <c:pt idx="856">
                  <c:v>12.055599999999846</c:v>
                </c:pt>
                <c:pt idx="857">
                  <c:v>12.055699999999845</c:v>
                </c:pt>
                <c:pt idx="858">
                  <c:v>12.055799999999845</c:v>
                </c:pt>
                <c:pt idx="859">
                  <c:v>12.055899999999845</c:v>
                </c:pt>
                <c:pt idx="860">
                  <c:v>12.055999999999845</c:v>
                </c:pt>
                <c:pt idx="861">
                  <c:v>12.056099999999844</c:v>
                </c:pt>
                <c:pt idx="862">
                  <c:v>12.056199999999844</c:v>
                </c:pt>
                <c:pt idx="863">
                  <c:v>12.056299999999844</c:v>
                </c:pt>
                <c:pt idx="864">
                  <c:v>12.056399999999844</c:v>
                </c:pt>
                <c:pt idx="865">
                  <c:v>12.056499999999843</c:v>
                </c:pt>
                <c:pt idx="866">
                  <c:v>12.056599999999843</c:v>
                </c:pt>
                <c:pt idx="867">
                  <c:v>12.056699999999843</c:v>
                </c:pt>
                <c:pt idx="868">
                  <c:v>12.056799999999843</c:v>
                </c:pt>
                <c:pt idx="869">
                  <c:v>12.056899999999843</c:v>
                </c:pt>
                <c:pt idx="870">
                  <c:v>12.056999999999842</c:v>
                </c:pt>
                <c:pt idx="871">
                  <c:v>12.057099999999842</c:v>
                </c:pt>
                <c:pt idx="872">
                  <c:v>12.057199999999842</c:v>
                </c:pt>
                <c:pt idx="873">
                  <c:v>12.057299999999842</c:v>
                </c:pt>
                <c:pt idx="874">
                  <c:v>12.057399999999841</c:v>
                </c:pt>
                <c:pt idx="875">
                  <c:v>12.057499999999841</c:v>
                </c:pt>
                <c:pt idx="876">
                  <c:v>12.057599999999841</c:v>
                </c:pt>
                <c:pt idx="877">
                  <c:v>12.057699999999841</c:v>
                </c:pt>
                <c:pt idx="878">
                  <c:v>12.05779999999984</c:v>
                </c:pt>
                <c:pt idx="879">
                  <c:v>12.05789999999984</c:v>
                </c:pt>
                <c:pt idx="880">
                  <c:v>12.05799999999984</c:v>
                </c:pt>
                <c:pt idx="881">
                  <c:v>12.05809999999984</c:v>
                </c:pt>
                <c:pt idx="882">
                  <c:v>12.058199999999839</c:v>
                </c:pt>
                <c:pt idx="883">
                  <c:v>12.058299999999839</c:v>
                </c:pt>
                <c:pt idx="884">
                  <c:v>12.058399999999839</c:v>
                </c:pt>
                <c:pt idx="885">
                  <c:v>12.058499999999839</c:v>
                </c:pt>
                <c:pt idx="886">
                  <c:v>12.058599999999839</c:v>
                </c:pt>
                <c:pt idx="887">
                  <c:v>12.058699999999838</c:v>
                </c:pt>
                <c:pt idx="888">
                  <c:v>12.058799999999838</c:v>
                </c:pt>
                <c:pt idx="889">
                  <c:v>12.058899999999838</c:v>
                </c:pt>
                <c:pt idx="890">
                  <c:v>12.058999999999838</c:v>
                </c:pt>
                <c:pt idx="891">
                  <c:v>12.059099999999837</c:v>
                </c:pt>
                <c:pt idx="892">
                  <c:v>12.059199999999837</c:v>
                </c:pt>
                <c:pt idx="893">
                  <c:v>12.059299999999837</c:v>
                </c:pt>
                <c:pt idx="894">
                  <c:v>12.059399999999837</c:v>
                </c:pt>
                <c:pt idx="895">
                  <c:v>12.059499999999836</c:v>
                </c:pt>
                <c:pt idx="896">
                  <c:v>12.059599999999836</c:v>
                </c:pt>
                <c:pt idx="897">
                  <c:v>12.059699999999836</c:v>
                </c:pt>
                <c:pt idx="898">
                  <c:v>12.059799999999836</c:v>
                </c:pt>
                <c:pt idx="899">
                  <c:v>12.059899999999836</c:v>
                </c:pt>
                <c:pt idx="900">
                  <c:v>12.059999999999835</c:v>
                </c:pt>
                <c:pt idx="901">
                  <c:v>12.060099999999835</c:v>
                </c:pt>
                <c:pt idx="902">
                  <c:v>12.060199999999835</c:v>
                </c:pt>
                <c:pt idx="903">
                  <c:v>12.060299999999835</c:v>
                </c:pt>
                <c:pt idx="904">
                  <c:v>12.060399999999834</c:v>
                </c:pt>
                <c:pt idx="905">
                  <c:v>12.060499999999834</c:v>
                </c:pt>
                <c:pt idx="906">
                  <c:v>12.060599999999834</c:v>
                </c:pt>
                <c:pt idx="907">
                  <c:v>12.060699999999834</c:v>
                </c:pt>
                <c:pt idx="908">
                  <c:v>12.060799999999833</c:v>
                </c:pt>
                <c:pt idx="909">
                  <c:v>12.060899999999833</c:v>
                </c:pt>
                <c:pt idx="910">
                  <c:v>12.060999999999833</c:v>
                </c:pt>
                <c:pt idx="911">
                  <c:v>12.061099999999833</c:v>
                </c:pt>
                <c:pt idx="912">
                  <c:v>12.061199999999832</c:v>
                </c:pt>
                <c:pt idx="913">
                  <c:v>12.061299999999832</c:v>
                </c:pt>
                <c:pt idx="914">
                  <c:v>12.061399999999832</c:v>
                </c:pt>
                <c:pt idx="915">
                  <c:v>12.061499999999832</c:v>
                </c:pt>
                <c:pt idx="916">
                  <c:v>12.061599999999832</c:v>
                </c:pt>
                <c:pt idx="917">
                  <c:v>12.061699999999831</c:v>
                </c:pt>
                <c:pt idx="918">
                  <c:v>12.061799999999831</c:v>
                </c:pt>
                <c:pt idx="919">
                  <c:v>12.061899999999831</c:v>
                </c:pt>
                <c:pt idx="920">
                  <c:v>12.061999999999831</c:v>
                </c:pt>
                <c:pt idx="921">
                  <c:v>12.06209999999983</c:v>
                </c:pt>
                <c:pt idx="922">
                  <c:v>12.06219999999983</c:v>
                </c:pt>
                <c:pt idx="923">
                  <c:v>12.06229999999983</c:v>
                </c:pt>
                <c:pt idx="924">
                  <c:v>12.06239999999983</c:v>
                </c:pt>
                <c:pt idx="925">
                  <c:v>12.062499999999829</c:v>
                </c:pt>
                <c:pt idx="926">
                  <c:v>12.062599999999829</c:v>
                </c:pt>
                <c:pt idx="927">
                  <c:v>12.062699999999829</c:v>
                </c:pt>
                <c:pt idx="928">
                  <c:v>12.062799999999829</c:v>
                </c:pt>
                <c:pt idx="929">
                  <c:v>12.062899999999829</c:v>
                </c:pt>
                <c:pt idx="930">
                  <c:v>12.062999999999828</c:v>
                </c:pt>
                <c:pt idx="931">
                  <c:v>12.063099999999828</c:v>
                </c:pt>
                <c:pt idx="932">
                  <c:v>12.063199999999828</c:v>
                </c:pt>
                <c:pt idx="933">
                  <c:v>12.063299999999828</c:v>
                </c:pt>
                <c:pt idx="934">
                  <c:v>12.063399999999827</c:v>
                </c:pt>
                <c:pt idx="935">
                  <c:v>12.063499999999827</c:v>
                </c:pt>
                <c:pt idx="936">
                  <c:v>12.063599999999827</c:v>
                </c:pt>
                <c:pt idx="937">
                  <c:v>12.063699999999827</c:v>
                </c:pt>
                <c:pt idx="938">
                  <c:v>12.063799999999826</c:v>
                </c:pt>
                <c:pt idx="939">
                  <c:v>12.063899999999826</c:v>
                </c:pt>
                <c:pt idx="940">
                  <c:v>12.063999999999826</c:v>
                </c:pt>
                <c:pt idx="941">
                  <c:v>12.064099999999826</c:v>
                </c:pt>
                <c:pt idx="942">
                  <c:v>12.064199999999826</c:v>
                </c:pt>
                <c:pt idx="943">
                  <c:v>12.064299999999825</c:v>
                </c:pt>
                <c:pt idx="944">
                  <c:v>12.064399999999825</c:v>
                </c:pt>
                <c:pt idx="945">
                  <c:v>12.064499999999825</c:v>
                </c:pt>
                <c:pt idx="946">
                  <c:v>12.064599999999825</c:v>
                </c:pt>
                <c:pt idx="947">
                  <c:v>12.064699999999824</c:v>
                </c:pt>
                <c:pt idx="948">
                  <c:v>12.064799999999824</c:v>
                </c:pt>
                <c:pt idx="949">
                  <c:v>12.064899999999824</c:v>
                </c:pt>
                <c:pt idx="950">
                  <c:v>12.064999999999824</c:v>
                </c:pt>
                <c:pt idx="951">
                  <c:v>12.065099999999823</c:v>
                </c:pt>
                <c:pt idx="952">
                  <c:v>12.065199999999823</c:v>
                </c:pt>
                <c:pt idx="953">
                  <c:v>12.065299999999823</c:v>
                </c:pt>
                <c:pt idx="954">
                  <c:v>12.065399999999823</c:v>
                </c:pt>
                <c:pt idx="955">
                  <c:v>12.065499999999822</c:v>
                </c:pt>
                <c:pt idx="956">
                  <c:v>12.065599999999822</c:v>
                </c:pt>
                <c:pt idx="957">
                  <c:v>12.065699999999822</c:v>
                </c:pt>
                <c:pt idx="958">
                  <c:v>12.065799999999822</c:v>
                </c:pt>
                <c:pt idx="959">
                  <c:v>12.065899999999822</c:v>
                </c:pt>
                <c:pt idx="960">
                  <c:v>12.065999999999821</c:v>
                </c:pt>
                <c:pt idx="961">
                  <c:v>12.066099999999821</c:v>
                </c:pt>
                <c:pt idx="962">
                  <c:v>12.066199999999821</c:v>
                </c:pt>
                <c:pt idx="963">
                  <c:v>12.066299999999821</c:v>
                </c:pt>
                <c:pt idx="964">
                  <c:v>12.06639999999982</c:v>
                </c:pt>
                <c:pt idx="965">
                  <c:v>12.06649999999982</c:v>
                </c:pt>
                <c:pt idx="966">
                  <c:v>12.06659999999982</c:v>
                </c:pt>
                <c:pt idx="967">
                  <c:v>12.06669999999982</c:v>
                </c:pt>
                <c:pt idx="968">
                  <c:v>12.066799999999819</c:v>
                </c:pt>
                <c:pt idx="969">
                  <c:v>12.066899999999819</c:v>
                </c:pt>
                <c:pt idx="970">
                  <c:v>12.066999999999819</c:v>
                </c:pt>
                <c:pt idx="971">
                  <c:v>12.067099999999819</c:v>
                </c:pt>
                <c:pt idx="972">
                  <c:v>12.067199999999819</c:v>
                </c:pt>
                <c:pt idx="973">
                  <c:v>12.067299999999818</c:v>
                </c:pt>
                <c:pt idx="974">
                  <c:v>12.067399999999818</c:v>
                </c:pt>
                <c:pt idx="975">
                  <c:v>12.067499999999818</c:v>
                </c:pt>
                <c:pt idx="976">
                  <c:v>12.067599999999818</c:v>
                </c:pt>
                <c:pt idx="977">
                  <c:v>12.067699999999817</c:v>
                </c:pt>
                <c:pt idx="978">
                  <c:v>12.067799999999817</c:v>
                </c:pt>
                <c:pt idx="979">
                  <c:v>12.067899999999817</c:v>
                </c:pt>
                <c:pt idx="980">
                  <c:v>12.067999999999817</c:v>
                </c:pt>
                <c:pt idx="981">
                  <c:v>12.068099999999816</c:v>
                </c:pt>
                <c:pt idx="982">
                  <c:v>12.068199999999816</c:v>
                </c:pt>
                <c:pt idx="983">
                  <c:v>12.068299999999816</c:v>
                </c:pt>
                <c:pt idx="984">
                  <c:v>12.068399999999816</c:v>
                </c:pt>
                <c:pt idx="985">
                  <c:v>12.068499999999815</c:v>
                </c:pt>
                <c:pt idx="986">
                  <c:v>12.068599999999815</c:v>
                </c:pt>
                <c:pt idx="987">
                  <c:v>12.068699999999815</c:v>
                </c:pt>
                <c:pt idx="988">
                  <c:v>12.068799999999815</c:v>
                </c:pt>
                <c:pt idx="989">
                  <c:v>12.068899999999815</c:v>
                </c:pt>
                <c:pt idx="990">
                  <c:v>12.068999999999814</c:v>
                </c:pt>
                <c:pt idx="991">
                  <c:v>12.069099999999814</c:v>
                </c:pt>
                <c:pt idx="992">
                  <c:v>12.069199999999814</c:v>
                </c:pt>
                <c:pt idx="993">
                  <c:v>12.069299999999814</c:v>
                </c:pt>
                <c:pt idx="994">
                  <c:v>12.069399999999813</c:v>
                </c:pt>
                <c:pt idx="995">
                  <c:v>12.069499999999813</c:v>
                </c:pt>
                <c:pt idx="996">
                  <c:v>12.069599999999813</c:v>
                </c:pt>
                <c:pt idx="997">
                  <c:v>12.069699999999813</c:v>
                </c:pt>
                <c:pt idx="998">
                  <c:v>12.069799999999812</c:v>
                </c:pt>
                <c:pt idx="999">
                  <c:v>12.069899999999812</c:v>
                </c:pt>
                <c:pt idx="1000">
                  <c:v>12.069999999999812</c:v>
                </c:pt>
              </c:numCache>
            </c:numRef>
          </c:xVal>
          <c:yVal>
            <c:numRef>
              <c:f>Calculs!$J$4:$J$1004</c:f>
              <c:numCache>
                <c:formatCode>0.00</c:formatCode>
                <c:ptCount val="1001"/>
                <c:pt idx="0">
                  <c:v>0</c:v>
                </c:pt>
                <c:pt idx="1">
                  <c:v>8.3524827960201642E-5</c:v>
                </c:pt>
                <c:pt idx="2">
                  <c:v>5.8649762222008292E-4</c:v>
                </c:pt>
                <c:pt idx="3">
                  <c:v>1.8675808986983043E-3</c:v>
                </c:pt>
                <c:pt idx="4">
                  <c:v>3.9928650356980538E-3</c:v>
                </c:pt>
                <c:pt idx="5">
                  <c:v>6.9012891718933343E-3</c:v>
                </c:pt>
                <c:pt idx="6">
                  <c:v>1.0570408442541958E-2</c:v>
                </c:pt>
                <c:pt idx="7">
                  <c:v>1.4997096559587402E-2</c:v>
                </c:pt>
                <c:pt idx="8">
                  <c:v>2.0178206078337903E-2</c:v>
                </c:pt>
                <c:pt idx="9">
                  <c:v>2.6110568592058871E-2</c:v>
                </c:pt>
                <c:pt idx="10">
                  <c:v>3.279099492825599E-2</c:v>
                </c:pt>
                <c:pt idx="11">
                  <c:v>4.0216275346606337E-2</c:v>
                </c:pt>
                <c:pt idx="12">
                  <c:v>4.8383179738494715E-2</c:v>
                </c:pt>
                <c:pt idx="13">
                  <c:v>5.7288457828112135E-2</c:v>
                </c:pt>
                <c:pt idx="14">
                  <c:v>6.692883937507306E-2</c:v>
                </c:pt>
                <c:pt idx="15">
                  <c:v>7.7301034378508035E-2</c:v>
                </c:pt>
                <c:pt idx="16">
                  <c:v>8.8401733282587838E-2</c:v>
                </c:pt>
                <c:pt idx="17">
                  <c:v>0.10022760718343551</c:v>
                </c:pt>
                <c:pt idx="18">
                  <c:v>0.112775308037382</c:v>
                </c:pt>
                <c:pt idx="19">
                  <c:v>0.12604146887052148</c:v>
                </c:pt>
                <c:pt idx="20">
                  <c:v>0.14002270398952182</c:v>
                </c:pt>
                <c:pt idx="21">
                  <c:v>0.15471560919364616</c:v>
                </c:pt>
                <c:pt idx="22">
                  <c:v>0.17011676198794062</c:v>
                </c:pt>
                <c:pt idx="23">
                  <c:v>0.18622272179754418</c:v>
                </c:pt>
                <c:pt idx="24">
                  <c:v>0.20303003018307539</c:v>
                </c:pt>
                <c:pt idx="25">
                  <c:v>0.22053521105705204</c:v>
                </c:pt>
                <c:pt idx="26">
                  <c:v>0.23877737840893182</c:v>
                </c:pt>
                <c:pt idx="27">
                  <c:v>0.25779738521624063</c:v>
                </c:pt>
                <c:pt idx="28">
                  <c:v>0.27759516596525524</c:v>
                </c:pt>
                <c:pt idx="29">
                  <c:v>0.29817052085483275</c:v>
                </c:pt>
                <c:pt idx="30">
                  <c:v>0.31952310296841918</c:v>
                </c:pt>
                <c:pt idx="31">
                  <c:v>0.34165242626501902</c:v>
                </c:pt>
                <c:pt idx="32">
                  <c:v>0.36455787282569657</c:v>
                </c:pt>
                <c:pt idx="33">
                  <c:v>0.38823869944937978</c:v>
                </c:pt>
                <c:pt idx="34">
                  <c:v>0.41269404367733931</c:v>
                </c:pt>
                <c:pt idx="35">
                  <c:v>0.43792292931390325</c:v>
                </c:pt>
                <c:pt idx="36">
                  <c:v>0.46392427150120941</c:v>
                </c:pt>
                <c:pt idx="37">
                  <c:v>0.4906968813976913</c:v>
                </c:pt>
                <c:pt idx="38">
                  <c:v>0.51823947050321695</c:v>
                </c:pt>
                <c:pt idx="39">
                  <c:v>0.54655065466810826</c:v>
                </c:pt>
                <c:pt idx="40">
                  <c:v>0.57562895781846135</c:v>
                </c:pt>
                <c:pt idx="41">
                  <c:v>0.60547281542610931</c:v>
                </c:pt>
                <c:pt idx="42">
                  <c:v>0.63608057774809335</c:v>
                </c:pt>
                <c:pt idx="43">
                  <c:v>0.66745051285753176</c:v>
                </c:pt>
                <c:pt idx="44">
                  <c:v>0.69958080948522117</c:v>
                </c:pt>
                <c:pt idx="45">
                  <c:v>0.73246957968909543</c:v>
                </c:pt>
                <c:pt idx="46">
                  <c:v>0.76611486136676077</c:v>
                </c:pt>
                <c:pt idx="47">
                  <c:v>0.80051462062466394</c:v>
                </c:pt>
                <c:pt idx="48">
                  <c:v>0.83566675401600421</c:v>
                </c:pt>
                <c:pt idx="49">
                  <c:v>0.87156909065823485</c:v>
                </c:pt>
                <c:pt idx="50">
                  <c:v>0.90821939423989062</c:v>
                </c:pt>
                <c:pt idx="51">
                  <c:v>0.94561536492550058</c:v>
                </c:pt>
                <c:pt idx="52">
                  <c:v>0.98375464116648548</c:v>
                </c:pt>
                <c:pt idx="53">
                  <c:v>1.0226348014251767</c:v>
                </c:pt>
                <c:pt idx="54">
                  <c:v>1.0622533658184206</c:v>
                </c:pt>
                <c:pt idx="55">
                  <c:v>1.1026077976866273</c:v>
                </c:pt>
                <c:pt idx="56">
                  <c:v>1.1436955050935966</c:v>
                </c:pt>
                <c:pt idx="57">
                  <c:v>1.1855138422619667</c:v>
                </c:pt>
                <c:pt idx="58">
                  <c:v>1.228060110948711</c:v>
                </c:pt>
                <c:pt idx="59">
                  <c:v>1.2713315617647261</c:v>
                </c:pt>
                <c:pt idx="60">
                  <c:v>1.3153253954422028</c:v>
                </c:pt>
                <c:pt idx="61">
                  <c:v>1.3600387640531713</c:v>
                </c:pt>
                <c:pt idx="62">
                  <c:v>1.4054687721823258</c:v>
                </c:pt>
                <c:pt idx="63">
                  <c:v>1.4516105790291467</c:v>
                </c:pt>
                <c:pt idx="64">
                  <c:v>1.4984554882091905</c:v>
                </c:pt>
                <c:pt idx="65">
                  <c:v>1.5459928330418893</c:v>
                </c:pt>
                <c:pt idx="66">
                  <c:v>1.5942118746837153</c:v>
                </c:pt>
                <c:pt idx="67">
                  <c:v>1.6431000485443112</c:v>
                </c:pt>
                <c:pt idx="68">
                  <c:v>1.6926412001406765</c:v>
                </c:pt>
                <c:pt idx="69">
                  <c:v>1.7428141948182807</c:v>
                </c:pt>
                <c:pt idx="70">
                  <c:v>1.7935915206118958</c:v>
                </c:pt>
                <c:pt idx="71">
                  <c:v>1.8449424061006585</c:v>
                </c:pt>
                <c:pt idx="72">
                  <c:v>1.8968359570828017</c:v>
                </c:pt>
                <c:pt idx="73">
                  <c:v>1.9492411614747478</c:v>
                </c:pt>
                <c:pt idx="74">
                  <c:v>2.0021268939446468</c:v>
                </c:pt>
                <c:pt idx="75">
                  <c:v>2.0554619202908366</c:v>
                </c:pt>
                <c:pt idx="76">
                  <c:v>2.1092149015743527</c:v>
                </c:pt>
                <c:pt idx="77">
                  <c:v>2.1633543980134209</c:v>
                </c:pt>
                <c:pt idx="78">
                  <c:v>2.2178488726467904</c:v>
                </c:pt>
                <c:pt idx="79">
                  <c:v>2.2726666947717837</c:v>
                </c:pt>
                <c:pt idx="80">
                  <c:v>2.3277761431620623</c:v>
                </c:pt>
                <c:pt idx="81">
                  <c:v>2.3831492256086912</c:v>
                </c:pt>
                <c:pt idx="82">
                  <c:v>2.4387655150076659</c:v>
                </c:pt>
                <c:pt idx="83">
                  <c:v>2.494608353881512</c:v>
                </c:pt>
                <c:pt idx="84">
                  <c:v>2.550661041238222</c:v>
                </c:pt>
                <c:pt idx="85">
                  <c:v>2.6069068334187615</c:v>
                </c:pt>
                <c:pt idx="86">
                  <c:v>2.6633289448870863</c:v>
                </c:pt>
                <c:pt idx="87">
                  <c:v>2.7199105489630351</c:v>
                </c:pt>
                <c:pt idx="88">
                  <c:v>2.776634778498368</c:v>
                </c:pt>
                <c:pt idx="89">
                  <c:v>2.8334859498320646</c:v>
                </c:pt>
                <c:pt idx="90">
                  <c:v>2.8904507916823059</c:v>
                </c:pt>
                <c:pt idx="91">
                  <c:v>2.9475172277725568</c:v>
                </c:pt>
                <c:pt idx="92">
                  <c:v>3.0046731543113485</c:v>
                </c:pt>
                <c:pt idx="93">
                  <c:v>3.0619067482660571</c:v>
                </c:pt>
                <c:pt idx="94">
                  <c:v>3.1192067768399125</c:v>
                </c:pt>
                <c:pt idx="95">
                  <c:v>3.1765622909122451</c:v>
                </c:pt>
                <c:pt idx="96">
                  <c:v>3.2339623172035163</c:v>
                </c:pt>
                <c:pt idx="97">
                  <c:v>3.2913970994579018</c:v>
                </c:pt>
                <c:pt idx="98">
                  <c:v>3.3488593445038952</c:v>
                </c:pt>
                <c:pt idx="99">
                  <c:v>3.4063429865208139</c:v>
                </c:pt>
                <c:pt idx="100">
                  <c:v>3.4638419463636878</c:v>
                </c:pt>
                <c:pt idx="101">
                  <c:v>3.5213501315166944</c:v>
                </c:pt>
                <c:pt idx="102">
                  <c:v>3.57886143603888</c:v>
                </c:pt>
                <c:pt idx="103">
                  <c:v>3.6363697405020861</c:v>
                </c:pt>
                <c:pt idx="104">
                  <c:v>3.6938689119209958</c:v>
                </c:pt>
                <c:pt idx="105">
                  <c:v>3.7513528036752084</c:v>
                </c:pt>
                <c:pt idx="106">
                  <c:v>3.8088152554232475</c:v>
                </c:pt>
                <c:pt idx="107">
                  <c:v>3.8662500930084001</c:v>
                </c:pt>
                <c:pt idx="108">
                  <c:v>3.9236511283562749</c:v>
                </c:pt>
                <c:pt idx="109">
                  <c:v>3.9810137444101565</c:v>
                </c:pt>
                <c:pt idx="110">
                  <c:v>4.0383364863691735</c:v>
                </c:pt>
                <c:pt idx="111">
                  <c:v>4.0956194834908093</c:v>
                </c:pt>
                <c:pt idx="112">
                  <c:v>4.1528628646448533</c:v>
                </c:pt>
                <c:pt idx="113">
                  <c:v>4.2100667583153033</c:v>
                </c:pt>
                <c:pt idx="114">
                  <c:v>4.2672312926022551</c:v>
                </c:pt>
                <c:pt idx="115">
                  <c:v>4.3243565952237804</c:v>
                </c:pt>
                <c:pt idx="116">
                  <c:v>4.3814427935177989</c:v>
                </c:pt>
                <c:pt idx="117">
                  <c:v>4.4384900144439348</c:v>
                </c:pt>
                <c:pt idx="118">
                  <c:v>4.4954983845853649</c:v>
                </c:pt>
                <c:pt idx="119">
                  <c:v>4.5524680301506573</c:v>
                </c:pt>
                <c:pt idx="120">
                  <c:v>4.6093990769755981</c:v>
                </c:pt>
                <c:pt idx="121">
                  <c:v>4.66629165052501</c:v>
                </c:pt>
                <c:pt idx="122">
                  <c:v>4.7231458758945584</c:v>
                </c:pt>
                <c:pt idx="123">
                  <c:v>4.779961877812549</c:v>
                </c:pt>
                <c:pt idx="124">
                  <c:v>4.8367397806417154</c:v>
                </c:pt>
                <c:pt idx="125">
                  <c:v>4.8934797083809967</c:v>
                </c:pt>
                <c:pt idx="126">
                  <c:v>4.9501817846673042</c:v>
                </c:pt>
                <c:pt idx="127">
                  <c:v>5.006846132777282</c:v>
                </c:pt>
                <c:pt idx="128">
                  <c:v>5.063472875629051</c:v>
                </c:pt>
                <c:pt idx="129">
                  <c:v>5.1200621357839511</c:v>
                </c:pt>
                <c:pt idx="130">
                  <c:v>5.1766140354482681</c:v>
                </c:pt>
                <c:pt idx="131">
                  <c:v>5.2331286964749539</c:v>
                </c:pt>
                <c:pt idx="132">
                  <c:v>5.2896062403653366</c:v>
                </c:pt>
                <c:pt idx="133">
                  <c:v>5.3460467882708214</c:v>
                </c:pt>
                <c:pt idx="134">
                  <c:v>5.4024504609945811</c:v>
                </c:pt>
                <c:pt idx="135">
                  <c:v>5.4588173789932393</c:v>
                </c:pt>
                <c:pt idx="136">
                  <c:v>5.5151476623785429</c:v>
                </c:pt>
                <c:pt idx="137">
                  <c:v>5.571441430919025</c:v>
                </c:pt>
                <c:pt idx="138">
                  <c:v>5.6276988040416622</c:v>
                </c:pt>
                <c:pt idx="139">
                  <c:v>5.6839199008335184</c:v>
                </c:pt>
                <c:pt idx="140">
                  <c:v>5.7401048400433821</c:v>
                </c:pt>
                <c:pt idx="141">
                  <c:v>5.7962537400833947</c:v>
                </c:pt>
                <c:pt idx="142">
                  <c:v>5.8523667190306687</c:v>
                </c:pt>
                <c:pt idx="143">
                  <c:v>5.9084438946288991</c:v>
                </c:pt>
                <c:pt idx="144">
                  <c:v>5.9644853842899659</c:v>
                </c:pt>
                <c:pt idx="145">
                  <c:v>6.0204913050955247</c:v>
                </c:pt>
                <c:pt idx="146">
                  <c:v>6.0764617737985933</c:v>
                </c:pt>
                <c:pt idx="147">
                  <c:v>6.1323969068251278</c:v>
                </c:pt>
                <c:pt idx="148">
                  <c:v>6.1882968202755881</c:v>
                </c:pt>
                <c:pt idx="149">
                  <c:v>6.2441616299264986</c:v>
                </c:pt>
                <c:pt idx="150">
                  <c:v>6.2999914512319979</c:v>
                </c:pt>
                <c:pt idx="151">
                  <c:v>6.3557863993253836</c:v>
                </c:pt>
                <c:pt idx="152">
                  <c:v>6.4115465890206425</c:v>
                </c:pt>
                <c:pt idx="153">
                  <c:v>6.4672721348139799</c:v>
                </c:pt>
                <c:pt idx="154">
                  <c:v>6.522963150885337</c:v>
                </c:pt>
                <c:pt idx="155">
                  <c:v>6.5786197510998976</c:v>
                </c:pt>
                <c:pt idx="156">
                  <c:v>6.634242049009595</c:v>
                </c:pt>
                <c:pt idx="157">
                  <c:v>6.6898301578546002</c:v>
                </c:pt>
                <c:pt idx="158">
                  <c:v>6.7453841905648124</c:v>
                </c:pt>
                <c:pt idx="159">
                  <c:v>6.8009042597613334</c:v>
                </c:pt>
                <c:pt idx="160">
                  <c:v>6.8563904777579392</c:v>
                </c:pt>
                <c:pt idx="161">
                  <c:v>6.911842956562543</c:v>
                </c:pt>
                <c:pt idx="162">
                  <c:v>6.9672618078786481</c:v>
                </c:pt>
                <c:pt idx="163">
                  <c:v>7.0226471431067958</c:v>
                </c:pt>
                <c:pt idx="164">
                  <c:v>7.077999073346005</c:v>
                </c:pt>
                <c:pt idx="165">
                  <c:v>7.1333177093952038</c:v>
                </c:pt>
                <c:pt idx="166">
                  <c:v>7.188603161754652</c:v>
                </c:pt>
                <c:pt idx="167">
                  <c:v>7.2438555406273597</c:v>
                </c:pt>
                <c:pt idx="168">
                  <c:v>7.2990749559204957</c:v>
                </c:pt>
                <c:pt idx="169">
                  <c:v>7.3542615172467904</c:v>
                </c:pt>
                <c:pt idx="170">
                  <c:v>7.4094153339259279</c:v>
                </c:pt>
                <c:pt idx="171">
                  <c:v>7.4645365149859364</c:v>
                </c:pt>
                <c:pt idx="172">
                  <c:v>7.5196251691645655</c:v>
                </c:pt>
                <c:pt idx="173">
                  <c:v>7.5746814049106597</c:v>
                </c:pt>
                <c:pt idx="174">
                  <c:v>7.6297053303855265</c:v>
                </c:pt>
                <c:pt idx="175">
                  <c:v>7.6846970534642907</c:v>
                </c:pt>
                <c:pt idx="176">
                  <c:v>7.739656681737249</c:v>
                </c:pt>
                <c:pt idx="177">
                  <c:v>7.7945843225112128</c:v>
                </c:pt>
                <c:pt idx="178">
                  <c:v>7.8494800828108469</c:v>
                </c:pt>
                <c:pt idx="179">
                  <c:v>7.9043440693799996</c:v>
                </c:pt>
                <c:pt idx="180">
                  <c:v>7.9591763886830256</c:v>
                </c:pt>
                <c:pt idx="181">
                  <c:v>8.0139771469061039</c:v>
                </c:pt>
                <c:pt idx="182">
                  <c:v>8.068746449958546</c:v>
                </c:pt>
                <c:pt idx="183">
                  <c:v>8.1234844034741034</c:v>
                </c:pt>
                <c:pt idx="184">
                  <c:v>8.1781911128122591</c:v>
                </c:pt>
                <c:pt idx="185">
                  <c:v>8.2328666830595196</c:v>
                </c:pt>
                <c:pt idx="186">
                  <c:v>8.2875112190306996</c:v>
                </c:pt>
                <c:pt idx="187">
                  <c:v>8.3421248252701954</c:v>
                </c:pt>
                <c:pt idx="188">
                  <c:v>8.3967076060532584</c:v>
                </c:pt>
                <c:pt idx="189">
                  <c:v>8.4512596653872549</c:v>
                </c:pt>
                <c:pt idx="190">
                  <c:v>8.505781107012929</c:v>
                </c:pt>
                <c:pt idx="191">
                  <c:v>8.5602720344056458</c:v>
                </c:pt>
                <c:pt idx="192">
                  <c:v>8.6147325507766421</c:v>
                </c:pt>
                <c:pt idx="193">
                  <c:v>8.669162759074263</c:v>
                </c:pt>
                <c:pt idx="194">
                  <c:v>8.723562761985189</c:v>
                </c:pt>
                <c:pt idx="195">
                  <c:v>8.777932661935667</c:v>
                </c:pt>
                <c:pt idx="196">
                  <c:v>8.8322725610927257</c:v>
                </c:pt>
                <c:pt idx="197">
                  <c:v>8.8865825613653922</c:v>
                </c:pt>
                <c:pt idx="198">
                  <c:v>8.940862764405896</c:v>
                </c:pt>
                <c:pt idx="199">
                  <c:v>8.9951132716108706</c:v>
                </c:pt>
                <c:pt idx="200">
                  <c:v>9.0493341841225465</c:v>
                </c:pt>
                <c:pt idx="201">
                  <c:v>9.5899234171647869</c:v>
                </c:pt>
                <c:pt idx="202">
                  <c:v>10.127618327409479</c:v>
                </c:pt>
                <c:pt idx="203">
                  <c:v>10.662517729990645</c:v>
                </c:pt>
                <c:pt idx="204">
                  <c:v>11.194718048448015</c:v>
                </c:pt>
                <c:pt idx="205">
                  <c:v>11.724313424195326</c:v>
                </c:pt>
                <c:pt idx="206">
                  <c:v>12.251395820605335</c:v>
                </c:pt>
                <c:pt idx="207">
                  <c:v>12.776055122003505</c:v>
                </c:pt>
                <c:pt idx="208">
                  <c:v>13.298379227834875</c:v>
                </c:pt>
                <c:pt idx="209">
                  <c:v>13.818454142241725</c:v>
                </c:pt>
                <c:pt idx="210">
                  <c:v>14.336364059263044</c:v>
                </c:pt>
                <c:pt idx="211">
                  <c:v>14.852191443839683</c:v>
                </c:pt>
                <c:pt idx="212">
                  <c:v>15.366017108781218</c:v>
                </c:pt>
                <c:pt idx="213">
                  <c:v>15.877920287820933</c:v>
                </c:pt>
                <c:pt idx="214">
                  <c:v>16.387978704853243</c:v>
                </c:pt>
                <c:pt idx="215">
                  <c:v>16.896268639412234</c:v>
                </c:pt>
                <c:pt idx="216">
                  <c:v>17.402864988409178</c:v>
                </c:pt>
                <c:pt idx="217">
                  <c:v>17.907841324099163</c:v>
                </c:pt>
                <c:pt idx="218">
                  <c:v>18.411269948189883</c:v>
                </c:pt>
                <c:pt idx="219">
                  <c:v>18.913221941935422</c:v>
                </c:pt>
                <c:pt idx="220">
                  <c:v>19.413767211970509</c:v>
                </c:pt>
                <c:pt idx="221">
                  <c:v>19.912974531529137</c:v>
                </c:pt>
                <c:pt idx="222">
                  <c:v>20.410911576547253</c:v>
                </c:pt>
                <c:pt idx="223">
                  <c:v>20.907644955959363</c:v>
                </c:pt>
                <c:pt idx="224">
                  <c:v>21.40324023524548</c:v>
                </c:pt>
                <c:pt idx="225">
                  <c:v>21.897761951941344</c:v>
                </c:pt>
                <c:pt idx="226">
                  <c:v>22.39127362135288</c:v>
                </c:pt>
                <c:pt idx="227">
                  <c:v>22.883837730058119</c:v>
                </c:pt>
                <c:pt idx="228">
                  <c:v>23.375515713850458</c:v>
                </c:pt>
                <c:pt idx="229">
                  <c:v>23.866367915446702</c:v>
                </c:pt>
                <c:pt idx="230">
                  <c:v>24.356453515354556</c:v>
                </c:pt>
                <c:pt idx="231">
                  <c:v>24.84583042646819</c:v>
                </c:pt>
                <c:pt idx="232">
                  <c:v>25.334555138788868</c:v>
                </c:pt>
                <c:pt idx="233">
                  <c:v>25.822682494503351</c:v>
                </c:pt>
                <c:pt idx="234">
                  <c:v>26.310265364644128</c:v>
                </c:pt>
                <c:pt idx="235">
                  <c:v>26.79735418584783</c:v>
                </c:pt>
                <c:pt idx="236">
                  <c:v>27.283996299345254</c:v>
                </c:pt>
                <c:pt idx="237">
                  <c:v>27.770235017881646</c:v>
                </c:pt>
                <c:pt idx="238">
                  <c:v>28.25610834355841</c:v>
                </c:pt>
                <c:pt idx="239">
                  <c:v>28.741647304996103</c:v>
                </c:pt>
                <c:pt idx="240">
                  <c:v>29.226874030041252</c:v>
                </c:pt>
                <c:pt idx="241">
                  <c:v>29.711799935101809</c:v>
                </c:pt>
                <c:pt idx="242">
                  <c:v>30.196424637439879</c:v>
                </c:pt>
                <c:pt idx="243">
                  <c:v>30.680736075208188</c:v>
                </c:pt>
                <c:pt idx="244">
                  <c:v>31.164711798701649</c:v>
                </c:pt>
                <c:pt idx="245">
                  <c:v>31.648320907264981</c:v>
                </c:pt>
                <c:pt idx="246">
                  <c:v>32.13152603919395</c:v>
                </c:pt>
                <c:pt idx="247">
                  <c:v>32.614285068440722</c:v>
                </c:pt>
                <c:pt idx="248">
                  <c:v>33.096552417210866</c:v>
                </c:pt>
                <c:pt idx="249">
                  <c:v>33.578280026632314</c:v>
                </c:pt>
                <c:pt idx="250">
                  <c:v>34.059418064473391</c:v>
                </c:pt>
                <c:pt idx="251">
                  <c:v>34.539915442980885</c:v>
                </c:pt>
                <c:pt idx="252">
                  <c:v>35.019720202855851</c:v>
                </c:pt>
                <c:pt idx="253">
                  <c:v>35.498779803249114</c:v>
                </c:pt>
                <c:pt idx="254">
                  <c:v>35.977041345362842</c:v>
                </c:pt>
                <c:pt idx="255">
                  <c:v>36.454451748596298</c:v>
                </c:pt>
                <c:pt idx="256">
                  <c:v>36.930957892278265</c:v>
                </c:pt>
                <c:pt idx="257">
                  <c:v>37.406506732046353</c:v>
                </c:pt>
                <c:pt idx="258">
                  <c:v>37.881045397238339</c:v>
                </c:pt>
                <c:pt idx="259">
                  <c:v>38.354521273822911</c:v>
                </c:pt>
                <c:pt idx="260">
                  <c:v>38.826882076130886</c:v>
                </c:pt>
                <c:pt idx="261">
                  <c:v>39.298075909764833</c:v>
                </c:pt>
                <c:pt idx="262">
                  <c:v>39.768051327441853</c:v>
                </c:pt>
                <c:pt idx="263">
                  <c:v>40.236757379078881</c:v>
                </c:pt>
                <c:pt idx="264">
                  <c:v>40.704143657107913</c:v>
                </c:pt>
                <c:pt idx="265">
                  <c:v>41.170160337773211</c:v>
                </c:pt>
                <c:pt idx="266">
                  <c:v>41.634758218988722</c:v>
                </c:pt>
                <c:pt idx="267">
                  <c:v>42.097888755204117</c:v>
                </c:pt>
                <c:pt idx="268">
                  <c:v>42.559504089630359</c:v>
                </c:pt>
                <c:pt idx="269">
                  <c:v>43.01955708410155</c:v>
                </c:pt>
                <c:pt idx="270">
                  <c:v>43.478001346793185</c:v>
                </c:pt>
                <c:pt idx="271">
                  <c:v>43.934791257973494</c:v>
                </c:pt>
                <c:pt idx="272">
                  <c:v>44.389881993930715</c:v>
                </c:pt>
                <c:pt idx="273">
                  <c:v>44.843229549193111</c:v>
                </c:pt>
                <c:pt idx="274">
                  <c:v>45.294790757138045</c:v>
                </c:pt>
                <c:pt idx="275">
                  <c:v>45.744523309070509</c:v>
                </c:pt>
                <c:pt idx="276">
                  <c:v>46.192385771839028</c:v>
                </c:pt>
                <c:pt idx="277">
                  <c:v>46.638337604047038</c:v>
                </c:pt>
                <c:pt idx="278">
                  <c:v>47.082339170910245</c:v>
                </c:pt>
                <c:pt idx="279">
                  <c:v>47.524351757804453</c:v>
                </c:pt>
                <c:pt idx="280">
                  <c:v>47.964337582543727</c:v>
                </c:pt>
                <c:pt idx="281">
                  <c:v>48.402259806425249</c:v>
                </c:pt>
                <c:pt idx="282">
                  <c:v>48.838082544074368</c:v>
                </c:pt>
                <c:pt idx="283">
                  <c:v>49.271770872121436</c:v>
                </c:pt>
                <c:pt idx="284">
                  <c:v>49.703290836740386</c:v>
                </c:pt>
                <c:pt idx="285">
                  <c:v>50.132609460077994</c:v>
                </c:pt>
                <c:pt idx="286">
                  <c:v>50.559694745601924</c:v>
                </c:pt>
                <c:pt idx="287">
                  <c:v>50.984515682395291</c:v>
                </c:pt>
                <c:pt idx="288">
                  <c:v>51.407042248425029</c:v>
                </c:pt>
                <c:pt idx="289">
                  <c:v>51.827245412811337</c:v>
                </c:pt>
                <c:pt idx="290">
                  <c:v>52.245097137125484</c:v>
                </c:pt>
                <c:pt idx="291">
                  <c:v>52.660570375743177</c:v>
                </c:pt>
                <c:pt idx="292">
                  <c:v>53.073639075281051</c:v>
                </c:pt>
                <c:pt idx="293">
                  <c:v>53.484278173143814</c:v>
                </c:pt>
                <c:pt idx="294">
                  <c:v>53.892463595209932</c:v>
                </c:pt>
                <c:pt idx="295">
                  <c:v>54.298172252683848</c:v>
                </c:pt>
                <c:pt idx="296">
                  <c:v>54.701382038142945</c:v>
                </c:pt>
                <c:pt idx="297">
                  <c:v>55.102071820807737</c:v>
                </c:pt>
                <c:pt idx="298">
                  <c:v>55.500221441063765</c:v>
                </c:pt>
                <c:pt idx="299">
                  <c:v>55.895811704263963</c:v>
                </c:pt>
                <c:pt idx="300">
                  <c:v>56.288824373840264</c:v>
                </c:pt>
                <c:pt idx="301">
                  <c:v>56.288824373840264</c:v>
                </c:pt>
                <c:pt idx="302">
                  <c:v>56.288824373840264</c:v>
                </c:pt>
                <c:pt idx="303">
                  <c:v>56.288824373840264</c:v>
                </c:pt>
                <c:pt idx="304">
                  <c:v>56.288824373840264</c:v>
                </c:pt>
                <c:pt idx="305">
                  <c:v>56.288824373840264</c:v>
                </c:pt>
                <c:pt idx="306">
                  <c:v>56.288824373840264</c:v>
                </c:pt>
                <c:pt idx="307">
                  <c:v>56.288824373840264</c:v>
                </c:pt>
                <c:pt idx="308">
                  <c:v>56.288824373840264</c:v>
                </c:pt>
                <c:pt idx="309">
                  <c:v>56.288824373840264</c:v>
                </c:pt>
                <c:pt idx="310">
                  <c:v>56.288824373840264</c:v>
                </c:pt>
                <c:pt idx="311">
                  <c:v>56.288824373840264</c:v>
                </c:pt>
                <c:pt idx="312">
                  <c:v>56.288824373840264</c:v>
                </c:pt>
                <c:pt idx="313">
                  <c:v>56.288824373840264</c:v>
                </c:pt>
                <c:pt idx="314">
                  <c:v>56.288824373840264</c:v>
                </c:pt>
                <c:pt idx="315">
                  <c:v>56.288824373840264</c:v>
                </c:pt>
                <c:pt idx="316">
                  <c:v>56.288824373840264</c:v>
                </c:pt>
                <c:pt idx="317">
                  <c:v>56.288824373840264</c:v>
                </c:pt>
                <c:pt idx="318">
                  <c:v>56.288824373840264</c:v>
                </c:pt>
                <c:pt idx="319">
                  <c:v>56.288824373840264</c:v>
                </c:pt>
                <c:pt idx="320">
                  <c:v>56.288824373840264</c:v>
                </c:pt>
                <c:pt idx="321">
                  <c:v>56.288824373840264</c:v>
                </c:pt>
                <c:pt idx="322">
                  <c:v>56.288824373840264</c:v>
                </c:pt>
                <c:pt idx="323">
                  <c:v>56.288824373840264</c:v>
                </c:pt>
                <c:pt idx="324">
                  <c:v>56.288824373840264</c:v>
                </c:pt>
                <c:pt idx="325">
                  <c:v>56.288824373840264</c:v>
                </c:pt>
                <c:pt idx="326">
                  <c:v>56.288824373840264</c:v>
                </c:pt>
                <c:pt idx="327">
                  <c:v>56.288824373840264</c:v>
                </c:pt>
                <c:pt idx="328">
                  <c:v>56.288824373840264</c:v>
                </c:pt>
                <c:pt idx="329">
                  <c:v>56.288824373840264</c:v>
                </c:pt>
                <c:pt idx="330">
                  <c:v>56.288824373840264</c:v>
                </c:pt>
                <c:pt idx="331">
                  <c:v>56.288824373840264</c:v>
                </c:pt>
                <c:pt idx="332">
                  <c:v>56.288824373840264</c:v>
                </c:pt>
                <c:pt idx="333">
                  <c:v>56.288824373840264</c:v>
                </c:pt>
                <c:pt idx="334">
                  <c:v>56.288824373840264</c:v>
                </c:pt>
                <c:pt idx="335">
                  <c:v>56.288824373840264</c:v>
                </c:pt>
                <c:pt idx="336">
                  <c:v>56.288824373840264</c:v>
                </c:pt>
                <c:pt idx="337">
                  <c:v>56.288824373840264</c:v>
                </c:pt>
                <c:pt idx="338">
                  <c:v>56.288824373840264</c:v>
                </c:pt>
                <c:pt idx="339">
                  <c:v>56.288824373840264</c:v>
                </c:pt>
                <c:pt idx="340">
                  <c:v>56.288824373840264</c:v>
                </c:pt>
                <c:pt idx="341">
                  <c:v>56.288824373840264</c:v>
                </c:pt>
                <c:pt idx="342">
                  <c:v>56.288824373840264</c:v>
                </c:pt>
                <c:pt idx="343">
                  <c:v>56.288824373840264</c:v>
                </c:pt>
                <c:pt idx="344">
                  <c:v>56.288824373840264</c:v>
                </c:pt>
                <c:pt idx="345">
                  <c:v>56.288824373840264</c:v>
                </c:pt>
                <c:pt idx="346">
                  <c:v>56.288824373840264</c:v>
                </c:pt>
                <c:pt idx="347">
                  <c:v>56.288824373840264</c:v>
                </c:pt>
                <c:pt idx="348">
                  <c:v>56.288824373840264</c:v>
                </c:pt>
                <c:pt idx="349">
                  <c:v>56.288824373840264</c:v>
                </c:pt>
                <c:pt idx="350">
                  <c:v>56.288824373840264</c:v>
                </c:pt>
                <c:pt idx="351">
                  <c:v>56.288824373840264</c:v>
                </c:pt>
                <c:pt idx="352">
                  <c:v>56.288824373840264</c:v>
                </c:pt>
                <c:pt idx="353">
                  <c:v>56.288824373840264</c:v>
                </c:pt>
                <c:pt idx="354">
                  <c:v>56.288824373840264</c:v>
                </c:pt>
                <c:pt idx="355">
                  <c:v>56.288824373840264</c:v>
                </c:pt>
                <c:pt idx="356">
                  <c:v>56.288824373840264</c:v>
                </c:pt>
                <c:pt idx="357">
                  <c:v>56.288824373840264</c:v>
                </c:pt>
                <c:pt idx="358">
                  <c:v>56.288824373840264</c:v>
                </c:pt>
                <c:pt idx="359">
                  <c:v>56.288824373840264</c:v>
                </c:pt>
                <c:pt idx="360">
                  <c:v>56.288824373840264</c:v>
                </c:pt>
                <c:pt idx="361">
                  <c:v>56.288824373840264</c:v>
                </c:pt>
                <c:pt idx="362">
                  <c:v>56.288824373840264</c:v>
                </c:pt>
                <c:pt idx="363">
                  <c:v>56.288824373840264</c:v>
                </c:pt>
                <c:pt idx="364">
                  <c:v>56.288824373840264</c:v>
                </c:pt>
                <c:pt idx="365">
                  <c:v>56.288824373840264</c:v>
                </c:pt>
                <c:pt idx="366">
                  <c:v>56.288824373840264</c:v>
                </c:pt>
                <c:pt idx="367">
                  <c:v>56.288824373840264</c:v>
                </c:pt>
                <c:pt idx="368">
                  <c:v>56.288824373840264</c:v>
                </c:pt>
                <c:pt idx="369">
                  <c:v>56.288824373840264</c:v>
                </c:pt>
                <c:pt idx="370">
                  <c:v>56.288824373840264</c:v>
                </c:pt>
                <c:pt idx="371">
                  <c:v>56.288824373840264</c:v>
                </c:pt>
                <c:pt idx="372">
                  <c:v>56.288824373840264</c:v>
                </c:pt>
                <c:pt idx="373">
                  <c:v>56.288824373840264</c:v>
                </c:pt>
                <c:pt idx="374">
                  <c:v>56.288824373840264</c:v>
                </c:pt>
                <c:pt idx="375">
                  <c:v>56.288824373840264</c:v>
                </c:pt>
                <c:pt idx="376">
                  <c:v>56.288824373840264</c:v>
                </c:pt>
                <c:pt idx="377">
                  <c:v>56.288824373840264</c:v>
                </c:pt>
                <c:pt idx="378">
                  <c:v>56.288824373840264</c:v>
                </c:pt>
                <c:pt idx="379">
                  <c:v>56.288824373840264</c:v>
                </c:pt>
                <c:pt idx="380">
                  <c:v>56.288824373840264</c:v>
                </c:pt>
                <c:pt idx="381">
                  <c:v>56.288824373840264</c:v>
                </c:pt>
                <c:pt idx="382">
                  <c:v>56.288824373840264</c:v>
                </c:pt>
                <c:pt idx="383">
                  <c:v>56.288824373840264</c:v>
                </c:pt>
                <c:pt idx="384">
                  <c:v>56.288824373840264</c:v>
                </c:pt>
                <c:pt idx="385">
                  <c:v>56.288824373840264</c:v>
                </c:pt>
                <c:pt idx="386">
                  <c:v>56.288824373840264</c:v>
                </c:pt>
                <c:pt idx="387">
                  <c:v>56.288824373840264</c:v>
                </c:pt>
                <c:pt idx="388">
                  <c:v>56.288824373840264</c:v>
                </c:pt>
                <c:pt idx="389">
                  <c:v>56.288824373840264</c:v>
                </c:pt>
                <c:pt idx="390">
                  <c:v>56.288824373840264</c:v>
                </c:pt>
                <c:pt idx="391">
                  <c:v>56.288824373840264</c:v>
                </c:pt>
                <c:pt idx="392">
                  <c:v>56.288824373840264</c:v>
                </c:pt>
                <c:pt idx="393">
                  <c:v>56.288824373840264</c:v>
                </c:pt>
                <c:pt idx="394">
                  <c:v>56.288824373840264</c:v>
                </c:pt>
                <c:pt idx="395">
                  <c:v>56.288824373840264</c:v>
                </c:pt>
                <c:pt idx="396">
                  <c:v>56.288824373840264</c:v>
                </c:pt>
                <c:pt idx="397">
                  <c:v>56.288824373840264</c:v>
                </c:pt>
                <c:pt idx="398">
                  <c:v>56.288824373840264</c:v>
                </c:pt>
                <c:pt idx="399">
                  <c:v>56.288824373840264</c:v>
                </c:pt>
                <c:pt idx="400">
                  <c:v>56.288824373840264</c:v>
                </c:pt>
                <c:pt idx="401">
                  <c:v>56.288824373840264</c:v>
                </c:pt>
                <c:pt idx="402">
                  <c:v>56.288824373840264</c:v>
                </c:pt>
                <c:pt idx="403">
                  <c:v>56.288824373840264</c:v>
                </c:pt>
                <c:pt idx="404">
                  <c:v>56.288824373840264</c:v>
                </c:pt>
                <c:pt idx="405">
                  <c:v>56.288824373840264</c:v>
                </c:pt>
                <c:pt idx="406">
                  <c:v>56.288824373840264</c:v>
                </c:pt>
                <c:pt idx="407">
                  <c:v>56.288824373840264</c:v>
                </c:pt>
                <c:pt idx="408">
                  <c:v>56.288824373840264</c:v>
                </c:pt>
                <c:pt idx="409">
                  <c:v>56.288824373840264</c:v>
                </c:pt>
                <c:pt idx="410">
                  <c:v>56.288824373840264</c:v>
                </c:pt>
                <c:pt idx="411">
                  <c:v>56.288824373840264</c:v>
                </c:pt>
                <c:pt idx="412">
                  <c:v>56.288824373840264</c:v>
                </c:pt>
                <c:pt idx="413">
                  <c:v>56.288824373840264</c:v>
                </c:pt>
                <c:pt idx="414">
                  <c:v>56.288824373840264</c:v>
                </c:pt>
                <c:pt idx="415">
                  <c:v>56.288824373840264</c:v>
                </c:pt>
                <c:pt idx="416">
                  <c:v>56.288824373840264</c:v>
                </c:pt>
                <c:pt idx="417">
                  <c:v>56.288824373840264</c:v>
                </c:pt>
                <c:pt idx="418">
                  <c:v>56.288824373840264</c:v>
                </c:pt>
                <c:pt idx="419">
                  <c:v>56.288824373840264</c:v>
                </c:pt>
                <c:pt idx="420">
                  <c:v>56.288824373840264</c:v>
                </c:pt>
                <c:pt idx="421">
                  <c:v>56.288824373840264</c:v>
                </c:pt>
                <c:pt idx="422">
                  <c:v>56.288824373840264</c:v>
                </c:pt>
                <c:pt idx="423">
                  <c:v>56.288824373840264</c:v>
                </c:pt>
                <c:pt idx="424">
                  <c:v>56.288824373840264</c:v>
                </c:pt>
                <c:pt idx="425">
                  <c:v>56.288824373840264</c:v>
                </c:pt>
                <c:pt idx="426">
                  <c:v>56.288824373840264</c:v>
                </c:pt>
                <c:pt idx="427">
                  <c:v>56.288824373840264</c:v>
                </c:pt>
                <c:pt idx="428">
                  <c:v>56.288824373840264</c:v>
                </c:pt>
                <c:pt idx="429">
                  <c:v>56.288824373840264</c:v>
                </c:pt>
                <c:pt idx="430">
                  <c:v>56.288824373840264</c:v>
                </c:pt>
                <c:pt idx="431">
                  <c:v>56.288824373840264</c:v>
                </c:pt>
                <c:pt idx="432">
                  <c:v>56.288824373840264</c:v>
                </c:pt>
                <c:pt idx="433">
                  <c:v>56.288824373840264</c:v>
                </c:pt>
                <c:pt idx="434">
                  <c:v>56.288824373840264</c:v>
                </c:pt>
                <c:pt idx="435">
                  <c:v>56.288824373840264</c:v>
                </c:pt>
                <c:pt idx="436">
                  <c:v>56.288824373840264</c:v>
                </c:pt>
                <c:pt idx="437">
                  <c:v>56.288824373840264</c:v>
                </c:pt>
                <c:pt idx="438">
                  <c:v>56.288824373840264</c:v>
                </c:pt>
                <c:pt idx="439">
                  <c:v>56.288824373840264</c:v>
                </c:pt>
                <c:pt idx="440">
                  <c:v>56.288824373840264</c:v>
                </c:pt>
                <c:pt idx="441">
                  <c:v>56.288824373840264</c:v>
                </c:pt>
                <c:pt idx="442">
                  <c:v>56.288824373840264</c:v>
                </c:pt>
                <c:pt idx="443">
                  <c:v>56.288824373840264</c:v>
                </c:pt>
                <c:pt idx="444">
                  <c:v>56.288824373840264</c:v>
                </c:pt>
                <c:pt idx="445">
                  <c:v>56.288824373840264</c:v>
                </c:pt>
                <c:pt idx="446">
                  <c:v>56.288824373840264</c:v>
                </c:pt>
                <c:pt idx="447">
                  <c:v>56.288824373840264</c:v>
                </c:pt>
                <c:pt idx="448">
                  <c:v>56.288824373840264</c:v>
                </c:pt>
                <c:pt idx="449">
                  <c:v>56.288824373840264</c:v>
                </c:pt>
                <c:pt idx="450">
                  <c:v>56.288824373840264</c:v>
                </c:pt>
                <c:pt idx="451">
                  <c:v>56.288824373840264</c:v>
                </c:pt>
                <c:pt idx="452">
                  <c:v>56.288824373840264</c:v>
                </c:pt>
                <c:pt idx="453">
                  <c:v>56.288824373840264</c:v>
                </c:pt>
                <c:pt idx="454">
                  <c:v>56.288824373840264</c:v>
                </c:pt>
                <c:pt idx="455">
                  <c:v>56.288824373840264</c:v>
                </c:pt>
                <c:pt idx="456">
                  <c:v>56.288824373840264</c:v>
                </c:pt>
                <c:pt idx="457">
                  <c:v>56.288824373840264</c:v>
                </c:pt>
                <c:pt idx="458">
                  <c:v>56.288824373840264</c:v>
                </c:pt>
                <c:pt idx="459">
                  <c:v>56.288824373840264</c:v>
                </c:pt>
                <c:pt idx="460">
                  <c:v>56.288824373840264</c:v>
                </c:pt>
                <c:pt idx="461">
                  <c:v>56.288824373840264</c:v>
                </c:pt>
                <c:pt idx="462">
                  <c:v>56.288824373840264</c:v>
                </c:pt>
                <c:pt idx="463">
                  <c:v>56.288824373840264</c:v>
                </c:pt>
                <c:pt idx="464">
                  <c:v>56.288824373840264</c:v>
                </c:pt>
                <c:pt idx="465">
                  <c:v>56.288824373840264</c:v>
                </c:pt>
                <c:pt idx="466">
                  <c:v>56.288824373840264</c:v>
                </c:pt>
                <c:pt idx="467">
                  <c:v>56.288824373840264</c:v>
                </c:pt>
                <c:pt idx="468">
                  <c:v>56.288824373840264</c:v>
                </c:pt>
                <c:pt idx="469">
                  <c:v>56.288824373840264</c:v>
                </c:pt>
                <c:pt idx="470">
                  <c:v>56.288824373840264</c:v>
                </c:pt>
                <c:pt idx="471">
                  <c:v>56.288824373840264</c:v>
                </c:pt>
                <c:pt idx="472">
                  <c:v>56.288824373840264</c:v>
                </c:pt>
                <c:pt idx="473">
                  <c:v>56.288824373840264</c:v>
                </c:pt>
                <c:pt idx="474">
                  <c:v>56.288824373840264</c:v>
                </c:pt>
                <c:pt idx="475">
                  <c:v>56.288824373840264</c:v>
                </c:pt>
                <c:pt idx="476">
                  <c:v>56.288824373840264</c:v>
                </c:pt>
                <c:pt idx="477">
                  <c:v>56.288824373840264</c:v>
                </c:pt>
                <c:pt idx="478">
                  <c:v>56.288824373840264</c:v>
                </c:pt>
                <c:pt idx="479">
                  <c:v>56.288824373840264</c:v>
                </c:pt>
                <c:pt idx="480">
                  <c:v>56.288824373840264</c:v>
                </c:pt>
                <c:pt idx="481">
                  <c:v>56.288824373840264</c:v>
                </c:pt>
                <c:pt idx="482">
                  <c:v>56.288824373840264</c:v>
                </c:pt>
                <c:pt idx="483">
                  <c:v>56.288824373840264</c:v>
                </c:pt>
                <c:pt idx="484">
                  <c:v>56.288824373840264</c:v>
                </c:pt>
                <c:pt idx="485">
                  <c:v>56.288824373840264</c:v>
                </c:pt>
                <c:pt idx="486">
                  <c:v>56.288824373840264</c:v>
                </c:pt>
                <c:pt idx="487">
                  <c:v>56.288824373840264</c:v>
                </c:pt>
                <c:pt idx="488">
                  <c:v>56.288824373840264</c:v>
                </c:pt>
                <c:pt idx="489">
                  <c:v>56.288824373840264</c:v>
                </c:pt>
                <c:pt idx="490">
                  <c:v>56.288824373840264</c:v>
                </c:pt>
                <c:pt idx="491">
                  <c:v>56.288824373840264</c:v>
                </c:pt>
                <c:pt idx="492">
                  <c:v>56.288824373840264</c:v>
                </c:pt>
                <c:pt idx="493">
                  <c:v>56.288824373840264</c:v>
                </c:pt>
                <c:pt idx="494">
                  <c:v>56.288824373840264</c:v>
                </c:pt>
                <c:pt idx="495">
                  <c:v>56.288824373840264</c:v>
                </c:pt>
                <c:pt idx="496">
                  <c:v>56.288824373840264</c:v>
                </c:pt>
                <c:pt idx="497">
                  <c:v>56.288824373840264</c:v>
                </c:pt>
                <c:pt idx="498">
                  <c:v>56.288824373840264</c:v>
                </c:pt>
                <c:pt idx="499">
                  <c:v>56.288824373840264</c:v>
                </c:pt>
                <c:pt idx="500">
                  <c:v>56.288824373840264</c:v>
                </c:pt>
                <c:pt idx="501">
                  <c:v>56.288824373840264</c:v>
                </c:pt>
                <c:pt idx="502">
                  <c:v>56.288824373840264</c:v>
                </c:pt>
                <c:pt idx="503">
                  <c:v>56.288824373840264</c:v>
                </c:pt>
                <c:pt idx="504">
                  <c:v>56.288824373840264</c:v>
                </c:pt>
                <c:pt idx="505">
                  <c:v>56.288824373840264</c:v>
                </c:pt>
                <c:pt idx="506">
                  <c:v>56.288824373840264</c:v>
                </c:pt>
                <c:pt idx="507">
                  <c:v>56.288824373840264</c:v>
                </c:pt>
                <c:pt idx="508">
                  <c:v>56.288824373840264</c:v>
                </c:pt>
                <c:pt idx="509">
                  <c:v>56.288824373840264</c:v>
                </c:pt>
                <c:pt idx="510">
                  <c:v>56.288824373840264</c:v>
                </c:pt>
                <c:pt idx="511">
                  <c:v>56.288824373840264</c:v>
                </c:pt>
                <c:pt idx="512">
                  <c:v>56.288824373840264</c:v>
                </c:pt>
                <c:pt idx="513">
                  <c:v>56.288824373840264</c:v>
                </c:pt>
                <c:pt idx="514">
                  <c:v>56.288824373840264</c:v>
                </c:pt>
                <c:pt idx="515">
                  <c:v>56.288824373840264</c:v>
                </c:pt>
                <c:pt idx="516">
                  <c:v>56.288824373840264</c:v>
                </c:pt>
                <c:pt idx="517">
                  <c:v>56.288824373840264</c:v>
                </c:pt>
                <c:pt idx="518">
                  <c:v>56.288824373840264</c:v>
                </c:pt>
                <c:pt idx="519">
                  <c:v>56.288824373840264</c:v>
                </c:pt>
                <c:pt idx="520">
                  <c:v>56.288824373840264</c:v>
                </c:pt>
                <c:pt idx="521">
                  <c:v>56.288824373840264</c:v>
                </c:pt>
                <c:pt idx="522">
                  <c:v>56.288824373840264</c:v>
                </c:pt>
                <c:pt idx="523">
                  <c:v>56.288824373840264</c:v>
                </c:pt>
                <c:pt idx="524">
                  <c:v>56.288824373840264</c:v>
                </c:pt>
                <c:pt idx="525">
                  <c:v>56.288824373840264</c:v>
                </c:pt>
                <c:pt idx="526">
                  <c:v>56.288824373840264</c:v>
                </c:pt>
                <c:pt idx="527">
                  <c:v>56.288824373840264</c:v>
                </c:pt>
                <c:pt idx="528">
                  <c:v>56.288824373840264</c:v>
                </c:pt>
                <c:pt idx="529">
                  <c:v>56.288824373840264</c:v>
                </c:pt>
                <c:pt idx="530">
                  <c:v>56.288824373840264</c:v>
                </c:pt>
                <c:pt idx="531">
                  <c:v>56.288824373840264</c:v>
                </c:pt>
                <c:pt idx="532">
                  <c:v>56.288824373840264</c:v>
                </c:pt>
                <c:pt idx="533">
                  <c:v>56.288824373840264</c:v>
                </c:pt>
                <c:pt idx="534">
                  <c:v>56.288824373840264</c:v>
                </c:pt>
                <c:pt idx="535">
                  <c:v>56.288824373840264</c:v>
                </c:pt>
                <c:pt idx="536">
                  <c:v>56.288824373840264</c:v>
                </c:pt>
                <c:pt idx="537">
                  <c:v>56.288824373840264</c:v>
                </c:pt>
                <c:pt idx="538">
                  <c:v>56.288824373840264</c:v>
                </c:pt>
                <c:pt idx="539">
                  <c:v>56.288824373840264</c:v>
                </c:pt>
                <c:pt idx="540">
                  <c:v>56.288824373840264</c:v>
                </c:pt>
                <c:pt idx="541">
                  <c:v>56.288824373840264</c:v>
                </c:pt>
                <c:pt idx="542">
                  <c:v>56.288824373840264</c:v>
                </c:pt>
                <c:pt idx="543">
                  <c:v>56.288824373840264</c:v>
                </c:pt>
                <c:pt idx="544">
                  <c:v>56.288824373840264</c:v>
                </c:pt>
                <c:pt idx="545">
                  <c:v>56.288824373840264</c:v>
                </c:pt>
                <c:pt idx="546">
                  <c:v>56.288824373840264</c:v>
                </c:pt>
                <c:pt idx="547">
                  <c:v>56.288824373840264</c:v>
                </c:pt>
                <c:pt idx="548">
                  <c:v>56.288824373840264</c:v>
                </c:pt>
                <c:pt idx="549">
                  <c:v>56.288824373840264</c:v>
                </c:pt>
                <c:pt idx="550">
                  <c:v>56.288824373840264</c:v>
                </c:pt>
                <c:pt idx="551">
                  <c:v>56.288824373840264</c:v>
                </c:pt>
                <c:pt idx="552">
                  <c:v>56.288824373840264</c:v>
                </c:pt>
                <c:pt idx="553">
                  <c:v>56.288824373840264</c:v>
                </c:pt>
                <c:pt idx="554">
                  <c:v>56.288824373840264</c:v>
                </c:pt>
                <c:pt idx="555">
                  <c:v>56.288824373840264</c:v>
                </c:pt>
                <c:pt idx="556">
                  <c:v>56.288824373840264</c:v>
                </c:pt>
                <c:pt idx="557">
                  <c:v>56.288824373840264</c:v>
                </c:pt>
                <c:pt idx="558">
                  <c:v>56.288824373840264</c:v>
                </c:pt>
                <c:pt idx="559">
                  <c:v>56.288824373840264</c:v>
                </c:pt>
                <c:pt idx="560">
                  <c:v>56.288824373840264</c:v>
                </c:pt>
                <c:pt idx="561">
                  <c:v>56.288824373840264</c:v>
                </c:pt>
                <c:pt idx="562">
                  <c:v>56.288824373840264</c:v>
                </c:pt>
                <c:pt idx="563">
                  <c:v>56.288824373840264</c:v>
                </c:pt>
                <c:pt idx="564">
                  <c:v>56.288824373840264</c:v>
                </c:pt>
                <c:pt idx="565">
                  <c:v>56.288824373840264</c:v>
                </c:pt>
                <c:pt idx="566">
                  <c:v>56.288824373840264</c:v>
                </c:pt>
                <c:pt idx="567">
                  <c:v>56.288824373840264</c:v>
                </c:pt>
                <c:pt idx="568">
                  <c:v>56.288824373840264</c:v>
                </c:pt>
                <c:pt idx="569">
                  <c:v>56.288824373840264</c:v>
                </c:pt>
                <c:pt idx="570">
                  <c:v>56.288824373840264</c:v>
                </c:pt>
                <c:pt idx="571">
                  <c:v>56.288824373840264</c:v>
                </c:pt>
                <c:pt idx="572">
                  <c:v>56.288824373840264</c:v>
                </c:pt>
                <c:pt idx="573">
                  <c:v>56.288824373840264</c:v>
                </c:pt>
                <c:pt idx="574">
                  <c:v>56.288824373840264</c:v>
                </c:pt>
                <c:pt idx="575">
                  <c:v>56.288824373840264</c:v>
                </c:pt>
                <c:pt idx="576">
                  <c:v>56.288824373840264</c:v>
                </c:pt>
                <c:pt idx="577">
                  <c:v>56.288824373840264</c:v>
                </c:pt>
                <c:pt idx="578">
                  <c:v>56.288824373840264</c:v>
                </c:pt>
                <c:pt idx="579">
                  <c:v>56.288824373840264</c:v>
                </c:pt>
                <c:pt idx="580">
                  <c:v>56.288824373840264</c:v>
                </c:pt>
                <c:pt idx="581">
                  <c:v>56.288824373840264</c:v>
                </c:pt>
                <c:pt idx="582">
                  <c:v>56.288824373840264</c:v>
                </c:pt>
                <c:pt idx="583">
                  <c:v>56.288824373840264</c:v>
                </c:pt>
                <c:pt idx="584">
                  <c:v>56.288824373840264</c:v>
                </c:pt>
                <c:pt idx="585">
                  <c:v>56.288824373840264</c:v>
                </c:pt>
                <c:pt idx="586">
                  <c:v>56.288824373840264</c:v>
                </c:pt>
                <c:pt idx="587">
                  <c:v>56.288824373840264</c:v>
                </c:pt>
                <c:pt idx="588">
                  <c:v>56.288824373840264</c:v>
                </c:pt>
                <c:pt idx="589">
                  <c:v>56.288824373840264</c:v>
                </c:pt>
                <c:pt idx="590">
                  <c:v>56.288824373840264</c:v>
                </c:pt>
                <c:pt idx="591">
                  <c:v>56.288824373840264</c:v>
                </c:pt>
                <c:pt idx="592">
                  <c:v>56.288824373840264</c:v>
                </c:pt>
                <c:pt idx="593">
                  <c:v>56.288824373840264</c:v>
                </c:pt>
                <c:pt idx="594">
                  <c:v>56.288824373840264</c:v>
                </c:pt>
                <c:pt idx="595">
                  <c:v>56.288824373840264</c:v>
                </c:pt>
                <c:pt idx="596">
                  <c:v>56.288824373840264</c:v>
                </c:pt>
                <c:pt idx="597">
                  <c:v>56.288824373840264</c:v>
                </c:pt>
                <c:pt idx="598">
                  <c:v>56.288824373840264</c:v>
                </c:pt>
                <c:pt idx="599">
                  <c:v>56.288824373840264</c:v>
                </c:pt>
                <c:pt idx="600">
                  <c:v>56.288824373840264</c:v>
                </c:pt>
                <c:pt idx="601">
                  <c:v>56.288824373840264</c:v>
                </c:pt>
                <c:pt idx="602">
                  <c:v>56.288824373840264</c:v>
                </c:pt>
                <c:pt idx="603">
                  <c:v>56.288824373840264</c:v>
                </c:pt>
                <c:pt idx="604">
                  <c:v>56.288824373840264</c:v>
                </c:pt>
                <c:pt idx="605">
                  <c:v>56.288824373840264</c:v>
                </c:pt>
                <c:pt idx="606">
                  <c:v>56.288824373840264</c:v>
                </c:pt>
                <c:pt idx="607">
                  <c:v>56.288824373840264</c:v>
                </c:pt>
                <c:pt idx="608">
                  <c:v>56.288824373840264</c:v>
                </c:pt>
                <c:pt idx="609">
                  <c:v>56.288824373840264</c:v>
                </c:pt>
                <c:pt idx="610">
                  <c:v>56.288824373840264</c:v>
                </c:pt>
                <c:pt idx="611">
                  <c:v>56.288824373840264</c:v>
                </c:pt>
                <c:pt idx="612">
                  <c:v>56.288824373840264</c:v>
                </c:pt>
                <c:pt idx="613">
                  <c:v>56.288824373840264</c:v>
                </c:pt>
                <c:pt idx="614">
                  <c:v>56.288824373840264</c:v>
                </c:pt>
                <c:pt idx="615">
                  <c:v>56.288824373840264</c:v>
                </c:pt>
                <c:pt idx="616">
                  <c:v>56.288824373840264</c:v>
                </c:pt>
                <c:pt idx="617">
                  <c:v>56.288824373840264</c:v>
                </c:pt>
                <c:pt idx="618">
                  <c:v>56.288824373840264</c:v>
                </c:pt>
                <c:pt idx="619">
                  <c:v>56.288824373840264</c:v>
                </c:pt>
                <c:pt idx="620">
                  <c:v>56.288824373840264</c:v>
                </c:pt>
                <c:pt idx="621">
                  <c:v>56.288824373840264</c:v>
                </c:pt>
                <c:pt idx="622">
                  <c:v>56.288824373840264</c:v>
                </c:pt>
                <c:pt idx="623">
                  <c:v>56.288824373840264</c:v>
                </c:pt>
                <c:pt idx="624">
                  <c:v>56.288824373840264</c:v>
                </c:pt>
                <c:pt idx="625">
                  <c:v>56.288824373840264</c:v>
                </c:pt>
                <c:pt idx="626">
                  <c:v>56.288824373840264</c:v>
                </c:pt>
                <c:pt idx="627">
                  <c:v>56.288824373840264</c:v>
                </c:pt>
                <c:pt idx="628">
                  <c:v>56.288824373840264</c:v>
                </c:pt>
                <c:pt idx="629">
                  <c:v>56.288824373840264</c:v>
                </c:pt>
                <c:pt idx="630">
                  <c:v>56.288824373840264</c:v>
                </c:pt>
                <c:pt idx="631">
                  <c:v>56.288824373840264</c:v>
                </c:pt>
                <c:pt idx="632">
                  <c:v>56.288824373840264</c:v>
                </c:pt>
                <c:pt idx="633">
                  <c:v>56.288824373840264</c:v>
                </c:pt>
                <c:pt idx="634">
                  <c:v>56.288824373840264</c:v>
                </c:pt>
                <c:pt idx="635">
                  <c:v>56.288824373840264</c:v>
                </c:pt>
                <c:pt idx="636">
                  <c:v>56.288824373840264</c:v>
                </c:pt>
                <c:pt idx="637">
                  <c:v>56.288824373840264</c:v>
                </c:pt>
                <c:pt idx="638">
                  <c:v>56.288824373840264</c:v>
                </c:pt>
                <c:pt idx="639">
                  <c:v>56.288824373840264</c:v>
                </c:pt>
                <c:pt idx="640">
                  <c:v>56.288824373840264</c:v>
                </c:pt>
                <c:pt idx="641">
                  <c:v>56.288824373840264</c:v>
                </c:pt>
                <c:pt idx="642">
                  <c:v>56.288824373840264</c:v>
                </c:pt>
                <c:pt idx="643">
                  <c:v>56.288824373840264</c:v>
                </c:pt>
                <c:pt idx="644">
                  <c:v>56.288824373840264</c:v>
                </c:pt>
                <c:pt idx="645">
                  <c:v>56.288824373840264</c:v>
                </c:pt>
                <c:pt idx="646">
                  <c:v>56.288824373840264</c:v>
                </c:pt>
                <c:pt idx="647">
                  <c:v>56.288824373840264</c:v>
                </c:pt>
                <c:pt idx="648">
                  <c:v>56.288824373840264</c:v>
                </c:pt>
                <c:pt idx="649">
                  <c:v>56.288824373840264</c:v>
                </c:pt>
                <c:pt idx="650">
                  <c:v>56.288824373840264</c:v>
                </c:pt>
                <c:pt idx="651">
                  <c:v>56.288824373840264</c:v>
                </c:pt>
                <c:pt idx="652">
                  <c:v>56.288824373840264</c:v>
                </c:pt>
                <c:pt idx="653">
                  <c:v>56.288824373840264</c:v>
                </c:pt>
                <c:pt idx="654">
                  <c:v>56.288824373840264</c:v>
                </c:pt>
                <c:pt idx="655">
                  <c:v>56.288824373840264</c:v>
                </c:pt>
                <c:pt idx="656">
                  <c:v>56.288824373840264</c:v>
                </c:pt>
                <c:pt idx="657">
                  <c:v>56.288824373840264</c:v>
                </c:pt>
                <c:pt idx="658">
                  <c:v>56.288824373840264</c:v>
                </c:pt>
                <c:pt idx="659">
                  <c:v>56.288824373840264</c:v>
                </c:pt>
                <c:pt idx="660">
                  <c:v>56.288824373840264</c:v>
                </c:pt>
                <c:pt idx="661">
                  <c:v>56.288824373840264</c:v>
                </c:pt>
                <c:pt idx="662">
                  <c:v>56.288824373840264</c:v>
                </c:pt>
                <c:pt idx="663">
                  <c:v>56.288824373840264</c:v>
                </c:pt>
                <c:pt idx="664">
                  <c:v>56.288824373840264</c:v>
                </c:pt>
                <c:pt idx="665">
                  <c:v>56.288824373840264</c:v>
                </c:pt>
                <c:pt idx="666">
                  <c:v>56.288824373840264</c:v>
                </c:pt>
                <c:pt idx="667">
                  <c:v>56.288824373840264</c:v>
                </c:pt>
                <c:pt idx="668">
                  <c:v>56.288824373840264</c:v>
                </c:pt>
                <c:pt idx="669">
                  <c:v>56.288824373840264</c:v>
                </c:pt>
                <c:pt idx="670">
                  <c:v>56.288824373840264</c:v>
                </c:pt>
                <c:pt idx="671">
                  <c:v>56.288824373840264</c:v>
                </c:pt>
                <c:pt idx="672">
                  <c:v>56.288824373840264</c:v>
                </c:pt>
                <c:pt idx="673">
                  <c:v>56.288824373840264</c:v>
                </c:pt>
                <c:pt idx="674">
                  <c:v>56.288824373840264</c:v>
                </c:pt>
                <c:pt idx="675">
                  <c:v>56.288824373840264</c:v>
                </c:pt>
                <c:pt idx="676">
                  <c:v>56.288824373840264</c:v>
                </c:pt>
                <c:pt idx="677">
                  <c:v>56.288824373840264</c:v>
                </c:pt>
                <c:pt idx="678">
                  <c:v>56.288824373840264</c:v>
                </c:pt>
                <c:pt idx="679">
                  <c:v>56.288824373840264</c:v>
                </c:pt>
                <c:pt idx="680">
                  <c:v>56.288824373840264</c:v>
                </c:pt>
                <c:pt idx="681">
                  <c:v>56.288824373840264</c:v>
                </c:pt>
                <c:pt idx="682">
                  <c:v>56.288824373840264</c:v>
                </c:pt>
                <c:pt idx="683">
                  <c:v>56.288824373840264</c:v>
                </c:pt>
                <c:pt idx="684">
                  <c:v>56.288824373840264</c:v>
                </c:pt>
                <c:pt idx="685">
                  <c:v>56.288824373840264</c:v>
                </c:pt>
                <c:pt idx="686">
                  <c:v>56.288824373840264</c:v>
                </c:pt>
                <c:pt idx="687">
                  <c:v>56.288824373840264</c:v>
                </c:pt>
                <c:pt idx="688">
                  <c:v>56.288824373840264</c:v>
                </c:pt>
                <c:pt idx="689">
                  <c:v>56.288824373840264</c:v>
                </c:pt>
                <c:pt idx="690">
                  <c:v>56.288824373840264</c:v>
                </c:pt>
                <c:pt idx="691">
                  <c:v>56.288824373840264</c:v>
                </c:pt>
                <c:pt idx="692">
                  <c:v>56.288824373840264</c:v>
                </c:pt>
                <c:pt idx="693">
                  <c:v>56.288824373840264</c:v>
                </c:pt>
                <c:pt idx="694">
                  <c:v>56.288824373840264</c:v>
                </c:pt>
                <c:pt idx="695">
                  <c:v>56.288824373840264</c:v>
                </c:pt>
                <c:pt idx="696">
                  <c:v>56.288824373840264</c:v>
                </c:pt>
                <c:pt idx="697">
                  <c:v>56.288824373840264</c:v>
                </c:pt>
                <c:pt idx="698">
                  <c:v>56.288824373840264</c:v>
                </c:pt>
                <c:pt idx="699">
                  <c:v>56.288824373840264</c:v>
                </c:pt>
                <c:pt idx="700">
                  <c:v>56.288824373840264</c:v>
                </c:pt>
                <c:pt idx="701">
                  <c:v>56.288824373840264</c:v>
                </c:pt>
                <c:pt idx="702">
                  <c:v>56.288824373840264</c:v>
                </c:pt>
                <c:pt idx="703">
                  <c:v>56.288824373840264</c:v>
                </c:pt>
                <c:pt idx="704">
                  <c:v>56.288824373840264</c:v>
                </c:pt>
                <c:pt idx="705">
                  <c:v>56.288824373840264</c:v>
                </c:pt>
                <c:pt idx="706">
                  <c:v>56.288824373840264</c:v>
                </c:pt>
                <c:pt idx="707">
                  <c:v>56.288824373840264</c:v>
                </c:pt>
                <c:pt idx="708">
                  <c:v>56.288824373840264</c:v>
                </c:pt>
                <c:pt idx="709">
                  <c:v>56.288824373840264</c:v>
                </c:pt>
                <c:pt idx="710">
                  <c:v>56.288824373840264</c:v>
                </c:pt>
                <c:pt idx="711">
                  <c:v>56.288824373840264</c:v>
                </c:pt>
                <c:pt idx="712">
                  <c:v>56.288824373840264</c:v>
                </c:pt>
                <c:pt idx="713">
                  <c:v>56.288824373840264</c:v>
                </c:pt>
                <c:pt idx="714">
                  <c:v>56.288824373840264</c:v>
                </c:pt>
                <c:pt idx="715">
                  <c:v>56.288824373840264</c:v>
                </c:pt>
                <c:pt idx="716">
                  <c:v>56.288824373840264</c:v>
                </c:pt>
                <c:pt idx="717">
                  <c:v>56.288824373840264</c:v>
                </c:pt>
                <c:pt idx="718">
                  <c:v>56.288824373840264</c:v>
                </c:pt>
                <c:pt idx="719">
                  <c:v>56.288824373840264</c:v>
                </c:pt>
                <c:pt idx="720">
                  <c:v>56.288824373840264</c:v>
                </c:pt>
                <c:pt idx="721">
                  <c:v>56.288824373840264</c:v>
                </c:pt>
                <c:pt idx="722">
                  <c:v>56.288824373840264</c:v>
                </c:pt>
                <c:pt idx="723">
                  <c:v>56.288824373840264</c:v>
                </c:pt>
                <c:pt idx="724">
                  <c:v>56.288824373840264</c:v>
                </c:pt>
                <c:pt idx="725">
                  <c:v>56.288824373840264</c:v>
                </c:pt>
                <c:pt idx="726">
                  <c:v>56.288824373840264</c:v>
                </c:pt>
                <c:pt idx="727">
                  <c:v>56.288824373840264</c:v>
                </c:pt>
                <c:pt idx="728">
                  <c:v>56.288824373840264</c:v>
                </c:pt>
                <c:pt idx="729">
                  <c:v>56.288824373840264</c:v>
                </c:pt>
                <c:pt idx="730">
                  <c:v>56.288824373840264</c:v>
                </c:pt>
                <c:pt idx="731">
                  <c:v>56.288824373840264</c:v>
                </c:pt>
                <c:pt idx="732">
                  <c:v>56.288824373840264</c:v>
                </c:pt>
                <c:pt idx="733">
                  <c:v>56.288824373840264</c:v>
                </c:pt>
                <c:pt idx="734">
                  <c:v>56.288824373840264</c:v>
                </c:pt>
                <c:pt idx="735">
                  <c:v>56.288824373840264</c:v>
                </c:pt>
                <c:pt idx="736">
                  <c:v>56.288824373840264</c:v>
                </c:pt>
                <c:pt idx="737">
                  <c:v>56.288824373840264</c:v>
                </c:pt>
                <c:pt idx="738">
                  <c:v>56.288824373840264</c:v>
                </c:pt>
                <c:pt idx="739">
                  <c:v>56.288824373840264</c:v>
                </c:pt>
                <c:pt idx="740">
                  <c:v>56.288824373840264</c:v>
                </c:pt>
                <c:pt idx="741">
                  <c:v>56.288824373840264</c:v>
                </c:pt>
                <c:pt idx="742">
                  <c:v>56.288824373840264</c:v>
                </c:pt>
                <c:pt idx="743">
                  <c:v>56.288824373840264</c:v>
                </c:pt>
                <c:pt idx="744">
                  <c:v>56.288824373840264</c:v>
                </c:pt>
                <c:pt idx="745">
                  <c:v>56.288824373840264</c:v>
                </c:pt>
                <c:pt idx="746">
                  <c:v>56.288824373840264</c:v>
                </c:pt>
                <c:pt idx="747">
                  <c:v>56.288824373840264</c:v>
                </c:pt>
                <c:pt idx="748">
                  <c:v>56.288824373840264</c:v>
                </c:pt>
                <c:pt idx="749">
                  <c:v>56.288824373840264</c:v>
                </c:pt>
                <c:pt idx="750">
                  <c:v>56.288824373840264</c:v>
                </c:pt>
                <c:pt idx="751">
                  <c:v>56.288824373840264</c:v>
                </c:pt>
                <c:pt idx="752">
                  <c:v>56.288824373840264</c:v>
                </c:pt>
                <c:pt idx="753">
                  <c:v>56.288824373840264</c:v>
                </c:pt>
                <c:pt idx="754">
                  <c:v>56.288824373840264</c:v>
                </c:pt>
                <c:pt idx="755">
                  <c:v>56.288824373840264</c:v>
                </c:pt>
                <c:pt idx="756">
                  <c:v>56.288824373840264</c:v>
                </c:pt>
                <c:pt idx="757">
                  <c:v>56.288824373840264</c:v>
                </c:pt>
                <c:pt idx="758">
                  <c:v>56.288824373840264</c:v>
                </c:pt>
                <c:pt idx="759">
                  <c:v>56.288824373840264</c:v>
                </c:pt>
                <c:pt idx="760">
                  <c:v>56.288824373840264</c:v>
                </c:pt>
                <c:pt idx="761">
                  <c:v>56.288824373840264</c:v>
                </c:pt>
                <c:pt idx="762">
                  <c:v>56.288824373840264</c:v>
                </c:pt>
                <c:pt idx="763">
                  <c:v>56.288824373840264</c:v>
                </c:pt>
                <c:pt idx="764">
                  <c:v>56.288824373840264</c:v>
                </c:pt>
                <c:pt idx="765">
                  <c:v>56.288824373840264</c:v>
                </c:pt>
                <c:pt idx="766">
                  <c:v>56.288824373840264</c:v>
                </c:pt>
                <c:pt idx="767">
                  <c:v>56.288824373840264</c:v>
                </c:pt>
                <c:pt idx="768">
                  <c:v>56.288824373840264</c:v>
                </c:pt>
                <c:pt idx="769">
                  <c:v>56.288824373840264</c:v>
                </c:pt>
                <c:pt idx="770">
                  <c:v>56.288824373840264</c:v>
                </c:pt>
                <c:pt idx="771">
                  <c:v>56.288824373840264</c:v>
                </c:pt>
                <c:pt idx="772">
                  <c:v>56.288824373840264</c:v>
                </c:pt>
                <c:pt idx="773">
                  <c:v>56.288824373840264</c:v>
                </c:pt>
                <c:pt idx="774">
                  <c:v>56.288824373840264</c:v>
                </c:pt>
                <c:pt idx="775">
                  <c:v>56.288824373840264</c:v>
                </c:pt>
                <c:pt idx="776">
                  <c:v>56.288824373840264</c:v>
                </c:pt>
                <c:pt idx="777">
                  <c:v>56.288824373840264</c:v>
                </c:pt>
                <c:pt idx="778">
                  <c:v>56.288824373840264</c:v>
                </c:pt>
                <c:pt idx="779">
                  <c:v>56.288824373840264</c:v>
                </c:pt>
                <c:pt idx="780">
                  <c:v>56.288824373840264</c:v>
                </c:pt>
                <c:pt idx="781">
                  <c:v>56.288824373840264</c:v>
                </c:pt>
                <c:pt idx="782">
                  <c:v>56.288824373840264</c:v>
                </c:pt>
                <c:pt idx="783">
                  <c:v>56.288824373840264</c:v>
                </c:pt>
                <c:pt idx="784">
                  <c:v>56.288824373840264</c:v>
                </c:pt>
                <c:pt idx="785">
                  <c:v>56.288824373840264</c:v>
                </c:pt>
                <c:pt idx="786">
                  <c:v>56.288824373840264</c:v>
                </c:pt>
                <c:pt idx="787">
                  <c:v>56.288824373840264</c:v>
                </c:pt>
                <c:pt idx="788">
                  <c:v>56.288824373840264</c:v>
                </c:pt>
                <c:pt idx="789">
                  <c:v>56.288824373840264</c:v>
                </c:pt>
                <c:pt idx="790">
                  <c:v>56.288824373840264</c:v>
                </c:pt>
                <c:pt idx="791">
                  <c:v>56.288824373840264</c:v>
                </c:pt>
                <c:pt idx="792">
                  <c:v>56.288824373840264</c:v>
                </c:pt>
                <c:pt idx="793">
                  <c:v>56.288824373840264</c:v>
                </c:pt>
                <c:pt idx="794">
                  <c:v>56.288824373840264</c:v>
                </c:pt>
                <c:pt idx="795">
                  <c:v>56.288824373840264</c:v>
                </c:pt>
                <c:pt idx="796">
                  <c:v>56.288824373840264</c:v>
                </c:pt>
                <c:pt idx="797">
                  <c:v>56.288824373840264</c:v>
                </c:pt>
                <c:pt idx="798">
                  <c:v>56.288824373840264</c:v>
                </c:pt>
                <c:pt idx="799">
                  <c:v>56.288824373840264</c:v>
                </c:pt>
                <c:pt idx="800">
                  <c:v>56.288824373840264</c:v>
                </c:pt>
                <c:pt idx="801">
                  <c:v>56.288824373840264</c:v>
                </c:pt>
                <c:pt idx="802">
                  <c:v>56.288824373840264</c:v>
                </c:pt>
                <c:pt idx="803">
                  <c:v>56.288824373840264</c:v>
                </c:pt>
                <c:pt idx="804">
                  <c:v>56.288824373840264</c:v>
                </c:pt>
                <c:pt idx="805">
                  <c:v>56.288824373840264</c:v>
                </c:pt>
                <c:pt idx="806">
                  <c:v>56.288824373840264</c:v>
                </c:pt>
                <c:pt idx="807">
                  <c:v>56.288824373840264</c:v>
                </c:pt>
                <c:pt idx="808">
                  <c:v>56.288824373840264</c:v>
                </c:pt>
                <c:pt idx="809">
                  <c:v>56.288824373840264</c:v>
                </c:pt>
                <c:pt idx="810">
                  <c:v>56.288824373840264</c:v>
                </c:pt>
                <c:pt idx="811">
                  <c:v>56.288824373840264</c:v>
                </c:pt>
                <c:pt idx="812">
                  <c:v>56.288824373840264</c:v>
                </c:pt>
                <c:pt idx="813">
                  <c:v>56.288824373840264</c:v>
                </c:pt>
                <c:pt idx="814">
                  <c:v>56.288824373840264</c:v>
                </c:pt>
                <c:pt idx="815">
                  <c:v>56.288824373840264</c:v>
                </c:pt>
                <c:pt idx="816">
                  <c:v>56.288824373840264</c:v>
                </c:pt>
                <c:pt idx="817">
                  <c:v>56.288824373840264</c:v>
                </c:pt>
                <c:pt idx="818">
                  <c:v>56.288824373840264</c:v>
                </c:pt>
                <c:pt idx="819">
                  <c:v>56.288824373840264</c:v>
                </c:pt>
                <c:pt idx="820">
                  <c:v>56.288824373840264</c:v>
                </c:pt>
                <c:pt idx="821">
                  <c:v>56.288824373840264</c:v>
                </c:pt>
                <c:pt idx="822">
                  <c:v>56.288824373840264</c:v>
                </c:pt>
                <c:pt idx="823">
                  <c:v>56.288824373840264</c:v>
                </c:pt>
                <c:pt idx="824">
                  <c:v>56.288824373840264</c:v>
                </c:pt>
                <c:pt idx="825">
                  <c:v>56.288824373840264</c:v>
                </c:pt>
                <c:pt idx="826">
                  <c:v>56.288824373840264</c:v>
                </c:pt>
                <c:pt idx="827">
                  <c:v>56.288824373840264</c:v>
                </c:pt>
                <c:pt idx="828">
                  <c:v>56.288824373840264</c:v>
                </c:pt>
                <c:pt idx="829">
                  <c:v>56.288824373840264</c:v>
                </c:pt>
                <c:pt idx="830">
                  <c:v>56.288824373840264</c:v>
                </c:pt>
                <c:pt idx="831">
                  <c:v>56.288824373840264</c:v>
                </c:pt>
                <c:pt idx="832">
                  <c:v>56.288824373840264</c:v>
                </c:pt>
                <c:pt idx="833">
                  <c:v>56.288824373840264</c:v>
                </c:pt>
                <c:pt idx="834">
                  <c:v>56.288824373840264</c:v>
                </c:pt>
                <c:pt idx="835">
                  <c:v>56.288824373840264</c:v>
                </c:pt>
                <c:pt idx="836">
                  <c:v>56.288824373840264</c:v>
                </c:pt>
                <c:pt idx="837">
                  <c:v>56.288824373840264</c:v>
                </c:pt>
                <c:pt idx="838">
                  <c:v>56.288824373840264</c:v>
                </c:pt>
                <c:pt idx="839">
                  <c:v>56.288824373840264</c:v>
                </c:pt>
                <c:pt idx="840">
                  <c:v>56.288824373840264</c:v>
                </c:pt>
                <c:pt idx="841">
                  <c:v>56.288824373840264</c:v>
                </c:pt>
                <c:pt idx="842">
                  <c:v>56.288824373840264</c:v>
                </c:pt>
                <c:pt idx="843">
                  <c:v>56.288824373840264</c:v>
                </c:pt>
                <c:pt idx="844">
                  <c:v>56.288824373840264</c:v>
                </c:pt>
                <c:pt idx="845">
                  <c:v>56.288824373840264</c:v>
                </c:pt>
                <c:pt idx="846">
                  <c:v>56.288824373840264</c:v>
                </c:pt>
                <c:pt idx="847">
                  <c:v>56.288824373840264</c:v>
                </c:pt>
                <c:pt idx="848">
                  <c:v>56.288824373840264</c:v>
                </c:pt>
                <c:pt idx="849">
                  <c:v>56.288824373840264</c:v>
                </c:pt>
                <c:pt idx="850">
                  <c:v>56.288824373840264</c:v>
                </c:pt>
                <c:pt idx="851">
                  <c:v>56.288824373840264</c:v>
                </c:pt>
                <c:pt idx="852">
                  <c:v>56.288824373840264</c:v>
                </c:pt>
                <c:pt idx="853">
                  <c:v>56.288824373840264</c:v>
                </c:pt>
                <c:pt idx="854">
                  <c:v>56.288824373840264</c:v>
                </c:pt>
                <c:pt idx="855">
                  <c:v>56.288824373840264</c:v>
                </c:pt>
                <c:pt idx="856">
                  <c:v>56.288824373840264</c:v>
                </c:pt>
                <c:pt idx="857">
                  <c:v>56.288824373840264</c:v>
                </c:pt>
                <c:pt idx="858">
                  <c:v>56.288824373840264</c:v>
                </c:pt>
                <c:pt idx="859">
                  <c:v>56.288824373840264</c:v>
                </c:pt>
                <c:pt idx="860">
                  <c:v>56.288824373840264</c:v>
                </c:pt>
                <c:pt idx="861">
                  <c:v>56.288824373840264</c:v>
                </c:pt>
                <c:pt idx="862">
                  <c:v>56.288824373840264</c:v>
                </c:pt>
                <c:pt idx="863">
                  <c:v>56.288824373840264</c:v>
                </c:pt>
                <c:pt idx="864">
                  <c:v>56.288824373840264</c:v>
                </c:pt>
                <c:pt idx="865">
                  <c:v>56.288824373840264</c:v>
                </c:pt>
                <c:pt idx="866">
                  <c:v>56.288824373840264</c:v>
                </c:pt>
                <c:pt idx="867">
                  <c:v>56.288824373840264</c:v>
                </c:pt>
                <c:pt idx="868">
                  <c:v>56.288824373840264</c:v>
                </c:pt>
                <c:pt idx="869">
                  <c:v>56.288824373840264</c:v>
                </c:pt>
                <c:pt idx="870">
                  <c:v>56.288824373840264</c:v>
                </c:pt>
                <c:pt idx="871">
                  <c:v>56.288824373840264</c:v>
                </c:pt>
                <c:pt idx="872">
                  <c:v>56.288824373840264</c:v>
                </c:pt>
                <c:pt idx="873">
                  <c:v>56.288824373840264</c:v>
                </c:pt>
                <c:pt idx="874">
                  <c:v>56.288824373840264</c:v>
                </c:pt>
                <c:pt idx="875">
                  <c:v>56.288824373840264</c:v>
                </c:pt>
                <c:pt idx="876">
                  <c:v>56.288824373840264</c:v>
                </c:pt>
                <c:pt idx="877">
                  <c:v>56.288824373840264</c:v>
                </c:pt>
                <c:pt idx="878">
                  <c:v>56.288824373840264</c:v>
                </c:pt>
                <c:pt idx="879">
                  <c:v>56.288824373840264</c:v>
                </c:pt>
                <c:pt idx="880">
                  <c:v>56.288824373840264</c:v>
                </c:pt>
                <c:pt idx="881">
                  <c:v>56.288824373840264</c:v>
                </c:pt>
                <c:pt idx="882">
                  <c:v>56.288824373840264</c:v>
                </c:pt>
                <c:pt idx="883">
                  <c:v>56.288824373840264</c:v>
                </c:pt>
                <c:pt idx="884">
                  <c:v>56.288824373840264</c:v>
                </c:pt>
                <c:pt idx="885">
                  <c:v>56.288824373840264</c:v>
                </c:pt>
                <c:pt idx="886">
                  <c:v>56.288824373840264</c:v>
                </c:pt>
                <c:pt idx="887">
                  <c:v>56.288824373840264</c:v>
                </c:pt>
                <c:pt idx="888">
                  <c:v>56.288824373840264</c:v>
                </c:pt>
                <c:pt idx="889">
                  <c:v>56.288824373840264</c:v>
                </c:pt>
                <c:pt idx="890">
                  <c:v>56.288824373840264</c:v>
                </c:pt>
                <c:pt idx="891">
                  <c:v>56.288824373840264</c:v>
                </c:pt>
                <c:pt idx="892">
                  <c:v>56.288824373840264</c:v>
                </c:pt>
                <c:pt idx="893">
                  <c:v>56.288824373840264</c:v>
                </c:pt>
                <c:pt idx="894">
                  <c:v>56.288824373840264</c:v>
                </c:pt>
                <c:pt idx="895">
                  <c:v>56.288824373840264</c:v>
                </c:pt>
                <c:pt idx="896">
                  <c:v>56.288824373840264</c:v>
                </c:pt>
                <c:pt idx="897">
                  <c:v>56.288824373840264</c:v>
                </c:pt>
                <c:pt idx="898">
                  <c:v>56.288824373840264</c:v>
                </c:pt>
                <c:pt idx="899">
                  <c:v>56.288824373840264</c:v>
                </c:pt>
                <c:pt idx="900">
                  <c:v>56.288824373840264</c:v>
                </c:pt>
                <c:pt idx="901">
                  <c:v>56.288824373840264</c:v>
                </c:pt>
                <c:pt idx="902">
                  <c:v>56.288824373840264</c:v>
                </c:pt>
                <c:pt idx="903">
                  <c:v>56.288824373840264</c:v>
                </c:pt>
                <c:pt idx="904">
                  <c:v>56.288824373840264</c:v>
                </c:pt>
                <c:pt idx="905">
                  <c:v>56.288824373840264</c:v>
                </c:pt>
                <c:pt idx="906">
                  <c:v>56.288824373840264</c:v>
                </c:pt>
                <c:pt idx="907">
                  <c:v>56.288824373840264</c:v>
                </c:pt>
                <c:pt idx="908">
                  <c:v>56.288824373840264</c:v>
                </c:pt>
                <c:pt idx="909">
                  <c:v>56.288824373840264</c:v>
                </c:pt>
                <c:pt idx="910">
                  <c:v>56.288824373840264</c:v>
                </c:pt>
                <c:pt idx="911">
                  <c:v>56.288824373840264</c:v>
                </c:pt>
                <c:pt idx="912">
                  <c:v>56.288824373840264</c:v>
                </c:pt>
                <c:pt idx="913">
                  <c:v>56.288824373840264</c:v>
                </c:pt>
                <c:pt idx="914">
                  <c:v>56.288824373840264</c:v>
                </c:pt>
                <c:pt idx="915">
                  <c:v>56.288824373840264</c:v>
                </c:pt>
                <c:pt idx="916">
                  <c:v>56.288824373840264</c:v>
                </c:pt>
                <c:pt idx="917">
                  <c:v>56.288824373840264</c:v>
                </c:pt>
                <c:pt idx="918">
                  <c:v>56.288824373840264</c:v>
                </c:pt>
                <c:pt idx="919">
                  <c:v>56.288824373840264</c:v>
                </c:pt>
                <c:pt idx="920">
                  <c:v>56.288824373840264</c:v>
                </c:pt>
                <c:pt idx="921">
                  <c:v>56.288824373840264</c:v>
                </c:pt>
                <c:pt idx="922">
                  <c:v>56.288824373840264</c:v>
                </c:pt>
                <c:pt idx="923">
                  <c:v>56.288824373840264</c:v>
                </c:pt>
                <c:pt idx="924">
                  <c:v>56.288824373840264</c:v>
                </c:pt>
                <c:pt idx="925">
                  <c:v>56.288824373840264</c:v>
                </c:pt>
                <c:pt idx="926">
                  <c:v>56.288824373840264</c:v>
                </c:pt>
                <c:pt idx="927">
                  <c:v>56.288824373840264</c:v>
                </c:pt>
                <c:pt idx="928">
                  <c:v>56.288824373840264</c:v>
                </c:pt>
                <c:pt idx="929">
                  <c:v>56.288824373840264</c:v>
                </c:pt>
                <c:pt idx="930">
                  <c:v>56.288824373840264</c:v>
                </c:pt>
                <c:pt idx="931">
                  <c:v>56.288824373840264</c:v>
                </c:pt>
                <c:pt idx="932">
                  <c:v>56.288824373840264</c:v>
                </c:pt>
                <c:pt idx="933">
                  <c:v>56.288824373840264</c:v>
                </c:pt>
                <c:pt idx="934">
                  <c:v>56.288824373840264</c:v>
                </c:pt>
                <c:pt idx="935">
                  <c:v>56.288824373840264</c:v>
                </c:pt>
                <c:pt idx="936">
                  <c:v>56.288824373840264</c:v>
                </c:pt>
                <c:pt idx="937">
                  <c:v>56.288824373840264</c:v>
                </c:pt>
                <c:pt idx="938">
                  <c:v>56.288824373840264</c:v>
                </c:pt>
                <c:pt idx="939">
                  <c:v>56.288824373840264</c:v>
                </c:pt>
                <c:pt idx="940">
                  <c:v>56.288824373840264</c:v>
                </c:pt>
                <c:pt idx="941">
                  <c:v>56.288824373840264</c:v>
                </c:pt>
                <c:pt idx="942">
                  <c:v>56.288824373840264</c:v>
                </c:pt>
                <c:pt idx="943">
                  <c:v>56.288824373840264</c:v>
                </c:pt>
                <c:pt idx="944">
                  <c:v>56.288824373840264</c:v>
                </c:pt>
                <c:pt idx="945">
                  <c:v>56.288824373840264</c:v>
                </c:pt>
                <c:pt idx="946">
                  <c:v>56.288824373840264</c:v>
                </c:pt>
                <c:pt idx="947">
                  <c:v>56.288824373840264</c:v>
                </c:pt>
                <c:pt idx="948">
                  <c:v>56.288824373840264</c:v>
                </c:pt>
                <c:pt idx="949">
                  <c:v>56.288824373840264</c:v>
                </c:pt>
                <c:pt idx="950">
                  <c:v>56.288824373840264</c:v>
                </c:pt>
                <c:pt idx="951">
                  <c:v>56.288824373840264</c:v>
                </c:pt>
                <c:pt idx="952">
                  <c:v>56.288824373840264</c:v>
                </c:pt>
                <c:pt idx="953">
                  <c:v>56.288824373840264</c:v>
                </c:pt>
                <c:pt idx="954">
                  <c:v>56.288824373840264</c:v>
                </c:pt>
                <c:pt idx="955">
                  <c:v>56.288824373840264</c:v>
                </c:pt>
                <c:pt idx="956">
                  <c:v>56.288824373840264</c:v>
                </c:pt>
                <c:pt idx="957">
                  <c:v>56.288824373840264</c:v>
                </c:pt>
                <c:pt idx="958">
                  <c:v>56.288824373840264</c:v>
                </c:pt>
                <c:pt idx="959">
                  <c:v>56.288824373840264</c:v>
                </c:pt>
                <c:pt idx="960">
                  <c:v>56.288824373840264</c:v>
                </c:pt>
                <c:pt idx="961">
                  <c:v>56.288824373840264</c:v>
                </c:pt>
                <c:pt idx="962">
                  <c:v>56.288824373840264</c:v>
                </c:pt>
                <c:pt idx="963">
                  <c:v>56.288824373840264</c:v>
                </c:pt>
                <c:pt idx="964">
                  <c:v>56.288824373840264</c:v>
                </c:pt>
                <c:pt idx="965">
                  <c:v>56.288824373840264</c:v>
                </c:pt>
                <c:pt idx="966">
                  <c:v>56.288824373840264</c:v>
                </c:pt>
                <c:pt idx="967">
                  <c:v>56.288824373840264</c:v>
                </c:pt>
                <c:pt idx="968">
                  <c:v>56.288824373840264</c:v>
                </c:pt>
                <c:pt idx="969">
                  <c:v>56.288824373840264</c:v>
                </c:pt>
                <c:pt idx="970">
                  <c:v>56.288824373840264</c:v>
                </c:pt>
                <c:pt idx="971">
                  <c:v>56.288824373840264</c:v>
                </c:pt>
                <c:pt idx="972">
                  <c:v>56.288824373840264</c:v>
                </c:pt>
                <c:pt idx="973">
                  <c:v>56.288824373840264</c:v>
                </c:pt>
                <c:pt idx="974">
                  <c:v>56.288824373840264</c:v>
                </c:pt>
                <c:pt idx="975">
                  <c:v>56.288824373840264</c:v>
                </c:pt>
                <c:pt idx="976">
                  <c:v>56.288824373840264</c:v>
                </c:pt>
                <c:pt idx="977">
                  <c:v>56.288824373840264</c:v>
                </c:pt>
                <c:pt idx="978">
                  <c:v>56.288824373840264</c:v>
                </c:pt>
                <c:pt idx="979">
                  <c:v>56.288824373840264</c:v>
                </c:pt>
                <c:pt idx="980">
                  <c:v>56.288824373840264</c:v>
                </c:pt>
                <c:pt idx="981">
                  <c:v>56.288824373840264</c:v>
                </c:pt>
                <c:pt idx="982">
                  <c:v>56.288824373840264</c:v>
                </c:pt>
                <c:pt idx="983">
                  <c:v>56.288824373840264</c:v>
                </c:pt>
                <c:pt idx="984">
                  <c:v>56.288824373840264</c:v>
                </c:pt>
                <c:pt idx="985">
                  <c:v>56.288824373840264</c:v>
                </c:pt>
                <c:pt idx="986">
                  <c:v>56.288824373840264</c:v>
                </c:pt>
                <c:pt idx="987">
                  <c:v>56.288824373840264</c:v>
                </c:pt>
                <c:pt idx="988">
                  <c:v>56.288824373840264</c:v>
                </c:pt>
                <c:pt idx="989">
                  <c:v>56.288824373840264</c:v>
                </c:pt>
                <c:pt idx="990">
                  <c:v>56.288824373840264</c:v>
                </c:pt>
                <c:pt idx="991">
                  <c:v>56.288824373840264</c:v>
                </c:pt>
                <c:pt idx="992">
                  <c:v>56.288824373840264</c:v>
                </c:pt>
                <c:pt idx="993">
                  <c:v>56.288824373840264</c:v>
                </c:pt>
                <c:pt idx="994">
                  <c:v>56.288824373840264</c:v>
                </c:pt>
                <c:pt idx="995">
                  <c:v>56.288824373840264</c:v>
                </c:pt>
                <c:pt idx="996">
                  <c:v>56.288824373840264</c:v>
                </c:pt>
                <c:pt idx="997">
                  <c:v>56.288824373840264</c:v>
                </c:pt>
                <c:pt idx="998">
                  <c:v>56.288824373840264</c:v>
                </c:pt>
                <c:pt idx="999">
                  <c:v>56.288824373840264</c:v>
                </c:pt>
                <c:pt idx="1000">
                  <c:v>56.288824373840264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0-FB44-B75E-51812F6EEC8B}"/>
            </c:ext>
          </c:extLst>
        </c:ser>
        <c:ser>
          <c:idx val="1"/>
          <c:order val="1"/>
          <c:tx>
            <c:strRef>
              <c:f>Courbes!$B$143</c:f>
              <c:strCache>
                <c:ptCount val="1"/>
                <c:pt idx="0">
                  <c:v>Altitude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2.1000000000000014</c:v>
                </c:pt>
                <c:pt idx="202">
                  <c:v>2.2000000000000015</c:v>
                </c:pt>
                <c:pt idx="203">
                  <c:v>2.3000000000000016</c:v>
                </c:pt>
                <c:pt idx="204">
                  <c:v>2.4000000000000017</c:v>
                </c:pt>
                <c:pt idx="205">
                  <c:v>2.5000000000000018</c:v>
                </c:pt>
                <c:pt idx="206">
                  <c:v>2.6000000000000019</c:v>
                </c:pt>
                <c:pt idx="207">
                  <c:v>2.700000000000002</c:v>
                </c:pt>
                <c:pt idx="208">
                  <c:v>2.800000000000002</c:v>
                </c:pt>
                <c:pt idx="209">
                  <c:v>2.9000000000000021</c:v>
                </c:pt>
                <c:pt idx="210">
                  <c:v>3.0000000000000022</c:v>
                </c:pt>
                <c:pt idx="211">
                  <c:v>3.1000000000000023</c:v>
                </c:pt>
                <c:pt idx="212">
                  <c:v>3.2000000000000024</c:v>
                </c:pt>
                <c:pt idx="213">
                  <c:v>3.3000000000000025</c:v>
                </c:pt>
                <c:pt idx="214">
                  <c:v>3.4000000000000026</c:v>
                </c:pt>
                <c:pt idx="215">
                  <c:v>3.5000000000000027</c:v>
                </c:pt>
                <c:pt idx="216">
                  <c:v>3.6000000000000028</c:v>
                </c:pt>
                <c:pt idx="217">
                  <c:v>3.7000000000000028</c:v>
                </c:pt>
                <c:pt idx="218">
                  <c:v>3.8000000000000029</c:v>
                </c:pt>
                <c:pt idx="219">
                  <c:v>3.900000000000003</c:v>
                </c:pt>
                <c:pt idx="220">
                  <c:v>4.0000000000000027</c:v>
                </c:pt>
                <c:pt idx="221">
                  <c:v>4.1000000000000023</c:v>
                </c:pt>
                <c:pt idx="222">
                  <c:v>4.200000000000002</c:v>
                </c:pt>
                <c:pt idx="223">
                  <c:v>4.3000000000000016</c:v>
                </c:pt>
                <c:pt idx="224">
                  <c:v>4.4000000000000012</c:v>
                </c:pt>
                <c:pt idx="225">
                  <c:v>4.5000000000000009</c:v>
                </c:pt>
                <c:pt idx="226">
                  <c:v>4.6000000000000005</c:v>
                </c:pt>
                <c:pt idx="227">
                  <c:v>4.7</c:v>
                </c:pt>
                <c:pt idx="228">
                  <c:v>4.8</c:v>
                </c:pt>
                <c:pt idx="229">
                  <c:v>4.8999999999999995</c:v>
                </c:pt>
                <c:pt idx="230">
                  <c:v>4.9999999999999991</c:v>
                </c:pt>
                <c:pt idx="231">
                  <c:v>5.0999999999999988</c:v>
                </c:pt>
                <c:pt idx="232">
                  <c:v>5.1999999999999984</c:v>
                </c:pt>
                <c:pt idx="233">
                  <c:v>5.299999999999998</c:v>
                </c:pt>
                <c:pt idx="234">
                  <c:v>5.3999999999999977</c:v>
                </c:pt>
                <c:pt idx="235">
                  <c:v>5.4999999999999973</c:v>
                </c:pt>
                <c:pt idx="236">
                  <c:v>5.599999999999997</c:v>
                </c:pt>
                <c:pt idx="237">
                  <c:v>5.6999999999999966</c:v>
                </c:pt>
                <c:pt idx="238">
                  <c:v>5.7999999999999963</c:v>
                </c:pt>
                <c:pt idx="239">
                  <c:v>5.8999999999999959</c:v>
                </c:pt>
                <c:pt idx="240">
                  <c:v>5.9999999999999956</c:v>
                </c:pt>
                <c:pt idx="241">
                  <c:v>6.0999999999999952</c:v>
                </c:pt>
                <c:pt idx="242">
                  <c:v>6.1999999999999948</c:v>
                </c:pt>
                <c:pt idx="243">
                  <c:v>6.2999999999999945</c:v>
                </c:pt>
                <c:pt idx="244">
                  <c:v>6.3999999999999941</c:v>
                </c:pt>
                <c:pt idx="245">
                  <c:v>6.4999999999999938</c:v>
                </c:pt>
                <c:pt idx="246">
                  <c:v>6.5999999999999934</c:v>
                </c:pt>
                <c:pt idx="247">
                  <c:v>6.6999999999999931</c:v>
                </c:pt>
                <c:pt idx="248">
                  <c:v>6.7999999999999927</c:v>
                </c:pt>
                <c:pt idx="249">
                  <c:v>6.8999999999999924</c:v>
                </c:pt>
                <c:pt idx="250">
                  <c:v>6.999999999999992</c:v>
                </c:pt>
                <c:pt idx="251">
                  <c:v>7.0999999999999917</c:v>
                </c:pt>
                <c:pt idx="252">
                  <c:v>7.1999999999999913</c:v>
                </c:pt>
                <c:pt idx="253">
                  <c:v>7.2999999999999909</c:v>
                </c:pt>
                <c:pt idx="254">
                  <c:v>7.3999999999999906</c:v>
                </c:pt>
                <c:pt idx="255">
                  <c:v>7.4999999999999902</c:v>
                </c:pt>
                <c:pt idx="256">
                  <c:v>7.5999999999999899</c:v>
                </c:pt>
                <c:pt idx="257">
                  <c:v>7.6999999999999895</c:v>
                </c:pt>
                <c:pt idx="258">
                  <c:v>7.7999999999999892</c:v>
                </c:pt>
                <c:pt idx="259">
                  <c:v>7.8999999999999888</c:v>
                </c:pt>
                <c:pt idx="260">
                  <c:v>7.9999999999999885</c:v>
                </c:pt>
                <c:pt idx="261">
                  <c:v>8.099999999999989</c:v>
                </c:pt>
                <c:pt idx="262">
                  <c:v>8.1999999999999886</c:v>
                </c:pt>
                <c:pt idx="263">
                  <c:v>8.2999999999999883</c:v>
                </c:pt>
                <c:pt idx="264">
                  <c:v>8.3999999999999879</c:v>
                </c:pt>
                <c:pt idx="265">
                  <c:v>8.4999999999999876</c:v>
                </c:pt>
                <c:pt idx="266">
                  <c:v>8.5999999999999872</c:v>
                </c:pt>
                <c:pt idx="267">
                  <c:v>8.6999999999999869</c:v>
                </c:pt>
                <c:pt idx="268">
                  <c:v>8.7999999999999865</c:v>
                </c:pt>
                <c:pt idx="269">
                  <c:v>8.8999999999999861</c:v>
                </c:pt>
                <c:pt idx="270">
                  <c:v>8.9999999999999858</c:v>
                </c:pt>
                <c:pt idx="271">
                  <c:v>9.0999999999999854</c:v>
                </c:pt>
                <c:pt idx="272">
                  <c:v>9.1999999999999851</c:v>
                </c:pt>
                <c:pt idx="273">
                  <c:v>9.2999999999999847</c:v>
                </c:pt>
                <c:pt idx="274">
                  <c:v>9.3999999999999844</c:v>
                </c:pt>
                <c:pt idx="275">
                  <c:v>9.499999999999984</c:v>
                </c:pt>
                <c:pt idx="276">
                  <c:v>9.5999999999999837</c:v>
                </c:pt>
                <c:pt idx="277">
                  <c:v>9.6999999999999833</c:v>
                </c:pt>
                <c:pt idx="278">
                  <c:v>9.7999999999999829</c:v>
                </c:pt>
                <c:pt idx="279">
                  <c:v>9.8999999999999826</c:v>
                </c:pt>
                <c:pt idx="280">
                  <c:v>9.9999999999999822</c:v>
                </c:pt>
                <c:pt idx="281">
                  <c:v>10.099999999999982</c:v>
                </c:pt>
                <c:pt idx="282">
                  <c:v>10.199999999999982</c:v>
                </c:pt>
                <c:pt idx="283">
                  <c:v>10.299999999999981</c:v>
                </c:pt>
                <c:pt idx="284">
                  <c:v>10.399999999999981</c:v>
                </c:pt>
                <c:pt idx="285">
                  <c:v>10.49999999999998</c:v>
                </c:pt>
                <c:pt idx="286">
                  <c:v>10.59999999999998</c:v>
                </c:pt>
                <c:pt idx="287">
                  <c:v>10.69999999999998</c:v>
                </c:pt>
                <c:pt idx="288">
                  <c:v>10.799999999999979</c:v>
                </c:pt>
                <c:pt idx="289">
                  <c:v>10.899999999999979</c:v>
                </c:pt>
                <c:pt idx="290">
                  <c:v>10.999999999999979</c:v>
                </c:pt>
                <c:pt idx="291">
                  <c:v>11.099999999999978</c:v>
                </c:pt>
                <c:pt idx="292">
                  <c:v>11.199999999999978</c:v>
                </c:pt>
                <c:pt idx="293">
                  <c:v>11.299999999999978</c:v>
                </c:pt>
                <c:pt idx="294">
                  <c:v>11.399999999999977</c:v>
                </c:pt>
                <c:pt idx="295">
                  <c:v>11.499999999999977</c:v>
                </c:pt>
                <c:pt idx="296">
                  <c:v>11.599999999999977</c:v>
                </c:pt>
                <c:pt idx="297">
                  <c:v>11.699999999999976</c:v>
                </c:pt>
                <c:pt idx="298">
                  <c:v>11.799999999999976</c:v>
                </c:pt>
                <c:pt idx="299">
                  <c:v>11.899999999999975</c:v>
                </c:pt>
                <c:pt idx="300">
                  <c:v>11.999999999999975</c:v>
                </c:pt>
                <c:pt idx="301">
                  <c:v>12.000099999999975</c:v>
                </c:pt>
                <c:pt idx="302">
                  <c:v>12.000199999999975</c:v>
                </c:pt>
                <c:pt idx="303">
                  <c:v>12.000299999999974</c:v>
                </c:pt>
                <c:pt idx="304">
                  <c:v>12.000399999999974</c:v>
                </c:pt>
                <c:pt idx="305">
                  <c:v>12.000499999999974</c:v>
                </c:pt>
                <c:pt idx="306">
                  <c:v>12.000599999999974</c:v>
                </c:pt>
                <c:pt idx="307">
                  <c:v>12.000699999999973</c:v>
                </c:pt>
                <c:pt idx="308">
                  <c:v>12.000799999999973</c:v>
                </c:pt>
                <c:pt idx="309">
                  <c:v>12.000899999999973</c:v>
                </c:pt>
                <c:pt idx="310">
                  <c:v>12.000999999999973</c:v>
                </c:pt>
                <c:pt idx="311">
                  <c:v>12.001099999999973</c:v>
                </c:pt>
                <c:pt idx="312">
                  <c:v>12.001199999999972</c:v>
                </c:pt>
                <c:pt idx="313">
                  <c:v>12.001299999999972</c:v>
                </c:pt>
                <c:pt idx="314">
                  <c:v>12.001399999999972</c:v>
                </c:pt>
                <c:pt idx="315">
                  <c:v>12.001499999999972</c:v>
                </c:pt>
                <c:pt idx="316">
                  <c:v>12.001599999999971</c:v>
                </c:pt>
                <c:pt idx="317">
                  <c:v>12.001699999999971</c:v>
                </c:pt>
                <c:pt idx="318">
                  <c:v>12.001799999999971</c:v>
                </c:pt>
                <c:pt idx="319">
                  <c:v>12.001899999999971</c:v>
                </c:pt>
                <c:pt idx="320">
                  <c:v>12.00199999999997</c:v>
                </c:pt>
                <c:pt idx="321">
                  <c:v>12.00209999999997</c:v>
                </c:pt>
                <c:pt idx="322">
                  <c:v>12.00219999999997</c:v>
                </c:pt>
                <c:pt idx="323">
                  <c:v>12.00229999999997</c:v>
                </c:pt>
                <c:pt idx="324">
                  <c:v>12.00239999999997</c:v>
                </c:pt>
                <c:pt idx="325">
                  <c:v>12.002499999999969</c:v>
                </c:pt>
                <c:pt idx="326">
                  <c:v>12.002599999999969</c:v>
                </c:pt>
                <c:pt idx="327">
                  <c:v>12.002699999999969</c:v>
                </c:pt>
                <c:pt idx="328">
                  <c:v>12.002799999999969</c:v>
                </c:pt>
                <c:pt idx="329">
                  <c:v>12.002899999999968</c:v>
                </c:pt>
                <c:pt idx="330">
                  <c:v>12.002999999999968</c:v>
                </c:pt>
                <c:pt idx="331">
                  <c:v>12.003099999999968</c:v>
                </c:pt>
                <c:pt idx="332">
                  <c:v>12.003199999999968</c:v>
                </c:pt>
                <c:pt idx="333">
                  <c:v>12.003299999999967</c:v>
                </c:pt>
                <c:pt idx="334">
                  <c:v>12.003399999999967</c:v>
                </c:pt>
                <c:pt idx="335">
                  <c:v>12.003499999999967</c:v>
                </c:pt>
                <c:pt idx="336">
                  <c:v>12.003599999999967</c:v>
                </c:pt>
                <c:pt idx="337">
                  <c:v>12.003699999999967</c:v>
                </c:pt>
                <c:pt idx="338">
                  <c:v>12.003799999999966</c:v>
                </c:pt>
                <c:pt idx="339">
                  <c:v>12.003899999999966</c:v>
                </c:pt>
                <c:pt idx="340">
                  <c:v>12.003999999999966</c:v>
                </c:pt>
                <c:pt idx="341">
                  <c:v>12.004099999999966</c:v>
                </c:pt>
                <c:pt idx="342">
                  <c:v>12.004199999999965</c:v>
                </c:pt>
                <c:pt idx="343">
                  <c:v>12.004299999999965</c:v>
                </c:pt>
                <c:pt idx="344">
                  <c:v>12.004399999999965</c:v>
                </c:pt>
                <c:pt idx="345">
                  <c:v>12.004499999999965</c:v>
                </c:pt>
                <c:pt idx="346">
                  <c:v>12.004599999999964</c:v>
                </c:pt>
                <c:pt idx="347">
                  <c:v>12.004699999999964</c:v>
                </c:pt>
                <c:pt idx="348">
                  <c:v>12.004799999999964</c:v>
                </c:pt>
                <c:pt idx="349">
                  <c:v>12.004899999999964</c:v>
                </c:pt>
                <c:pt idx="350">
                  <c:v>12.004999999999963</c:v>
                </c:pt>
                <c:pt idx="351">
                  <c:v>12.005099999999963</c:v>
                </c:pt>
                <c:pt idx="352">
                  <c:v>12.005199999999963</c:v>
                </c:pt>
                <c:pt idx="353">
                  <c:v>12.005299999999963</c:v>
                </c:pt>
                <c:pt idx="354">
                  <c:v>12.005399999999963</c:v>
                </c:pt>
                <c:pt idx="355">
                  <c:v>12.005499999999962</c:v>
                </c:pt>
                <c:pt idx="356">
                  <c:v>12.005599999999962</c:v>
                </c:pt>
                <c:pt idx="357">
                  <c:v>12.005699999999962</c:v>
                </c:pt>
                <c:pt idx="358">
                  <c:v>12.005799999999962</c:v>
                </c:pt>
                <c:pt idx="359">
                  <c:v>12.005899999999961</c:v>
                </c:pt>
                <c:pt idx="360">
                  <c:v>12.005999999999961</c:v>
                </c:pt>
                <c:pt idx="361">
                  <c:v>12.006099999999961</c:v>
                </c:pt>
                <c:pt idx="362">
                  <c:v>12.006199999999961</c:v>
                </c:pt>
                <c:pt idx="363">
                  <c:v>12.00629999999996</c:v>
                </c:pt>
                <c:pt idx="364">
                  <c:v>12.00639999999996</c:v>
                </c:pt>
                <c:pt idx="365">
                  <c:v>12.00649999999996</c:v>
                </c:pt>
                <c:pt idx="366">
                  <c:v>12.00659999999996</c:v>
                </c:pt>
                <c:pt idx="367">
                  <c:v>12.00669999999996</c:v>
                </c:pt>
                <c:pt idx="368">
                  <c:v>12.006799999999959</c:v>
                </c:pt>
                <c:pt idx="369">
                  <c:v>12.006899999999959</c:v>
                </c:pt>
                <c:pt idx="370">
                  <c:v>12.006999999999959</c:v>
                </c:pt>
                <c:pt idx="371">
                  <c:v>12.007099999999959</c:v>
                </c:pt>
                <c:pt idx="372">
                  <c:v>12.007199999999958</c:v>
                </c:pt>
                <c:pt idx="373">
                  <c:v>12.007299999999958</c:v>
                </c:pt>
                <c:pt idx="374">
                  <c:v>12.007399999999958</c:v>
                </c:pt>
                <c:pt idx="375">
                  <c:v>12.007499999999958</c:v>
                </c:pt>
                <c:pt idx="376">
                  <c:v>12.007599999999957</c:v>
                </c:pt>
                <c:pt idx="377">
                  <c:v>12.007699999999957</c:v>
                </c:pt>
                <c:pt idx="378">
                  <c:v>12.007799999999957</c:v>
                </c:pt>
                <c:pt idx="379">
                  <c:v>12.007899999999957</c:v>
                </c:pt>
                <c:pt idx="380">
                  <c:v>12.007999999999956</c:v>
                </c:pt>
                <c:pt idx="381">
                  <c:v>12.008099999999956</c:v>
                </c:pt>
                <c:pt idx="382">
                  <c:v>12.008199999999956</c:v>
                </c:pt>
                <c:pt idx="383">
                  <c:v>12.008299999999956</c:v>
                </c:pt>
                <c:pt idx="384">
                  <c:v>12.008399999999956</c:v>
                </c:pt>
                <c:pt idx="385">
                  <c:v>12.008499999999955</c:v>
                </c:pt>
                <c:pt idx="386">
                  <c:v>12.008599999999955</c:v>
                </c:pt>
                <c:pt idx="387">
                  <c:v>12.008699999999955</c:v>
                </c:pt>
                <c:pt idx="388">
                  <c:v>12.008799999999955</c:v>
                </c:pt>
                <c:pt idx="389">
                  <c:v>12.008899999999954</c:v>
                </c:pt>
                <c:pt idx="390">
                  <c:v>12.008999999999954</c:v>
                </c:pt>
                <c:pt idx="391">
                  <c:v>12.009099999999954</c:v>
                </c:pt>
                <c:pt idx="392">
                  <c:v>12.009199999999954</c:v>
                </c:pt>
                <c:pt idx="393">
                  <c:v>12.009299999999953</c:v>
                </c:pt>
                <c:pt idx="394">
                  <c:v>12.009399999999953</c:v>
                </c:pt>
                <c:pt idx="395">
                  <c:v>12.009499999999953</c:v>
                </c:pt>
                <c:pt idx="396">
                  <c:v>12.009599999999953</c:v>
                </c:pt>
                <c:pt idx="397">
                  <c:v>12.009699999999953</c:v>
                </c:pt>
                <c:pt idx="398">
                  <c:v>12.009799999999952</c:v>
                </c:pt>
                <c:pt idx="399">
                  <c:v>12.009899999999952</c:v>
                </c:pt>
                <c:pt idx="400">
                  <c:v>12.009999999999952</c:v>
                </c:pt>
                <c:pt idx="401">
                  <c:v>12.010099999999952</c:v>
                </c:pt>
                <c:pt idx="402">
                  <c:v>12.010199999999951</c:v>
                </c:pt>
                <c:pt idx="403">
                  <c:v>12.010299999999951</c:v>
                </c:pt>
                <c:pt idx="404">
                  <c:v>12.010399999999951</c:v>
                </c:pt>
                <c:pt idx="405">
                  <c:v>12.010499999999951</c:v>
                </c:pt>
                <c:pt idx="406">
                  <c:v>12.01059999999995</c:v>
                </c:pt>
                <c:pt idx="407">
                  <c:v>12.01069999999995</c:v>
                </c:pt>
                <c:pt idx="408">
                  <c:v>12.01079999999995</c:v>
                </c:pt>
                <c:pt idx="409">
                  <c:v>12.01089999999995</c:v>
                </c:pt>
                <c:pt idx="410">
                  <c:v>12.010999999999949</c:v>
                </c:pt>
                <c:pt idx="411">
                  <c:v>12.011099999999949</c:v>
                </c:pt>
                <c:pt idx="412">
                  <c:v>12.011199999999949</c:v>
                </c:pt>
                <c:pt idx="413">
                  <c:v>12.011299999999949</c:v>
                </c:pt>
                <c:pt idx="414">
                  <c:v>12.011399999999949</c:v>
                </c:pt>
                <c:pt idx="415">
                  <c:v>12.011499999999948</c:v>
                </c:pt>
                <c:pt idx="416">
                  <c:v>12.011599999999948</c:v>
                </c:pt>
                <c:pt idx="417">
                  <c:v>12.011699999999948</c:v>
                </c:pt>
                <c:pt idx="418">
                  <c:v>12.011799999999948</c:v>
                </c:pt>
                <c:pt idx="419">
                  <c:v>12.011899999999947</c:v>
                </c:pt>
                <c:pt idx="420">
                  <c:v>12.011999999999947</c:v>
                </c:pt>
                <c:pt idx="421">
                  <c:v>12.012099999999947</c:v>
                </c:pt>
                <c:pt idx="422">
                  <c:v>12.012199999999947</c:v>
                </c:pt>
                <c:pt idx="423">
                  <c:v>12.012299999999946</c:v>
                </c:pt>
                <c:pt idx="424">
                  <c:v>12.012399999999946</c:v>
                </c:pt>
                <c:pt idx="425">
                  <c:v>12.012499999999946</c:v>
                </c:pt>
                <c:pt idx="426">
                  <c:v>12.012599999999946</c:v>
                </c:pt>
                <c:pt idx="427">
                  <c:v>12.012699999999946</c:v>
                </c:pt>
                <c:pt idx="428">
                  <c:v>12.012799999999945</c:v>
                </c:pt>
                <c:pt idx="429">
                  <c:v>12.012899999999945</c:v>
                </c:pt>
                <c:pt idx="430">
                  <c:v>12.012999999999945</c:v>
                </c:pt>
                <c:pt idx="431">
                  <c:v>12.013099999999945</c:v>
                </c:pt>
                <c:pt idx="432">
                  <c:v>12.013199999999944</c:v>
                </c:pt>
                <c:pt idx="433">
                  <c:v>12.013299999999944</c:v>
                </c:pt>
                <c:pt idx="434">
                  <c:v>12.013399999999944</c:v>
                </c:pt>
                <c:pt idx="435">
                  <c:v>12.013499999999944</c:v>
                </c:pt>
                <c:pt idx="436">
                  <c:v>12.013599999999943</c:v>
                </c:pt>
                <c:pt idx="437">
                  <c:v>12.013699999999943</c:v>
                </c:pt>
                <c:pt idx="438">
                  <c:v>12.013799999999943</c:v>
                </c:pt>
                <c:pt idx="439">
                  <c:v>12.013899999999943</c:v>
                </c:pt>
                <c:pt idx="440">
                  <c:v>12.013999999999943</c:v>
                </c:pt>
                <c:pt idx="441">
                  <c:v>12.014099999999942</c:v>
                </c:pt>
                <c:pt idx="442">
                  <c:v>12.014199999999942</c:v>
                </c:pt>
                <c:pt idx="443">
                  <c:v>12.014299999999942</c:v>
                </c:pt>
                <c:pt idx="444">
                  <c:v>12.014399999999942</c:v>
                </c:pt>
                <c:pt idx="445">
                  <c:v>12.014499999999941</c:v>
                </c:pt>
                <c:pt idx="446">
                  <c:v>12.014599999999941</c:v>
                </c:pt>
                <c:pt idx="447">
                  <c:v>12.014699999999941</c:v>
                </c:pt>
                <c:pt idx="448">
                  <c:v>12.014799999999941</c:v>
                </c:pt>
                <c:pt idx="449">
                  <c:v>12.01489999999994</c:v>
                </c:pt>
                <c:pt idx="450">
                  <c:v>12.01499999999994</c:v>
                </c:pt>
                <c:pt idx="451">
                  <c:v>12.01509999999994</c:v>
                </c:pt>
                <c:pt idx="452">
                  <c:v>12.01519999999994</c:v>
                </c:pt>
                <c:pt idx="453">
                  <c:v>12.015299999999939</c:v>
                </c:pt>
                <c:pt idx="454">
                  <c:v>12.015399999999939</c:v>
                </c:pt>
                <c:pt idx="455">
                  <c:v>12.015499999999939</c:v>
                </c:pt>
                <c:pt idx="456">
                  <c:v>12.015599999999939</c:v>
                </c:pt>
                <c:pt idx="457">
                  <c:v>12.015699999999939</c:v>
                </c:pt>
                <c:pt idx="458">
                  <c:v>12.015799999999938</c:v>
                </c:pt>
                <c:pt idx="459">
                  <c:v>12.015899999999938</c:v>
                </c:pt>
                <c:pt idx="460">
                  <c:v>12.015999999999938</c:v>
                </c:pt>
                <c:pt idx="461">
                  <c:v>12.016099999999938</c:v>
                </c:pt>
                <c:pt idx="462">
                  <c:v>12.016199999999937</c:v>
                </c:pt>
                <c:pt idx="463">
                  <c:v>12.016299999999937</c:v>
                </c:pt>
                <c:pt idx="464">
                  <c:v>12.016399999999937</c:v>
                </c:pt>
                <c:pt idx="465">
                  <c:v>12.016499999999937</c:v>
                </c:pt>
                <c:pt idx="466">
                  <c:v>12.016599999999936</c:v>
                </c:pt>
                <c:pt idx="467">
                  <c:v>12.016699999999936</c:v>
                </c:pt>
                <c:pt idx="468">
                  <c:v>12.016799999999936</c:v>
                </c:pt>
                <c:pt idx="469">
                  <c:v>12.016899999999936</c:v>
                </c:pt>
                <c:pt idx="470">
                  <c:v>12.016999999999936</c:v>
                </c:pt>
                <c:pt idx="471">
                  <c:v>12.017099999999935</c:v>
                </c:pt>
                <c:pt idx="472">
                  <c:v>12.017199999999935</c:v>
                </c:pt>
                <c:pt idx="473">
                  <c:v>12.017299999999935</c:v>
                </c:pt>
                <c:pt idx="474">
                  <c:v>12.017399999999935</c:v>
                </c:pt>
                <c:pt idx="475">
                  <c:v>12.017499999999934</c:v>
                </c:pt>
                <c:pt idx="476">
                  <c:v>12.017599999999934</c:v>
                </c:pt>
                <c:pt idx="477">
                  <c:v>12.017699999999934</c:v>
                </c:pt>
                <c:pt idx="478">
                  <c:v>12.017799999999934</c:v>
                </c:pt>
                <c:pt idx="479">
                  <c:v>12.017899999999933</c:v>
                </c:pt>
                <c:pt idx="480">
                  <c:v>12.017999999999933</c:v>
                </c:pt>
                <c:pt idx="481">
                  <c:v>12.018099999999933</c:v>
                </c:pt>
                <c:pt idx="482">
                  <c:v>12.018199999999933</c:v>
                </c:pt>
                <c:pt idx="483">
                  <c:v>12.018299999999932</c:v>
                </c:pt>
                <c:pt idx="484">
                  <c:v>12.018399999999932</c:v>
                </c:pt>
                <c:pt idx="485">
                  <c:v>12.018499999999932</c:v>
                </c:pt>
                <c:pt idx="486">
                  <c:v>12.018599999999932</c:v>
                </c:pt>
                <c:pt idx="487">
                  <c:v>12.018699999999932</c:v>
                </c:pt>
                <c:pt idx="488">
                  <c:v>12.018799999999931</c:v>
                </c:pt>
                <c:pt idx="489">
                  <c:v>12.018899999999931</c:v>
                </c:pt>
                <c:pt idx="490">
                  <c:v>12.018999999999931</c:v>
                </c:pt>
                <c:pt idx="491">
                  <c:v>12.019099999999931</c:v>
                </c:pt>
                <c:pt idx="492">
                  <c:v>12.01919999999993</c:v>
                </c:pt>
                <c:pt idx="493">
                  <c:v>12.01929999999993</c:v>
                </c:pt>
                <c:pt idx="494">
                  <c:v>12.01939999999993</c:v>
                </c:pt>
                <c:pt idx="495">
                  <c:v>12.01949999999993</c:v>
                </c:pt>
                <c:pt idx="496">
                  <c:v>12.019599999999929</c:v>
                </c:pt>
                <c:pt idx="497">
                  <c:v>12.019699999999929</c:v>
                </c:pt>
                <c:pt idx="498">
                  <c:v>12.019799999999929</c:v>
                </c:pt>
                <c:pt idx="499">
                  <c:v>12.019899999999929</c:v>
                </c:pt>
                <c:pt idx="500">
                  <c:v>12.019999999999929</c:v>
                </c:pt>
                <c:pt idx="501">
                  <c:v>12.020099999999928</c:v>
                </c:pt>
                <c:pt idx="502">
                  <c:v>12.020199999999928</c:v>
                </c:pt>
                <c:pt idx="503">
                  <c:v>12.020299999999928</c:v>
                </c:pt>
                <c:pt idx="504">
                  <c:v>12.020399999999928</c:v>
                </c:pt>
                <c:pt idx="505">
                  <c:v>12.020499999999927</c:v>
                </c:pt>
                <c:pt idx="506">
                  <c:v>12.020599999999927</c:v>
                </c:pt>
                <c:pt idx="507">
                  <c:v>12.020699999999927</c:v>
                </c:pt>
                <c:pt idx="508">
                  <c:v>12.020799999999927</c:v>
                </c:pt>
                <c:pt idx="509">
                  <c:v>12.020899999999926</c:v>
                </c:pt>
                <c:pt idx="510">
                  <c:v>12.020999999999926</c:v>
                </c:pt>
                <c:pt idx="511">
                  <c:v>12.021099999999926</c:v>
                </c:pt>
                <c:pt idx="512">
                  <c:v>12.021199999999926</c:v>
                </c:pt>
                <c:pt idx="513">
                  <c:v>12.021299999999925</c:v>
                </c:pt>
                <c:pt idx="514">
                  <c:v>12.021399999999925</c:v>
                </c:pt>
                <c:pt idx="515">
                  <c:v>12.021499999999925</c:v>
                </c:pt>
                <c:pt idx="516">
                  <c:v>12.021599999999925</c:v>
                </c:pt>
                <c:pt idx="517">
                  <c:v>12.021699999999925</c:v>
                </c:pt>
                <c:pt idx="518">
                  <c:v>12.021799999999924</c:v>
                </c:pt>
                <c:pt idx="519">
                  <c:v>12.021899999999924</c:v>
                </c:pt>
                <c:pt idx="520">
                  <c:v>12.021999999999924</c:v>
                </c:pt>
                <c:pt idx="521">
                  <c:v>12.022099999999924</c:v>
                </c:pt>
                <c:pt idx="522">
                  <c:v>12.022199999999923</c:v>
                </c:pt>
                <c:pt idx="523">
                  <c:v>12.022299999999923</c:v>
                </c:pt>
                <c:pt idx="524">
                  <c:v>12.022399999999923</c:v>
                </c:pt>
                <c:pt idx="525">
                  <c:v>12.022499999999923</c:v>
                </c:pt>
                <c:pt idx="526">
                  <c:v>12.022599999999922</c:v>
                </c:pt>
                <c:pt idx="527">
                  <c:v>12.022699999999922</c:v>
                </c:pt>
                <c:pt idx="528">
                  <c:v>12.022799999999922</c:v>
                </c:pt>
                <c:pt idx="529">
                  <c:v>12.022899999999922</c:v>
                </c:pt>
                <c:pt idx="530">
                  <c:v>12.022999999999922</c:v>
                </c:pt>
                <c:pt idx="531">
                  <c:v>12.023099999999921</c:v>
                </c:pt>
                <c:pt idx="532">
                  <c:v>12.023199999999921</c:v>
                </c:pt>
                <c:pt idx="533">
                  <c:v>12.023299999999921</c:v>
                </c:pt>
                <c:pt idx="534">
                  <c:v>12.023399999999921</c:v>
                </c:pt>
                <c:pt idx="535">
                  <c:v>12.02349999999992</c:v>
                </c:pt>
                <c:pt idx="536">
                  <c:v>12.02359999999992</c:v>
                </c:pt>
                <c:pt idx="537">
                  <c:v>12.02369999999992</c:v>
                </c:pt>
                <c:pt idx="538">
                  <c:v>12.02379999999992</c:v>
                </c:pt>
                <c:pt idx="539">
                  <c:v>12.023899999999919</c:v>
                </c:pt>
                <c:pt idx="540">
                  <c:v>12.023999999999919</c:v>
                </c:pt>
                <c:pt idx="541">
                  <c:v>12.024099999999919</c:v>
                </c:pt>
                <c:pt idx="542">
                  <c:v>12.024199999999919</c:v>
                </c:pt>
                <c:pt idx="543">
                  <c:v>12.024299999999918</c:v>
                </c:pt>
                <c:pt idx="544">
                  <c:v>12.024399999999918</c:v>
                </c:pt>
                <c:pt idx="545">
                  <c:v>12.024499999999918</c:v>
                </c:pt>
                <c:pt idx="546">
                  <c:v>12.024599999999918</c:v>
                </c:pt>
                <c:pt idx="547">
                  <c:v>12.024699999999918</c:v>
                </c:pt>
                <c:pt idx="548">
                  <c:v>12.024799999999917</c:v>
                </c:pt>
                <c:pt idx="549">
                  <c:v>12.024899999999917</c:v>
                </c:pt>
                <c:pt idx="550">
                  <c:v>12.024999999999917</c:v>
                </c:pt>
                <c:pt idx="551">
                  <c:v>12.025099999999917</c:v>
                </c:pt>
                <c:pt idx="552">
                  <c:v>12.025199999999916</c:v>
                </c:pt>
                <c:pt idx="553">
                  <c:v>12.025299999999916</c:v>
                </c:pt>
                <c:pt idx="554">
                  <c:v>12.025399999999916</c:v>
                </c:pt>
                <c:pt idx="555">
                  <c:v>12.025499999999916</c:v>
                </c:pt>
                <c:pt idx="556">
                  <c:v>12.025599999999915</c:v>
                </c:pt>
                <c:pt idx="557">
                  <c:v>12.025699999999915</c:v>
                </c:pt>
                <c:pt idx="558">
                  <c:v>12.025799999999915</c:v>
                </c:pt>
                <c:pt idx="559">
                  <c:v>12.025899999999915</c:v>
                </c:pt>
                <c:pt idx="560">
                  <c:v>12.025999999999915</c:v>
                </c:pt>
                <c:pt idx="561">
                  <c:v>12.026099999999914</c:v>
                </c:pt>
                <c:pt idx="562">
                  <c:v>12.026199999999914</c:v>
                </c:pt>
                <c:pt idx="563">
                  <c:v>12.026299999999914</c:v>
                </c:pt>
                <c:pt idx="564">
                  <c:v>12.026399999999914</c:v>
                </c:pt>
                <c:pt idx="565">
                  <c:v>12.026499999999913</c:v>
                </c:pt>
                <c:pt idx="566">
                  <c:v>12.026599999999913</c:v>
                </c:pt>
                <c:pt idx="567">
                  <c:v>12.026699999999913</c:v>
                </c:pt>
                <c:pt idx="568">
                  <c:v>12.026799999999913</c:v>
                </c:pt>
                <c:pt idx="569">
                  <c:v>12.026899999999912</c:v>
                </c:pt>
                <c:pt idx="570">
                  <c:v>12.026999999999912</c:v>
                </c:pt>
                <c:pt idx="571">
                  <c:v>12.027099999999912</c:v>
                </c:pt>
                <c:pt idx="572">
                  <c:v>12.027199999999912</c:v>
                </c:pt>
                <c:pt idx="573">
                  <c:v>12.027299999999912</c:v>
                </c:pt>
                <c:pt idx="574">
                  <c:v>12.027399999999911</c:v>
                </c:pt>
                <c:pt idx="575">
                  <c:v>12.027499999999911</c:v>
                </c:pt>
                <c:pt idx="576">
                  <c:v>12.027599999999911</c:v>
                </c:pt>
                <c:pt idx="577">
                  <c:v>12.027699999999911</c:v>
                </c:pt>
                <c:pt idx="578">
                  <c:v>12.02779999999991</c:v>
                </c:pt>
                <c:pt idx="579">
                  <c:v>12.02789999999991</c:v>
                </c:pt>
                <c:pt idx="580">
                  <c:v>12.02799999999991</c:v>
                </c:pt>
                <c:pt idx="581">
                  <c:v>12.02809999999991</c:v>
                </c:pt>
                <c:pt idx="582">
                  <c:v>12.028199999999909</c:v>
                </c:pt>
                <c:pt idx="583">
                  <c:v>12.028299999999909</c:v>
                </c:pt>
                <c:pt idx="584">
                  <c:v>12.028399999999909</c:v>
                </c:pt>
                <c:pt idx="585">
                  <c:v>12.028499999999909</c:v>
                </c:pt>
                <c:pt idx="586">
                  <c:v>12.028599999999908</c:v>
                </c:pt>
                <c:pt idx="587">
                  <c:v>12.028699999999908</c:v>
                </c:pt>
                <c:pt idx="588">
                  <c:v>12.028799999999908</c:v>
                </c:pt>
                <c:pt idx="589">
                  <c:v>12.028899999999908</c:v>
                </c:pt>
                <c:pt idx="590">
                  <c:v>12.028999999999908</c:v>
                </c:pt>
                <c:pt idx="591">
                  <c:v>12.029099999999907</c:v>
                </c:pt>
                <c:pt idx="592">
                  <c:v>12.029199999999907</c:v>
                </c:pt>
                <c:pt idx="593">
                  <c:v>12.029299999999907</c:v>
                </c:pt>
                <c:pt idx="594">
                  <c:v>12.029399999999907</c:v>
                </c:pt>
                <c:pt idx="595">
                  <c:v>12.029499999999906</c:v>
                </c:pt>
                <c:pt idx="596">
                  <c:v>12.029599999999906</c:v>
                </c:pt>
                <c:pt idx="597">
                  <c:v>12.029699999999906</c:v>
                </c:pt>
                <c:pt idx="598">
                  <c:v>12.029799999999906</c:v>
                </c:pt>
                <c:pt idx="599">
                  <c:v>12.029899999999905</c:v>
                </c:pt>
                <c:pt idx="600">
                  <c:v>12.029999999999905</c:v>
                </c:pt>
                <c:pt idx="601">
                  <c:v>12.030099999999905</c:v>
                </c:pt>
                <c:pt idx="602">
                  <c:v>12.030199999999905</c:v>
                </c:pt>
                <c:pt idx="603">
                  <c:v>12.030299999999905</c:v>
                </c:pt>
                <c:pt idx="604">
                  <c:v>12.030399999999904</c:v>
                </c:pt>
                <c:pt idx="605">
                  <c:v>12.030499999999904</c:v>
                </c:pt>
                <c:pt idx="606">
                  <c:v>12.030599999999904</c:v>
                </c:pt>
                <c:pt idx="607">
                  <c:v>12.030699999999904</c:v>
                </c:pt>
                <c:pt idx="608">
                  <c:v>12.030799999999903</c:v>
                </c:pt>
                <c:pt idx="609">
                  <c:v>12.030899999999903</c:v>
                </c:pt>
                <c:pt idx="610">
                  <c:v>12.030999999999903</c:v>
                </c:pt>
                <c:pt idx="611">
                  <c:v>12.031099999999903</c:v>
                </c:pt>
                <c:pt idx="612">
                  <c:v>12.031199999999902</c:v>
                </c:pt>
                <c:pt idx="613">
                  <c:v>12.031299999999902</c:v>
                </c:pt>
                <c:pt idx="614">
                  <c:v>12.031399999999902</c:v>
                </c:pt>
                <c:pt idx="615">
                  <c:v>12.031499999999902</c:v>
                </c:pt>
                <c:pt idx="616">
                  <c:v>12.031599999999901</c:v>
                </c:pt>
                <c:pt idx="617">
                  <c:v>12.031699999999901</c:v>
                </c:pt>
                <c:pt idx="618">
                  <c:v>12.031799999999901</c:v>
                </c:pt>
                <c:pt idx="619">
                  <c:v>12.031899999999901</c:v>
                </c:pt>
                <c:pt idx="620">
                  <c:v>12.031999999999901</c:v>
                </c:pt>
                <c:pt idx="621">
                  <c:v>12.0320999999999</c:v>
                </c:pt>
                <c:pt idx="622">
                  <c:v>12.0321999999999</c:v>
                </c:pt>
                <c:pt idx="623">
                  <c:v>12.0322999999999</c:v>
                </c:pt>
                <c:pt idx="624">
                  <c:v>12.0323999999999</c:v>
                </c:pt>
                <c:pt idx="625">
                  <c:v>12.032499999999899</c:v>
                </c:pt>
                <c:pt idx="626">
                  <c:v>12.032599999999899</c:v>
                </c:pt>
                <c:pt idx="627">
                  <c:v>12.032699999999899</c:v>
                </c:pt>
                <c:pt idx="628">
                  <c:v>12.032799999999899</c:v>
                </c:pt>
                <c:pt idx="629">
                  <c:v>12.032899999999898</c:v>
                </c:pt>
                <c:pt idx="630">
                  <c:v>12.032999999999898</c:v>
                </c:pt>
                <c:pt idx="631">
                  <c:v>12.033099999999898</c:v>
                </c:pt>
                <c:pt idx="632">
                  <c:v>12.033199999999898</c:v>
                </c:pt>
                <c:pt idx="633">
                  <c:v>12.033299999999898</c:v>
                </c:pt>
                <c:pt idx="634">
                  <c:v>12.033399999999897</c:v>
                </c:pt>
                <c:pt idx="635">
                  <c:v>12.033499999999897</c:v>
                </c:pt>
                <c:pt idx="636">
                  <c:v>12.033599999999897</c:v>
                </c:pt>
                <c:pt idx="637">
                  <c:v>12.033699999999897</c:v>
                </c:pt>
                <c:pt idx="638">
                  <c:v>12.033799999999896</c:v>
                </c:pt>
                <c:pt idx="639">
                  <c:v>12.033899999999896</c:v>
                </c:pt>
                <c:pt idx="640">
                  <c:v>12.033999999999896</c:v>
                </c:pt>
                <c:pt idx="641">
                  <c:v>12.034099999999896</c:v>
                </c:pt>
                <c:pt idx="642">
                  <c:v>12.034199999999895</c:v>
                </c:pt>
                <c:pt idx="643">
                  <c:v>12.034299999999895</c:v>
                </c:pt>
                <c:pt idx="644">
                  <c:v>12.034399999999895</c:v>
                </c:pt>
                <c:pt idx="645">
                  <c:v>12.034499999999895</c:v>
                </c:pt>
                <c:pt idx="646">
                  <c:v>12.034599999999894</c:v>
                </c:pt>
                <c:pt idx="647">
                  <c:v>12.034699999999894</c:v>
                </c:pt>
                <c:pt idx="648">
                  <c:v>12.034799999999894</c:v>
                </c:pt>
                <c:pt idx="649">
                  <c:v>12.034899999999894</c:v>
                </c:pt>
                <c:pt idx="650">
                  <c:v>12.034999999999894</c:v>
                </c:pt>
                <c:pt idx="651">
                  <c:v>12.035099999999893</c:v>
                </c:pt>
                <c:pt idx="652">
                  <c:v>12.035199999999893</c:v>
                </c:pt>
                <c:pt idx="653">
                  <c:v>12.035299999999893</c:v>
                </c:pt>
                <c:pt idx="654">
                  <c:v>12.035399999999893</c:v>
                </c:pt>
                <c:pt idx="655">
                  <c:v>12.035499999999892</c:v>
                </c:pt>
                <c:pt idx="656">
                  <c:v>12.035599999999892</c:v>
                </c:pt>
                <c:pt idx="657">
                  <c:v>12.035699999999892</c:v>
                </c:pt>
                <c:pt idx="658">
                  <c:v>12.035799999999892</c:v>
                </c:pt>
                <c:pt idx="659">
                  <c:v>12.035899999999891</c:v>
                </c:pt>
                <c:pt idx="660">
                  <c:v>12.035999999999891</c:v>
                </c:pt>
                <c:pt idx="661">
                  <c:v>12.036099999999891</c:v>
                </c:pt>
                <c:pt idx="662">
                  <c:v>12.036199999999891</c:v>
                </c:pt>
                <c:pt idx="663">
                  <c:v>12.036299999999891</c:v>
                </c:pt>
                <c:pt idx="664">
                  <c:v>12.03639999999989</c:v>
                </c:pt>
                <c:pt idx="665">
                  <c:v>12.03649999999989</c:v>
                </c:pt>
                <c:pt idx="666">
                  <c:v>12.03659999999989</c:v>
                </c:pt>
                <c:pt idx="667">
                  <c:v>12.03669999999989</c:v>
                </c:pt>
                <c:pt idx="668">
                  <c:v>12.036799999999889</c:v>
                </c:pt>
                <c:pt idx="669">
                  <c:v>12.036899999999889</c:v>
                </c:pt>
                <c:pt idx="670">
                  <c:v>12.036999999999889</c:v>
                </c:pt>
                <c:pt idx="671">
                  <c:v>12.037099999999889</c:v>
                </c:pt>
                <c:pt idx="672">
                  <c:v>12.037199999999888</c:v>
                </c:pt>
                <c:pt idx="673">
                  <c:v>12.037299999999888</c:v>
                </c:pt>
                <c:pt idx="674">
                  <c:v>12.037399999999888</c:v>
                </c:pt>
                <c:pt idx="675">
                  <c:v>12.037499999999888</c:v>
                </c:pt>
                <c:pt idx="676">
                  <c:v>12.037599999999888</c:v>
                </c:pt>
                <c:pt idx="677">
                  <c:v>12.037699999999887</c:v>
                </c:pt>
                <c:pt idx="678">
                  <c:v>12.037799999999887</c:v>
                </c:pt>
                <c:pt idx="679">
                  <c:v>12.037899999999887</c:v>
                </c:pt>
                <c:pt idx="680">
                  <c:v>12.037999999999887</c:v>
                </c:pt>
                <c:pt idx="681">
                  <c:v>12.038099999999886</c:v>
                </c:pt>
                <c:pt idx="682">
                  <c:v>12.038199999999886</c:v>
                </c:pt>
                <c:pt idx="683">
                  <c:v>12.038299999999886</c:v>
                </c:pt>
                <c:pt idx="684">
                  <c:v>12.038399999999886</c:v>
                </c:pt>
                <c:pt idx="685">
                  <c:v>12.038499999999885</c:v>
                </c:pt>
                <c:pt idx="686">
                  <c:v>12.038599999999885</c:v>
                </c:pt>
                <c:pt idx="687">
                  <c:v>12.038699999999885</c:v>
                </c:pt>
                <c:pt idx="688">
                  <c:v>12.038799999999885</c:v>
                </c:pt>
                <c:pt idx="689">
                  <c:v>12.038899999999884</c:v>
                </c:pt>
                <c:pt idx="690">
                  <c:v>12.038999999999884</c:v>
                </c:pt>
                <c:pt idx="691">
                  <c:v>12.039099999999884</c:v>
                </c:pt>
                <c:pt idx="692">
                  <c:v>12.039199999999884</c:v>
                </c:pt>
                <c:pt idx="693">
                  <c:v>12.039299999999884</c:v>
                </c:pt>
                <c:pt idx="694">
                  <c:v>12.039399999999883</c:v>
                </c:pt>
                <c:pt idx="695">
                  <c:v>12.039499999999883</c:v>
                </c:pt>
                <c:pt idx="696">
                  <c:v>12.039599999999883</c:v>
                </c:pt>
                <c:pt idx="697">
                  <c:v>12.039699999999883</c:v>
                </c:pt>
                <c:pt idx="698">
                  <c:v>12.039799999999882</c:v>
                </c:pt>
                <c:pt idx="699">
                  <c:v>12.039899999999882</c:v>
                </c:pt>
                <c:pt idx="700">
                  <c:v>12.039999999999882</c:v>
                </c:pt>
                <c:pt idx="701">
                  <c:v>12.040099999999882</c:v>
                </c:pt>
                <c:pt idx="702">
                  <c:v>12.040199999999881</c:v>
                </c:pt>
                <c:pt idx="703">
                  <c:v>12.040299999999881</c:v>
                </c:pt>
                <c:pt idx="704">
                  <c:v>12.040399999999881</c:v>
                </c:pt>
                <c:pt idx="705">
                  <c:v>12.040499999999881</c:v>
                </c:pt>
                <c:pt idx="706">
                  <c:v>12.040599999999881</c:v>
                </c:pt>
                <c:pt idx="707">
                  <c:v>12.04069999999988</c:v>
                </c:pt>
                <c:pt idx="708">
                  <c:v>12.04079999999988</c:v>
                </c:pt>
                <c:pt idx="709">
                  <c:v>12.04089999999988</c:v>
                </c:pt>
                <c:pt idx="710">
                  <c:v>12.04099999999988</c:v>
                </c:pt>
                <c:pt idx="711">
                  <c:v>12.041099999999879</c:v>
                </c:pt>
                <c:pt idx="712">
                  <c:v>12.041199999999879</c:v>
                </c:pt>
                <c:pt idx="713">
                  <c:v>12.041299999999879</c:v>
                </c:pt>
                <c:pt idx="714">
                  <c:v>12.041399999999879</c:v>
                </c:pt>
                <c:pt idx="715">
                  <c:v>12.041499999999878</c:v>
                </c:pt>
                <c:pt idx="716">
                  <c:v>12.041599999999878</c:v>
                </c:pt>
                <c:pt idx="717">
                  <c:v>12.041699999999878</c:v>
                </c:pt>
                <c:pt idx="718">
                  <c:v>12.041799999999878</c:v>
                </c:pt>
                <c:pt idx="719">
                  <c:v>12.041899999999877</c:v>
                </c:pt>
                <c:pt idx="720">
                  <c:v>12.041999999999877</c:v>
                </c:pt>
                <c:pt idx="721">
                  <c:v>12.042099999999877</c:v>
                </c:pt>
                <c:pt idx="722">
                  <c:v>12.042199999999877</c:v>
                </c:pt>
                <c:pt idx="723">
                  <c:v>12.042299999999877</c:v>
                </c:pt>
                <c:pt idx="724">
                  <c:v>12.042399999999876</c:v>
                </c:pt>
                <c:pt idx="725">
                  <c:v>12.042499999999876</c:v>
                </c:pt>
                <c:pt idx="726">
                  <c:v>12.042599999999876</c:v>
                </c:pt>
                <c:pt idx="727">
                  <c:v>12.042699999999876</c:v>
                </c:pt>
                <c:pt idx="728">
                  <c:v>12.042799999999875</c:v>
                </c:pt>
                <c:pt idx="729">
                  <c:v>12.042899999999875</c:v>
                </c:pt>
                <c:pt idx="730">
                  <c:v>12.042999999999875</c:v>
                </c:pt>
                <c:pt idx="731">
                  <c:v>12.043099999999875</c:v>
                </c:pt>
                <c:pt idx="732">
                  <c:v>12.043199999999874</c:v>
                </c:pt>
                <c:pt idx="733">
                  <c:v>12.043299999999874</c:v>
                </c:pt>
                <c:pt idx="734">
                  <c:v>12.043399999999874</c:v>
                </c:pt>
                <c:pt idx="735">
                  <c:v>12.043499999999874</c:v>
                </c:pt>
                <c:pt idx="736">
                  <c:v>12.043599999999874</c:v>
                </c:pt>
                <c:pt idx="737">
                  <c:v>12.043699999999873</c:v>
                </c:pt>
                <c:pt idx="738">
                  <c:v>12.043799999999873</c:v>
                </c:pt>
                <c:pt idx="739">
                  <c:v>12.043899999999873</c:v>
                </c:pt>
                <c:pt idx="740">
                  <c:v>12.043999999999873</c:v>
                </c:pt>
                <c:pt idx="741">
                  <c:v>12.044099999999872</c:v>
                </c:pt>
                <c:pt idx="742">
                  <c:v>12.044199999999872</c:v>
                </c:pt>
                <c:pt idx="743">
                  <c:v>12.044299999999872</c:v>
                </c:pt>
                <c:pt idx="744">
                  <c:v>12.044399999999872</c:v>
                </c:pt>
                <c:pt idx="745">
                  <c:v>12.044499999999871</c:v>
                </c:pt>
                <c:pt idx="746">
                  <c:v>12.044599999999871</c:v>
                </c:pt>
                <c:pt idx="747">
                  <c:v>12.044699999999871</c:v>
                </c:pt>
                <c:pt idx="748">
                  <c:v>12.044799999999871</c:v>
                </c:pt>
                <c:pt idx="749">
                  <c:v>12.04489999999987</c:v>
                </c:pt>
                <c:pt idx="750">
                  <c:v>12.04499999999987</c:v>
                </c:pt>
                <c:pt idx="751">
                  <c:v>12.04509999999987</c:v>
                </c:pt>
                <c:pt idx="752">
                  <c:v>12.04519999999987</c:v>
                </c:pt>
                <c:pt idx="753">
                  <c:v>12.04529999999987</c:v>
                </c:pt>
                <c:pt idx="754">
                  <c:v>12.045399999999869</c:v>
                </c:pt>
                <c:pt idx="755">
                  <c:v>12.045499999999869</c:v>
                </c:pt>
                <c:pt idx="756">
                  <c:v>12.045599999999869</c:v>
                </c:pt>
                <c:pt idx="757">
                  <c:v>12.045699999999869</c:v>
                </c:pt>
                <c:pt idx="758">
                  <c:v>12.045799999999868</c:v>
                </c:pt>
                <c:pt idx="759">
                  <c:v>12.045899999999868</c:v>
                </c:pt>
                <c:pt idx="760">
                  <c:v>12.045999999999868</c:v>
                </c:pt>
                <c:pt idx="761">
                  <c:v>12.046099999999868</c:v>
                </c:pt>
                <c:pt idx="762">
                  <c:v>12.046199999999867</c:v>
                </c:pt>
                <c:pt idx="763">
                  <c:v>12.046299999999867</c:v>
                </c:pt>
                <c:pt idx="764">
                  <c:v>12.046399999999867</c:v>
                </c:pt>
                <c:pt idx="765">
                  <c:v>12.046499999999867</c:v>
                </c:pt>
                <c:pt idx="766">
                  <c:v>12.046599999999867</c:v>
                </c:pt>
                <c:pt idx="767">
                  <c:v>12.046699999999866</c:v>
                </c:pt>
                <c:pt idx="768">
                  <c:v>12.046799999999866</c:v>
                </c:pt>
                <c:pt idx="769">
                  <c:v>12.046899999999866</c:v>
                </c:pt>
                <c:pt idx="770">
                  <c:v>12.046999999999866</c:v>
                </c:pt>
                <c:pt idx="771">
                  <c:v>12.047099999999865</c:v>
                </c:pt>
                <c:pt idx="772">
                  <c:v>12.047199999999865</c:v>
                </c:pt>
                <c:pt idx="773">
                  <c:v>12.047299999999865</c:v>
                </c:pt>
                <c:pt idx="774">
                  <c:v>12.047399999999865</c:v>
                </c:pt>
                <c:pt idx="775">
                  <c:v>12.047499999999864</c:v>
                </c:pt>
                <c:pt idx="776">
                  <c:v>12.047599999999864</c:v>
                </c:pt>
                <c:pt idx="777">
                  <c:v>12.047699999999864</c:v>
                </c:pt>
                <c:pt idx="778">
                  <c:v>12.047799999999864</c:v>
                </c:pt>
                <c:pt idx="779">
                  <c:v>12.047899999999863</c:v>
                </c:pt>
                <c:pt idx="780">
                  <c:v>12.047999999999863</c:v>
                </c:pt>
                <c:pt idx="781">
                  <c:v>12.048099999999863</c:v>
                </c:pt>
                <c:pt idx="782">
                  <c:v>12.048199999999863</c:v>
                </c:pt>
                <c:pt idx="783">
                  <c:v>12.048299999999863</c:v>
                </c:pt>
                <c:pt idx="784">
                  <c:v>12.048399999999862</c:v>
                </c:pt>
                <c:pt idx="785">
                  <c:v>12.048499999999862</c:v>
                </c:pt>
                <c:pt idx="786">
                  <c:v>12.048599999999862</c:v>
                </c:pt>
                <c:pt idx="787">
                  <c:v>12.048699999999862</c:v>
                </c:pt>
                <c:pt idx="788">
                  <c:v>12.048799999999861</c:v>
                </c:pt>
                <c:pt idx="789">
                  <c:v>12.048899999999861</c:v>
                </c:pt>
                <c:pt idx="790">
                  <c:v>12.048999999999861</c:v>
                </c:pt>
                <c:pt idx="791">
                  <c:v>12.049099999999861</c:v>
                </c:pt>
                <c:pt idx="792">
                  <c:v>12.04919999999986</c:v>
                </c:pt>
                <c:pt idx="793">
                  <c:v>12.04929999999986</c:v>
                </c:pt>
                <c:pt idx="794">
                  <c:v>12.04939999999986</c:v>
                </c:pt>
                <c:pt idx="795">
                  <c:v>12.04949999999986</c:v>
                </c:pt>
                <c:pt idx="796">
                  <c:v>12.04959999999986</c:v>
                </c:pt>
                <c:pt idx="797">
                  <c:v>12.049699999999859</c:v>
                </c:pt>
                <c:pt idx="798">
                  <c:v>12.049799999999859</c:v>
                </c:pt>
                <c:pt idx="799">
                  <c:v>12.049899999999859</c:v>
                </c:pt>
                <c:pt idx="800">
                  <c:v>12.049999999999859</c:v>
                </c:pt>
                <c:pt idx="801">
                  <c:v>12.050099999999858</c:v>
                </c:pt>
                <c:pt idx="802">
                  <c:v>12.050199999999858</c:v>
                </c:pt>
                <c:pt idx="803">
                  <c:v>12.050299999999858</c:v>
                </c:pt>
                <c:pt idx="804">
                  <c:v>12.050399999999858</c:v>
                </c:pt>
                <c:pt idx="805">
                  <c:v>12.050499999999857</c:v>
                </c:pt>
                <c:pt idx="806">
                  <c:v>12.050599999999857</c:v>
                </c:pt>
                <c:pt idx="807">
                  <c:v>12.050699999999857</c:v>
                </c:pt>
                <c:pt idx="808">
                  <c:v>12.050799999999857</c:v>
                </c:pt>
                <c:pt idx="809">
                  <c:v>12.050899999999857</c:v>
                </c:pt>
                <c:pt idx="810">
                  <c:v>12.050999999999856</c:v>
                </c:pt>
                <c:pt idx="811">
                  <c:v>12.051099999999856</c:v>
                </c:pt>
                <c:pt idx="812">
                  <c:v>12.051199999999856</c:v>
                </c:pt>
                <c:pt idx="813">
                  <c:v>12.051299999999856</c:v>
                </c:pt>
                <c:pt idx="814">
                  <c:v>12.051399999999855</c:v>
                </c:pt>
                <c:pt idx="815">
                  <c:v>12.051499999999855</c:v>
                </c:pt>
                <c:pt idx="816">
                  <c:v>12.051599999999855</c:v>
                </c:pt>
                <c:pt idx="817">
                  <c:v>12.051699999999855</c:v>
                </c:pt>
                <c:pt idx="818">
                  <c:v>12.051799999999854</c:v>
                </c:pt>
                <c:pt idx="819">
                  <c:v>12.051899999999854</c:v>
                </c:pt>
                <c:pt idx="820">
                  <c:v>12.051999999999854</c:v>
                </c:pt>
                <c:pt idx="821">
                  <c:v>12.052099999999854</c:v>
                </c:pt>
                <c:pt idx="822">
                  <c:v>12.052199999999853</c:v>
                </c:pt>
                <c:pt idx="823">
                  <c:v>12.052299999999853</c:v>
                </c:pt>
                <c:pt idx="824">
                  <c:v>12.052399999999853</c:v>
                </c:pt>
                <c:pt idx="825">
                  <c:v>12.052499999999853</c:v>
                </c:pt>
                <c:pt idx="826">
                  <c:v>12.052599999999853</c:v>
                </c:pt>
                <c:pt idx="827">
                  <c:v>12.052699999999852</c:v>
                </c:pt>
                <c:pt idx="828">
                  <c:v>12.052799999999852</c:v>
                </c:pt>
                <c:pt idx="829">
                  <c:v>12.052899999999852</c:v>
                </c:pt>
                <c:pt idx="830">
                  <c:v>12.052999999999852</c:v>
                </c:pt>
                <c:pt idx="831">
                  <c:v>12.053099999999851</c:v>
                </c:pt>
                <c:pt idx="832">
                  <c:v>12.053199999999851</c:v>
                </c:pt>
                <c:pt idx="833">
                  <c:v>12.053299999999851</c:v>
                </c:pt>
                <c:pt idx="834">
                  <c:v>12.053399999999851</c:v>
                </c:pt>
                <c:pt idx="835">
                  <c:v>12.05349999999985</c:v>
                </c:pt>
                <c:pt idx="836">
                  <c:v>12.05359999999985</c:v>
                </c:pt>
                <c:pt idx="837">
                  <c:v>12.05369999999985</c:v>
                </c:pt>
                <c:pt idx="838">
                  <c:v>12.05379999999985</c:v>
                </c:pt>
                <c:pt idx="839">
                  <c:v>12.05389999999985</c:v>
                </c:pt>
                <c:pt idx="840">
                  <c:v>12.053999999999849</c:v>
                </c:pt>
                <c:pt idx="841">
                  <c:v>12.054099999999849</c:v>
                </c:pt>
                <c:pt idx="842">
                  <c:v>12.054199999999849</c:v>
                </c:pt>
                <c:pt idx="843">
                  <c:v>12.054299999999849</c:v>
                </c:pt>
                <c:pt idx="844">
                  <c:v>12.054399999999848</c:v>
                </c:pt>
                <c:pt idx="845">
                  <c:v>12.054499999999848</c:v>
                </c:pt>
                <c:pt idx="846">
                  <c:v>12.054599999999848</c:v>
                </c:pt>
                <c:pt idx="847">
                  <c:v>12.054699999999848</c:v>
                </c:pt>
                <c:pt idx="848">
                  <c:v>12.054799999999847</c:v>
                </c:pt>
                <c:pt idx="849">
                  <c:v>12.054899999999847</c:v>
                </c:pt>
                <c:pt idx="850">
                  <c:v>12.054999999999847</c:v>
                </c:pt>
                <c:pt idx="851">
                  <c:v>12.055099999999847</c:v>
                </c:pt>
                <c:pt idx="852">
                  <c:v>12.055199999999846</c:v>
                </c:pt>
                <c:pt idx="853">
                  <c:v>12.055299999999846</c:v>
                </c:pt>
                <c:pt idx="854">
                  <c:v>12.055399999999846</c:v>
                </c:pt>
                <c:pt idx="855">
                  <c:v>12.055499999999846</c:v>
                </c:pt>
                <c:pt idx="856">
                  <c:v>12.055599999999846</c:v>
                </c:pt>
                <c:pt idx="857">
                  <c:v>12.055699999999845</c:v>
                </c:pt>
                <c:pt idx="858">
                  <c:v>12.055799999999845</c:v>
                </c:pt>
                <c:pt idx="859">
                  <c:v>12.055899999999845</c:v>
                </c:pt>
                <c:pt idx="860">
                  <c:v>12.055999999999845</c:v>
                </c:pt>
                <c:pt idx="861">
                  <c:v>12.056099999999844</c:v>
                </c:pt>
                <c:pt idx="862">
                  <c:v>12.056199999999844</c:v>
                </c:pt>
                <c:pt idx="863">
                  <c:v>12.056299999999844</c:v>
                </c:pt>
                <c:pt idx="864">
                  <c:v>12.056399999999844</c:v>
                </c:pt>
                <c:pt idx="865">
                  <c:v>12.056499999999843</c:v>
                </c:pt>
                <c:pt idx="866">
                  <c:v>12.056599999999843</c:v>
                </c:pt>
                <c:pt idx="867">
                  <c:v>12.056699999999843</c:v>
                </c:pt>
                <c:pt idx="868">
                  <c:v>12.056799999999843</c:v>
                </c:pt>
                <c:pt idx="869">
                  <c:v>12.056899999999843</c:v>
                </c:pt>
                <c:pt idx="870">
                  <c:v>12.056999999999842</c:v>
                </c:pt>
                <c:pt idx="871">
                  <c:v>12.057099999999842</c:v>
                </c:pt>
                <c:pt idx="872">
                  <c:v>12.057199999999842</c:v>
                </c:pt>
                <c:pt idx="873">
                  <c:v>12.057299999999842</c:v>
                </c:pt>
                <c:pt idx="874">
                  <c:v>12.057399999999841</c:v>
                </c:pt>
                <c:pt idx="875">
                  <c:v>12.057499999999841</c:v>
                </c:pt>
                <c:pt idx="876">
                  <c:v>12.057599999999841</c:v>
                </c:pt>
                <c:pt idx="877">
                  <c:v>12.057699999999841</c:v>
                </c:pt>
                <c:pt idx="878">
                  <c:v>12.05779999999984</c:v>
                </c:pt>
                <c:pt idx="879">
                  <c:v>12.05789999999984</c:v>
                </c:pt>
                <c:pt idx="880">
                  <c:v>12.05799999999984</c:v>
                </c:pt>
                <c:pt idx="881">
                  <c:v>12.05809999999984</c:v>
                </c:pt>
                <c:pt idx="882">
                  <c:v>12.058199999999839</c:v>
                </c:pt>
                <c:pt idx="883">
                  <c:v>12.058299999999839</c:v>
                </c:pt>
                <c:pt idx="884">
                  <c:v>12.058399999999839</c:v>
                </c:pt>
                <c:pt idx="885">
                  <c:v>12.058499999999839</c:v>
                </c:pt>
                <c:pt idx="886">
                  <c:v>12.058599999999839</c:v>
                </c:pt>
                <c:pt idx="887">
                  <c:v>12.058699999999838</c:v>
                </c:pt>
                <c:pt idx="888">
                  <c:v>12.058799999999838</c:v>
                </c:pt>
                <c:pt idx="889">
                  <c:v>12.058899999999838</c:v>
                </c:pt>
                <c:pt idx="890">
                  <c:v>12.058999999999838</c:v>
                </c:pt>
                <c:pt idx="891">
                  <c:v>12.059099999999837</c:v>
                </c:pt>
                <c:pt idx="892">
                  <c:v>12.059199999999837</c:v>
                </c:pt>
                <c:pt idx="893">
                  <c:v>12.059299999999837</c:v>
                </c:pt>
                <c:pt idx="894">
                  <c:v>12.059399999999837</c:v>
                </c:pt>
                <c:pt idx="895">
                  <c:v>12.059499999999836</c:v>
                </c:pt>
                <c:pt idx="896">
                  <c:v>12.059599999999836</c:v>
                </c:pt>
                <c:pt idx="897">
                  <c:v>12.059699999999836</c:v>
                </c:pt>
                <c:pt idx="898">
                  <c:v>12.059799999999836</c:v>
                </c:pt>
                <c:pt idx="899">
                  <c:v>12.059899999999836</c:v>
                </c:pt>
                <c:pt idx="900">
                  <c:v>12.059999999999835</c:v>
                </c:pt>
                <c:pt idx="901">
                  <c:v>12.060099999999835</c:v>
                </c:pt>
                <c:pt idx="902">
                  <c:v>12.060199999999835</c:v>
                </c:pt>
                <c:pt idx="903">
                  <c:v>12.060299999999835</c:v>
                </c:pt>
                <c:pt idx="904">
                  <c:v>12.060399999999834</c:v>
                </c:pt>
                <c:pt idx="905">
                  <c:v>12.060499999999834</c:v>
                </c:pt>
                <c:pt idx="906">
                  <c:v>12.060599999999834</c:v>
                </c:pt>
                <c:pt idx="907">
                  <c:v>12.060699999999834</c:v>
                </c:pt>
                <c:pt idx="908">
                  <c:v>12.060799999999833</c:v>
                </c:pt>
                <c:pt idx="909">
                  <c:v>12.060899999999833</c:v>
                </c:pt>
                <c:pt idx="910">
                  <c:v>12.060999999999833</c:v>
                </c:pt>
                <c:pt idx="911">
                  <c:v>12.061099999999833</c:v>
                </c:pt>
                <c:pt idx="912">
                  <c:v>12.061199999999832</c:v>
                </c:pt>
                <c:pt idx="913">
                  <c:v>12.061299999999832</c:v>
                </c:pt>
                <c:pt idx="914">
                  <c:v>12.061399999999832</c:v>
                </c:pt>
                <c:pt idx="915">
                  <c:v>12.061499999999832</c:v>
                </c:pt>
                <c:pt idx="916">
                  <c:v>12.061599999999832</c:v>
                </c:pt>
                <c:pt idx="917">
                  <c:v>12.061699999999831</c:v>
                </c:pt>
                <c:pt idx="918">
                  <c:v>12.061799999999831</c:v>
                </c:pt>
                <c:pt idx="919">
                  <c:v>12.061899999999831</c:v>
                </c:pt>
                <c:pt idx="920">
                  <c:v>12.061999999999831</c:v>
                </c:pt>
                <c:pt idx="921">
                  <c:v>12.06209999999983</c:v>
                </c:pt>
                <c:pt idx="922">
                  <c:v>12.06219999999983</c:v>
                </c:pt>
                <c:pt idx="923">
                  <c:v>12.06229999999983</c:v>
                </c:pt>
                <c:pt idx="924">
                  <c:v>12.06239999999983</c:v>
                </c:pt>
                <c:pt idx="925">
                  <c:v>12.062499999999829</c:v>
                </c:pt>
                <c:pt idx="926">
                  <c:v>12.062599999999829</c:v>
                </c:pt>
                <c:pt idx="927">
                  <c:v>12.062699999999829</c:v>
                </c:pt>
                <c:pt idx="928">
                  <c:v>12.062799999999829</c:v>
                </c:pt>
                <c:pt idx="929">
                  <c:v>12.062899999999829</c:v>
                </c:pt>
                <c:pt idx="930">
                  <c:v>12.062999999999828</c:v>
                </c:pt>
                <c:pt idx="931">
                  <c:v>12.063099999999828</c:v>
                </c:pt>
                <c:pt idx="932">
                  <c:v>12.063199999999828</c:v>
                </c:pt>
                <c:pt idx="933">
                  <c:v>12.063299999999828</c:v>
                </c:pt>
                <c:pt idx="934">
                  <c:v>12.063399999999827</c:v>
                </c:pt>
                <c:pt idx="935">
                  <c:v>12.063499999999827</c:v>
                </c:pt>
                <c:pt idx="936">
                  <c:v>12.063599999999827</c:v>
                </c:pt>
                <c:pt idx="937">
                  <c:v>12.063699999999827</c:v>
                </c:pt>
                <c:pt idx="938">
                  <c:v>12.063799999999826</c:v>
                </c:pt>
                <c:pt idx="939">
                  <c:v>12.063899999999826</c:v>
                </c:pt>
                <c:pt idx="940">
                  <c:v>12.063999999999826</c:v>
                </c:pt>
                <c:pt idx="941">
                  <c:v>12.064099999999826</c:v>
                </c:pt>
                <c:pt idx="942">
                  <c:v>12.064199999999826</c:v>
                </c:pt>
                <c:pt idx="943">
                  <c:v>12.064299999999825</c:v>
                </c:pt>
                <c:pt idx="944">
                  <c:v>12.064399999999825</c:v>
                </c:pt>
                <c:pt idx="945">
                  <c:v>12.064499999999825</c:v>
                </c:pt>
                <c:pt idx="946">
                  <c:v>12.064599999999825</c:v>
                </c:pt>
                <c:pt idx="947">
                  <c:v>12.064699999999824</c:v>
                </c:pt>
                <c:pt idx="948">
                  <c:v>12.064799999999824</c:v>
                </c:pt>
                <c:pt idx="949">
                  <c:v>12.064899999999824</c:v>
                </c:pt>
                <c:pt idx="950">
                  <c:v>12.064999999999824</c:v>
                </c:pt>
                <c:pt idx="951">
                  <c:v>12.065099999999823</c:v>
                </c:pt>
                <c:pt idx="952">
                  <c:v>12.065199999999823</c:v>
                </c:pt>
                <c:pt idx="953">
                  <c:v>12.065299999999823</c:v>
                </c:pt>
                <c:pt idx="954">
                  <c:v>12.065399999999823</c:v>
                </c:pt>
                <c:pt idx="955">
                  <c:v>12.065499999999822</c:v>
                </c:pt>
                <c:pt idx="956">
                  <c:v>12.065599999999822</c:v>
                </c:pt>
                <c:pt idx="957">
                  <c:v>12.065699999999822</c:v>
                </c:pt>
                <c:pt idx="958">
                  <c:v>12.065799999999822</c:v>
                </c:pt>
                <c:pt idx="959">
                  <c:v>12.065899999999822</c:v>
                </c:pt>
                <c:pt idx="960">
                  <c:v>12.065999999999821</c:v>
                </c:pt>
                <c:pt idx="961">
                  <c:v>12.066099999999821</c:v>
                </c:pt>
                <c:pt idx="962">
                  <c:v>12.066199999999821</c:v>
                </c:pt>
                <c:pt idx="963">
                  <c:v>12.066299999999821</c:v>
                </c:pt>
                <c:pt idx="964">
                  <c:v>12.06639999999982</c:v>
                </c:pt>
                <c:pt idx="965">
                  <c:v>12.06649999999982</c:v>
                </c:pt>
                <c:pt idx="966">
                  <c:v>12.06659999999982</c:v>
                </c:pt>
                <c:pt idx="967">
                  <c:v>12.06669999999982</c:v>
                </c:pt>
                <c:pt idx="968">
                  <c:v>12.066799999999819</c:v>
                </c:pt>
                <c:pt idx="969">
                  <c:v>12.066899999999819</c:v>
                </c:pt>
                <c:pt idx="970">
                  <c:v>12.066999999999819</c:v>
                </c:pt>
                <c:pt idx="971">
                  <c:v>12.067099999999819</c:v>
                </c:pt>
                <c:pt idx="972">
                  <c:v>12.067199999999819</c:v>
                </c:pt>
                <c:pt idx="973">
                  <c:v>12.067299999999818</c:v>
                </c:pt>
                <c:pt idx="974">
                  <c:v>12.067399999999818</c:v>
                </c:pt>
                <c:pt idx="975">
                  <c:v>12.067499999999818</c:v>
                </c:pt>
                <c:pt idx="976">
                  <c:v>12.067599999999818</c:v>
                </c:pt>
                <c:pt idx="977">
                  <c:v>12.067699999999817</c:v>
                </c:pt>
                <c:pt idx="978">
                  <c:v>12.067799999999817</c:v>
                </c:pt>
                <c:pt idx="979">
                  <c:v>12.067899999999817</c:v>
                </c:pt>
                <c:pt idx="980">
                  <c:v>12.067999999999817</c:v>
                </c:pt>
                <c:pt idx="981">
                  <c:v>12.068099999999816</c:v>
                </c:pt>
                <c:pt idx="982">
                  <c:v>12.068199999999816</c:v>
                </c:pt>
                <c:pt idx="983">
                  <c:v>12.068299999999816</c:v>
                </c:pt>
                <c:pt idx="984">
                  <c:v>12.068399999999816</c:v>
                </c:pt>
                <c:pt idx="985">
                  <c:v>12.068499999999815</c:v>
                </c:pt>
                <c:pt idx="986">
                  <c:v>12.068599999999815</c:v>
                </c:pt>
                <c:pt idx="987">
                  <c:v>12.068699999999815</c:v>
                </c:pt>
                <c:pt idx="988">
                  <c:v>12.068799999999815</c:v>
                </c:pt>
                <c:pt idx="989">
                  <c:v>12.068899999999815</c:v>
                </c:pt>
                <c:pt idx="990">
                  <c:v>12.068999999999814</c:v>
                </c:pt>
                <c:pt idx="991">
                  <c:v>12.069099999999814</c:v>
                </c:pt>
                <c:pt idx="992">
                  <c:v>12.069199999999814</c:v>
                </c:pt>
                <c:pt idx="993">
                  <c:v>12.069299999999814</c:v>
                </c:pt>
                <c:pt idx="994">
                  <c:v>12.069399999999813</c:v>
                </c:pt>
                <c:pt idx="995">
                  <c:v>12.069499999999813</c:v>
                </c:pt>
                <c:pt idx="996">
                  <c:v>12.069599999999813</c:v>
                </c:pt>
                <c:pt idx="997">
                  <c:v>12.069699999999813</c:v>
                </c:pt>
                <c:pt idx="998">
                  <c:v>12.069799999999812</c:v>
                </c:pt>
                <c:pt idx="999">
                  <c:v>12.069899999999812</c:v>
                </c:pt>
                <c:pt idx="1000">
                  <c:v>12.069999999999812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9.5476849499258624E-4</c:v>
                </c:pt>
                <c:pt idx="2">
                  <c:v>6.7041506585954914E-3</c:v>
                </c:pt>
                <c:pt idx="3">
                  <c:v>2.1347892084722167E-2</c:v>
                </c:pt>
                <c:pt idx="4">
                  <c:v>4.5641448750859806E-2</c:v>
                </c:pt>
                <c:pt idx="5">
                  <c:v>7.8886855363211827E-2</c:v>
                </c:pt>
                <c:pt idx="6">
                  <c:v>0.12082755256820427</c:v>
                </c:pt>
                <c:pt idx="7">
                  <c:v>0.17142780490487936</c:v>
                </c:pt>
                <c:pt idx="8">
                  <c:v>0.23065163508789061</c:v>
                </c:pt>
                <c:pt idx="9">
                  <c:v>0.29846282623171161</c:v>
                </c:pt>
                <c:pt idx="10">
                  <c:v>0.37482492409416895</c:v>
                </c:pt>
                <c:pt idx="11">
                  <c:v>0.45970123933881296</c:v>
                </c:pt>
                <c:pt idx="12">
                  <c:v>0.55305484981563557</c:v>
                </c:pt>
                <c:pt idx="13">
                  <c:v>0.65484860285964364</c:v>
                </c:pt>
                <c:pt idx="14">
                  <c:v>0.76504511760679228</c:v>
                </c:pt>
                <c:pt idx="15">
                  <c:v>0.88360678732678144</c:v>
                </c:pt>
                <c:pt idx="16">
                  <c:v>1.010495781772216</c:v>
                </c:pt>
                <c:pt idx="17">
                  <c:v>1.1456740495436277</c:v>
                </c:pt>
                <c:pt idx="18">
                  <c:v>1.2891033204698563</c:v>
                </c:pt>
                <c:pt idx="19">
                  <c:v>1.4407451080032851</c:v>
                </c:pt>
                <c:pt idx="20">
                  <c:v>1.6005607116294238</c:v>
                </c:pt>
                <c:pt idx="21">
                  <c:v>1.7685112192903334</c:v>
                </c:pt>
                <c:pt idx="22">
                  <c:v>1.9445575098213814</c:v>
                </c:pt>
                <c:pt idx="23">
                  <c:v>2.1286602554008214</c:v>
                </c:pt>
                <c:pt idx="24">
                  <c:v>2.3207799240116849</c:v>
                </c:pt>
                <c:pt idx="25">
                  <c:v>2.5208767819154749</c:v>
                </c:pt>
                <c:pt idx="26">
                  <c:v>2.7289071684632513</c:v>
                </c:pt>
                <c:pt idx="27">
                  <c:v>2.9448270722619618</c:v>
                </c:pt>
                <c:pt idx="28">
                  <c:v>3.1685958650668411</c:v>
                </c:pt>
                <c:pt idx="29">
                  <c:v>3.4001727359070255</c:v>
                </c:pt>
                <c:pt idx="30">
                  <c:v>3.6395166948821154</c:v>
                </c:pt>
                <c:pt idx="31">
                  <c:v>3.8865865751309832</c:v>
                </c:pt>
                <c:pt idx="32">
                  <c:v>4.1413410348610018</c:v>
                </c:pt>
                <c:pt idx="33">
                  <c:v>4.4037385594307912</c:v>
                </c:pt>
                <c:pt idx="34">
                  <c:v>4.6737374634805438</c:v>
                </c:pt>
                <c:pt idx="35">
                  <c:v>4.9512958931047795</c:v>
                </c:pt>
                <c:pt idx="36">
                  <c:v>5.2363718280630369</c:v>
                </c:pt>
                <c:pt idx="37">
                  <c:v>5.5289230840245649</c:v>
                </c:pt>
                <c:pt idx="38">
                  <c:v>5.8289073148435193</c:v>
                </c:pt>
                <c:pt idx="39">
                  <c:v>6.1362820148615835</c:v>
                </c:pt>
                <c:pt idx="40">
                  <c:v>6.4510045212352356</c:v>
                </c:pt>
                <c:pt idx="41">
                  <c:v>6.773032016285188</c:v>
                </c:pt>
                <c:pt idx="42">
                  <c:v>7.1023215298657449</c:v>
                </c:pt>
                <c:pt idx="43">
                  <c:v>7.4388299417520543</c:v>
                </c:pt>
                <c:pt idx="44">
                  <c:v>7.7825139840433817</c:v>
                </c:pt>
                <c:pt idx="45">
                  <c:v>8.133330243580712</c:v>
                </c:pt>
                <c:pt idx="46">
                  <c:v>8.4912351643771107</c:v>
                </c:pt>
                <c:pt idx="47">
                  <c:v>8.856185050059393</c:v>
                </c:pt>
                <c:pt idx="48">
                  <c:v>9.2281360663197596</c:v>
                </c:pt>
                <c:pt idx="49">
                  <c:v>9.6070442433761354</c:v>
                </c:pt>
                <c:pt idx="50">
                  <c:v>9.9928654784400557</c:v>
                </c:pt>
                <c:pt idx="51">
                  <c:v>10.385555538190985</c:v>
                </c:pt>
                <c:pt idx="52">
                  <c:v>10.785070061256034</c:v>
                </c:pt>
                <c:pt idx="53">
                  <c:v>11.191364560694105</c:v>
                </c:pt>
                <c:pt idx="54">
                  <c:v>11.604394426483534</c:v>
                </c:pt>
                <c:pt idx="55">
                  <c:v>12.024114928012343</c:v>
                </c:pt>
                <c:pt idx="56">
                  <c:v>12.450481216570271</c:v>
                </c:pt>
                <c:pt idx="57">
                  <c:v>12.883448327841787</c:v>
                </c:pt>
                <c:pt idx="58">
                  <c:v>13.322971184399307</c:v>
                </c:pt>
                <c:pt idx="59">
                  <c:v>13.769004598195895</c:v>
                </c:pt>
                <c:pt idx="60">
                  <c:v>14.221503273056737</c:v>
                </c:pt>
                <c:pt idx="61">
                  <c:v>14.680421807168704</c:v>
                </c:pt>
                <c:pt idx="62">
                  <c:v>15.145714695567374</c:v>
                </c:pt>
                <c:pt idx="63">
                  <c:v>15.617316903013398</c:v>
                </c:pt>
                <c:pt idx="64">
                  <c:v>16.095124431270687</c:v>
                </c:pt>
                <c:pt idx="65">
                  <c:v>16.579013756530479</c:v>
                </c:pt>
                <c:pt idx="66">
                  <c:v>17.068861275233086</c:v>
                </c:pt>
                <c:pt idx="67">
                  <c:v>17.564525493092628</c:v>
                </c:pt>
                <c:pt idx="68">
                  <c:v>18.065829212405738</c:v>
                </c:pt>
                <c:pt idx="69">
                  <c:v>18.572545671116956</c:v>
                </c:pt>
                <c:pt idx="70">
                  <c:v>19.084384688712674</c:v>
                </c:pt>
                <c:pt idx="71">
                  <c:v>19.601024408415785</c:v>
                </c:pt>
                <c:pt idx="72">
                  <c:v>20.122143044437539</c:v>
                </c:pt>
                <c:pt idx="73">
                  <c:v>20.647418910002198</c:v>
                </c:pt>
                <c:pt idx="74">
                  <c:v>21.17653044456943</c:v>
                </c:pt>
                <c:pt idx="75">
                  <c:v>21.709156240248184</c:v>
                </c:pt>
                <c:pt idx="76">
                  <c:v>22.244975067396553</c:v>
                </c:pt>
                <c:pt idx="77">
                  <c:v>22.783665899402816</c:v>
                </c:pt>
                <c:pt idx="78">
                  <c:v>23.324907936643587</c:v>
                </c:pt>
                <c:pt idx="79">
                  <c:v>23.868380629615611</c:v>
                </c:pt>
                <c:pt idx="80">
                  <c:v>24.413763701238416</c:v>
                </c:pt>
                <c:pt idx="81">
                  <c:v>24.960774904383236</c:v>
                </c:pt>
                <c:pt idx="82">
                  <c:v>25.509207741852734</c:v>
                </c:pt>
                <c:pt idx="83">
                  <c:v>26.058893663775766</c:v>
                </c:pt>
                <c:pt idx="84">
                  <c:v>26.609664294624221</c:v>
                </c:pt>
                <c:pt idx="85">
                  <c:v>27.161351439129472</c:v>
                </c:pt>
                <c:pt idx="86">
                  <c:v>27.713787087965549</c:v>
                </c:pt>
                <c:pt idx="87">
                  <c:v>28.266803423199537</c:v>
                </c:pt>
                <c:pt idx="88">
                  <c:v>28.820232823509691</c:v>
                </c:pt>
                <c:pt idx="89">
                  <c:v>29.373919794083825</c:v>
                </c:pt>
                <c:pt idx="90">
                  <c:v>29.927732881649849</c:v>
                </c:pt>
                <c:pt idx="91">
                  <c:v>30.481552722841503</c:v>
                </c:pt>
                <c:pt idx="92">
                  <c:v>31.035260105954482</c:v>
                </c:pt>
                <c:pt idx="93">
                  <c:v>31.588738954775391</c:v>
                </c:pt>
                <c:pt idx="94">
                  <c:v>32.141879308374747</c:v>
                </c:pt>
                <c:pt idx="95">
                  <c:v>32.694574333077455</c:v>
                </c:pt>
                <c:pt idx="96">
                  <c:v>33.246717338059348</c:v>
                </c:pt>
                <c:pt idx="97">
                  <c:v>33.79821370453071</c:v>
                </c:pt>
                <c:pt idx="98">
                  <c:v>34.348992798283383</c:v>
                </c:pt>
                <c:pt idx="99">
                  <c:v>34.898996009247092</c:v>
                </c:pt>
                <c:pt idx="100">
                  <c:v>35.448164807077475</c:v>
                </c:pt>
                <c:pt idx="101">
                  <c:v>35.996440741261011</c:v>
                </c:pt>
                <c:pt idx="102">
                  <c:v>36.543765441193187</c:v>
                </c:pt>
                <c:pt idx="103">
                  <c:v>37.090080616230161</c:v>
                </c:pt>
                <c:pt idx="104">
                  <c:v>37.63532805571402</c:v>
                </c:pt>
                <c:pt idx="105">
                  <c:v>38.179449628971888</c:v>
                </c:pt>
                <c:pt idx="106">
                  <c:v>38.72238728528901</c:v>
                </c:pt>
                <c:pt idx="107">
                  <c:v>39.264083053856019</c:v>
                </c:pt>
                <c:pt idx="108">
                  <c:v>39.804479043690584</c:v>
                </c:pt>
                <c:pt idx="109">
                  <c:v>40.343532352230483</c:v>
                </c:pt>
                <c:pt idx="110">
                  <c:v>40.881229951784142</c:v>
                </c:pt>
                <c:pt idx="111">
                  <c:v>41.41757373720128</c:v>
                </c:pt>
                <c:pt idx="112">
                  <c:v>41.952565595747878</c:v>
                </c:pt>
                <c:pt idx="113">
                  <c:v>42.486207407138416</c:v>
                </c:pt>
                <c:pt idx="114">
                  <c:v>43.018501043567888</c:v>
                </c:pt>
                <c:pt idx="115">
                  <c:v>43.549448369743658</c:v>
                </c:pt>
                <c:pt idx="116">
                  <c:v>44.079051242917082</c:v>
                </c:pt>
                <c:pt idx="117">
                  <c:v>44.607311512914997</c:v>
                </c:pt>
                <c:pt idx="118">
                  <c:v>45.134231022170979</c:v>
                </c:pt>
                <c:pt idx="119">
                  <c:v>45.659811605756445</c:v>
                </c:pt>
                <c:pt idx="120">
                  <c:v>46.184055091411544</c:v>
                </c:pt>
                <c:pt idx="121">
                  <c:v>46.706963299575904</c:v>
                </c:pt>
                <c:pt idx="122">
                  <c:v>47.228538043419157</c:v>
                </c:pt>
                <c:pt idx="123">
                  <c:v>47.748781128871315</c:v>
                </c:pt>
                <c:pt idx="124">
                  <c:v>48.267694354652932</c:v>
                </c:pt>
                <c:pt idx="125">
                  <c:v>48.785279512305145</c:v>
                </c:pt>
                <c:pt idx="126">
                  <c:v>49.30153838621947</c:v>
                </c:pt>
                <c:pt idx="127">
                  <c:v>49.816472753667476</c:v>
                </c:pt>
                <c:pt idx="128">
                  <c:v>50.330084384830265</c:v>
                </c:pt>
                <c:pt idx="129">
                  <c:v>50.842375042827769</c:v>
                </c:pt>
                <c:pt idx="130">
                  <c:v>51.353346483747899</c:v>
                </c:pt>
                <c:pt idx="131">
                  <c:v>51.863000456675501</c:v>
                </c:pt>
                <c:pt idx="132">
                  <c:v>52.371338703721158</c:v>
                </c:pt>
                <c:pt idx="133">
                  <c:v>52.878362960049799</c:v>
                </c:pt>
                <c:pt idx="134">
                  <c:v>53.384074953909192</c:v>
                </c:pt>
                <c:pt idx="135">
                  <c:v>53.888476406658214</c:v>
                </c:pt>
                <c:pt idx="136">
                  <c:v>54.391569032794976</c:v>
                </c:pt>
                <c:pt idx="137">
                  <c:v>54.893354539984799</c:v>
                </c:pt>
                <c:pt idx="138">
                  <c:v>55.393834629088019</c:v>
                </c:pt>
                <c:pt idx="139">
                  <c:v>55.893010994187613</c:v>
                </c:pt>
                <c:pt idx="140">
                  <c:v>56.390885322616697</c:v>
                </c:pt>
                <c:pt idx="141">
                  <c:v>56.887459294985817</c:v>
                </c:pt>
                <c:pt idx="142">
                  <c:v>57.382734585210144</c:v>
                </c:pt>
                <c:pt idx="143">
                  <c:v>57.876712860536443</c:v>
                </c:pt>
                <c:pt idx="144">
                  <c:v>58.369395781569949</c:v>
                </c:pt>
                <c:pt idx="145">
                  <c:v>58.860785002301036</c:v>
                </c:pt>
                <c:pt idx="146">
                  <c:v>59.350882170131769</c:v>
                </c:pt>
                <c:pt idx="147">
                  <c:v>59.839688925902266</c:v>
                </c:pt>
                <c:pt idx="148">
                  <c:v>60.327206903916952</c:v>
                </c:pt>
                <c:pt idx="149">
                  <c:v>60.813437731970623</c:v>
                </c:pt>
                <c:pt idx="150">
                  <c:v>61.298383031374371</c:v>
                </c:pt>
                <c:pt idx="151">
                  <c:v>61.782044416981378</c:v>
                </c:pt>
                <c:pt idx="152">
                  <c:v>62.264423497212526</c:v>
                </c:pt>
                <c:pt idx="153">
                  <c:v>62.745521874081895</c:v>
                </c:pt>
                <c:pt idx="154">
                  <c:v>63.225341143222082</c:v>
                </c:pt>
                <c:pt idx="155">
                  <c:v>63.703882893909409</c:v>
                </c:pt>
                <c:pt idx="156">
                  <c:v>64.181148709088944</c:v>
                </c:pt>
                <c:pt idx="157">
                  <c:v>64.657140165399426</c:v>
                </c:pt>
                <c:pt idx="158">
                  <c:v>65.13185883319801</c:v>
                </c:pt>
                <c:pt idx="159">
                  <c:v>65.605306276584869</c:v>
                </c:pt>
                <c:pt idx="160">
                  <c:v>66.07748405342771</c:v>
                </c:pt>
                <c:pt idx="161">
                  <c:v>66.548393715386041</c:v>
                </c:pt>
                <c:pt idx="162">
                  <c:v>67.018036807935431</c:v>
                </c:pt>
                <c:pt idx="163">
                  <c:v>67.486414870391528</c:v>
                </c:pt>
                <c:pt idx="164">
                  <c:v>67.953529435933987</c:v>
                </c:pt>
                <c:pt idx="165">
                  <c:v>68.419382031630249</c:v>
                </c:pt>
                <c:pt idx="166">
                  <c:v>68.883974178459198</c:v>
                </c:pt>
                <c:pt idx="167">
                  <c:v>69.347307391334652</c:v>
                </c:pt>
                <c:pt idx="168">
                  <c:v>69.809383179128758</c:v>
                </c:pt>
                <c:pt idx="169">
                  <c:v>70.270203044695222</c:v>
                </c:pt>
                <c:pt idx="170">
                  <c:v>70.729768484892418</c:v>
                </c:pt>
                <c:pt idx="171">
                  <c:v>71.188080990606366</c:v>
                </c:pt>
                <c:pt idx="172">
                  <c:v>71.6451420467736</c:v>
                </c:pt>
                <c:pt idx="173">
                  <c:v>72.100953132403873</c:v>
                </c:pt>
                <c:pt idx="174">
                  <c:v>72.555515720602742</c:v>
                </c:pt>
                <c:pt idx="175">
                  <c:v>73.008831278594016</c:v>
                </c:pt>
                <c:pt idx="176">
                  <c:v>73.460901267742116</c:v>
                </c:pt>
                <c:pt idx="177">
                  <c:v>73.911727143574268</c:v>
                </c:pt>
                <c:pt idx="178">
                  <c:v>74.361310355802573</c:v>
                </c:pt>
                <c:pt idx="179">
                  <c:v>74.809652348345992</c:v>
                </c:pt>
                <c:pt idx="180">
                  <c:v>75.256754559352117</c:v>
                </c:pt>
                <c:pt idx="181">
                  <c:v>75.702618421218958</c:v>
                </c:pt>
                <c:pt idx="182">
                  <c:v>76.147245360616452</c:v>
                </c:pt>
                <c:pt idx="183">
                  <c:v>76.590636798507987</c:v>
                </c:pt>
                <c:pt idx="184">
                  <c:v>77.032794150171682</c:v>
                </c:pt>
                <c:pt idx="185">
                  <c:v>77.473718825221653</c:v>
                </c:pt>
                <c:pt idx="186">
                  <c:v>77.913412227629081</c:v>
                </c:pt>
                <c:pt idx="187">
                  <c:v>78.351875755743237</c:v>
                </c:pt>
                <c:pt idx="188">
                  <c:v>78.789110802312294</c:v>
                </c:pt>
                <c:pt idx="189">
                  <c:v>79.225118754504081</c:v>
                </c:pt>
                <c:pt idx="190">
                  <c:v>79.659900993926755</c:v>
                </c:pt>
                <c:pt idx="191">
                  <c:v>80.093458896649238</c:v>
                </c:pt>
                <c:pt idx="192">
                  <c:v>80.525793833221684</c:v>
                </c:pt>
                <c:pt idx="193">
                  <c:v>80.956907168695707</c:v>
                </c:pt>
                <c:pt idx="194">
                  <c:v>81.386800262644599</c:v>
                </c:pt>
                <c:pt idx="195">
                  <c:v>81.815474469183314</c:v>
                </c:pt>
                <c:pt idx="196">
                  <c:v>82.242931136988474</c:v>
                </c:pt>
                <c:pt idx="197">
                  <c:v>82.66917160931817</c:v>
                </c:pt>
                <c:pt idx="198">
                  <c:v>83.09419722403166</c:v>
                </c:pt>
                <c:pt idx="199">
                  <c:v>83.518009313609014</c:v>
                </c:pt>
                <c:pt idx="200">
                  <c:v>83.940609205170588</c:v>
                </c:pt>
                <c:pt idx="201">
                  <c:v>88.10003960790084</c:v>
                </c:pt>
                <c:pt idx="202">
                  <c:v>92.13909652460832</c:v>
                </c:pt>
                <c:pt idx="203">
                  <c:v>96.059050358541484</c:v>
                </c:pt>
                <c:pt idx="204">
                  <c:v>99.861120497665453</c:v>
                </c:pt>
                <c:pt idx="205">
                  <c:v>103.5464770759672</c:v>
                </c:pt>
                <c:pt idx="206">
                  <c:v>107.11624263826782</c:v>
                </c:pt>
                <c:pt idx="207">
                  <c:v>110.5714937140406</c:v>
                </c:pt>
                <c:pt idx="208">
                  <c:v>113.91326230534288</c:v>
                </c:pt>
                <c:pt idx="209">
                  <c:v>117.14253729360945</c:v>
                </c:pt>
                <c:pt idx="210">
                  <c:v>120.26026576972284</c:v>
                </c:pt>
                <c:pt idx="211">
                  <c:v>123.26735429146969</c:v>
                </c:pt>
                <c:pt idx="212">
                  <c:v>126.16467007220953</c:v>
                </c:pt>
                <c:pt idx="213">
                  <c:v>128.95304210432133</c:v>
                </c:pt>
                <c:pt idx="214">
                  <c:v>131.6332622207529</c:v>
                </c:pt>
                <c:pt idx="215">
                  <c:v>134.20608609777705</c:v>
                </c:pt>
                <c:pt idx="216">
                  <c:v>136.67223420185522</c:v>
                </c:pt>
                <c:pt idx="217">
                  <c:v>139.03239268332396</c:v>
                </c:pt>
                <c:pt idx="218">
                  <c:v>141.28721421945218</c:v>
                </c:pt>
                <c:pt idx="219">
                  <c:v>143.43731880926651</c:v>
                </c:pt>
                <c:pt idx="220">
                  <c:v>145.48329452241197</c:v>
                </c:pt>
                <c:pt idx="221">
                  <c:v>147.4256982042053</c:v>
                </c:pt>
                <c:pt idx="222">
                  <c:v>149.26505613895472</c:v>
                </c:pt>
                <c:pt idx="223">
                  <c:v>151.00186467356687</c:v>
                </c:pt>
                <c:pt idx="224">
                  <c:v>152.63659080345235</c:v>
                </c:pt>
                <c:pt idx="225">
                  <c:v>154.16967272278825</c:v>
                </c:pt>
                <c:pt idx="226">
                  <c:v>155.60152034132884</c:v>
                </c:pt>
                <c:pt idx="227">
                  <c:v>156.9325157702136</c:v>
                </c:pt>
                <c:pt idx="228">
                  <c:v>158.16301377967667</c:v>
                </c:pt>
                <c:pt idx="229">
                  <c:v>159.29334223232712</c:v>
                </c:pt>
                <c:pt idx="230">
                  <c:v>160.32380249694458</c:v>
                </c:pt>
                <c:pt idx="231">
                  <c:v>161.25466984986136</c:v>
                </c:pt>
                <c:pt idx="232">
                  <c:v>162.08619387458521</c:v>
                </c:pt>
                <c:pt idx="233">
                  <c:v>162.8185988764416</c:v>
                </c:pt>
                <c:pt idx="234">
                  <c:v>163.45208433963256</c:v>
                </c:pt>
                <c:pt idx="235">
                  <c:v>163.986825472704</c:v>
                </c:pt>
                <c:pt idx="236">
                  <c:v>164.42297392092351</c:v>
                </c:pt>
                <c:pt idx="237">
                  <c:v>164.76065877942563</c:v>
                </c:pt>
                <c:pt idx="238">
                  <c:v>164.99998812813877</c:v>
                </c:pt>
                <c:pt idx="239">
                  <c:v>165.14105142193264</c:v>
                </c:pt>
                <c:pt idx="240">
                  <c:v>165.18392314444216</c:v>
                </c:pt>
                <c:pt idx="241">
                  <c:v>165.12866801184336</c:v>
                </c:pt>
                <c:pt idx="242">
                  <c:v>164.9753475341864</c:v>
                </c:pt>
                <c:pt idx="243">
                  <c:v>164.72402706995669</c:v>
                </c:pt>
                <c:pt idx="244">
                  <c:v>164.37478220468753</c:v>
                </c:pt>
                <c:pt idx="245">
                  <c:v>163.92770366236198</c:v>
                </c:pt>
                <c:pt idx="246">
                  <c:v>163.38290063297231</c:v>
                </c:pt>
                <c:pt idx="247">
                  <c:v>162.74050283522681</c:v>
                </c:pt>
                <c:pt idx="248">
                  <c:v>162.00066172111823</c:v>
                </c:pt>
                <c:pt idx="249">
                  <c:v>161.16355114260585</c:v>
                </c:pt>
                <c:pt idx="250">
                  <c:v>160.22936768916352</c:v>
                </c:pt>
                <c:pt idx="251">
                  <c:v>159.19833082159258</c:v>
                </c:pt>
                <c:pt idx="252">
                  <c:v>158.07068287533076</c:v>
                </c:pt>
                <c:pt idx="253">
                  <c:v>156.84668897603291</c:v>
                </c:pt>
                <c:pt idx="254">
                  <c:v>155.52663689280709</c:v>
                </c:pt>
                <c:pt idx="255">
                  <c:v>154.1108368445465</c:v>
                </c:pt>
                <c:pt idx="256">
                  <c:v>152.59962126904048</c:v>
                </c:pt>
                <c:pt idx="257">
                  <c:v>150.9933445611577</c:v>
                </c:pt>
                <c:pt idx="258">
                  <c:v>149.29238278435668</c:v>
                </c:pt>
                <c:pt idx="259">
                  <c:v>147.49713335853306</c:v>
                </c:pt>
                <c:pt idx="260">
                  <c:v>145.60801472643632</c:v>
                </c:pt>
                <c:pt idx="261">
                  <c:v>143.62546600039684</c:v>
                </c:pt>
                <c:pt idx="262">
                  <c:v>141.54994659079031</c:v>
                </c:pt>
                <c:pt idx="263">
                  <c:v>139.38193581746179</c:v>
                </c:pt>
                <c:pt idx="264">
                  <c:v>137.12193250519931</c:v>
                </c:pt>
                <c:pt idx="265">
                  <c:v>134.77045456425907</c:v>
                </c:pt>
                <c:pt idx="266">
                  <c:v>132.32803855688812</c:v>
                </c:pt>
                <c:pt idx="267">
                  <c:v>129.79523925075134</c:v>
                </c:pt>
                <c:pt idx="268">
                  <c:v>127.17262916014595</c:v>
                </c:pt>
                <c:pt idx="269">
                  <c:v>124.46079807586914</c:v>
                </c:pt>
                <c:pt idx="270">
                  <c:v>121.66035258459372</c:v>
                </c:pt>
                <c:pt idx="271">
                  <c:v>118.77191557859807</c:v>
                </c:pt>
                <c:pt idx="272">
                  <c:v>115.7961257566901</c:v>
                </c:pt>
                <c:pt idx="273">
                  <c:v>112.73363711715946</c:v>
                </c:pt>
                <c:pt idx="274">
                  <c:v>109.58511844358586</c:v>
                </c:pt>
                <c:pt idx="275">
                  <c:v>106.35125278432541</c:v>
                </c:pt>
                <c:pt idx="276">
                  <c:v>103.03273692648965</c:v>
                </c:pt>
                <c:pt idx="277">
                  <c:v>99.630280865223597</c:v>
                </c:pt>
                <c:pt idx="278">
                  <c:v>96.144607269080225</c:v>
                </c:pt>
                <c:pt idx="279">
                  <c:v>92.57645094227756</c:v>
                </c:pt>
                <c:pt idx="280">
                  <c:v>88.92655828461325</c:v>
                </c:pt>
                <c:pt idx="281">
                  <c:v>85.195686749797787</c:v>
                </c:pt>
                <c:pt idx="282">
                  <c:v>81.384604302953321</c:v>
                </c:pt>
                <c:pt idx="283">
                  <c:v>77.494088878008881</c:v>
                </c:pt>
                <c:pt idx="284">
                  <c:v>73.524927835706109</c:v>
                </c:pt>
                <c:pt idx="285">
                  <c:v>69.477917422911105</c:v>
                </c:pt>
                <c:pt idx="286">
                  <c:v>65.353862233908828</c:v>
                </c:pt>
                <c:pt idx="287">
                  <c:v>61.153574674336156</c:v>
                </c:pt>
                <c:pt idx="288">
                  <c:v>56.877874428388367</c:v>
                </c:pt>
                <c:pt idx="289">
                  <c:v>52.527587929911768</c:v>
                </c:pt>
                <c:pt idx="290">
                  <c:v>48.103547837972172</c:v>
                </c:pt>
                <c:pt idx="291">
                  <c:v>43.606592517465444</c:v>
                </c:pt>
                <c:pt idx="292">
                  <c:v>39.037565525312054</c:v>
                </c:pt>
                <c:pt idx="293">
                  <c:v>34.397315102752962</c:v>
                </c:pt>
                <c:pt idx="294">
                  <c:v>29.686693674238942</c:v>
                </c:pt>
                <c:pt idx="295">
                  <c:v>24.906557353380094</c:v>
                </c:pt>
                <c:pt idx="296">
                  <c:v>20.057765456396496</c:v>
                </c:pt>
                <c:pt idx="297">
                  <c:v>15.141180023485148</c:v>
                </c:pt>
                <c:pt idx="298">
                  <c:v>10.157665348492372</c:v>
                </c:pt>
                <c:pt idx="299">
                  <c:v>5.1080875172548428</c:v>
                </c:pt>
                <c:pt idx="300">
                  <c:v>-6.6860450534402815E-3</c:v>
                </c:pt>
                <c:pt idx="301">
                  <c:v>-1.183323143211765E-2</c:v>
                </c:pt>
                <c:pt idx="302">
                  <c:v>-1.6980481703443604E-2</c:v>
                </c:pt>
                <c:pt idx="303">
                  <c:v>-2.2127795866555042E-2</c:v>
                </c:pt>
                <c:pt idx="304">
                  <c:v>-2.7275173920588862E-2</c:v>
                </c:pt>
                <c:pt idx="305">
                  <c:v>-3.2422615864681967E-2</c:v>
                </c:pt>
                <c:pt idx="306">
                  <c:v>-3.7570121697971262E-2</c:v>
                </c:pt>
                <c:pt idx="307">
                  <c:v>-4.271769141959364E-2</c:v>
                </c:pt>
                <c:pt idx="308">
                  <c:v>-4.7865325028686005E-2</c:v>
                </c:pt>
                <c:pt idx="309">
                  <c:v>-5.3013022524385264E-2</c:v>
                </c:pt>
                <c:pt idx="310">
                  <c:v>-5.8160783905828309E-2</c:v>
                </c:pt>
                <c:pt idx="311">
                  <c:v>-6.3308609172152044E-2</c:v>
                </c:pt>
                <c:pt idx="312">
                  <c:v>-6.845649832249337E-2</c:v>
                </c:pt>
                <c:pt idx="313">
                  <c:v>-7.360445135598917E-2</c:v>
                </c:pt>
                <c:pt idx="314">
                  <c:v>-7.8752468271776357E-2</c:v>
                </c:pt>
                <c:pt idx="315">
                  <c:v>-8.3900549068991831E-2</c:v>
                </c:pt>
                <c:pt idx="316">
                  <c:v>-8.9048693746772489E-2</c:v>
                </c:pt>
                <c:pt idx="317">
                  <c:v>-9.4196902304255231E-2</c:v>
                </c:pt>
                <c:pt idx="318">
                  <c:v>-9.9345174740576955E-2</c:v>
                </c:pt>
                <c:pt idx="319">
                  <c:v>-0.10449351105487456</c:v>
                </c:pt>
                <c:pt idx="320">
                  <c:v>-0.10964191124628495</c:v>
                </c:pt>
                <c:pt idx="321">
                  <c:v>-0.11479037531394501</c:v>
                </c:pt>
                <c:pt idx="322">
                  <c:v>-0.11993890325699165</c:v>
                </c:pt>
                <c:pt idx="323">
                  <c:v>-0.12508749507456177</c:v>
                </c:pt>
                <c:pt idx="324">
                  <c:v>-0.13023615076579226</c:v>
                </c:pt>
                <c:pt idx="325">
                  <c:v>-0.13538487032982002</c:v>
                </c:pt>
                <c:pt idx="326">
                  <c:v>-0.14053365376578195</c:v>
                </c:pt>
                <c:pt idx="327">
                  <c:v>-0.14568250107281494</c:v>
                </c:pt>
                <c:pt idx="328">
                  <c:v>-0.15083141225005589</c:v>
                </c:pt>
                <c:pt idx="329">
                  <c:v>-0.15598038729664168</c:v>
                </c:pt>
                <c:pt idx="330">
                  <c:v>-0.16112942621170923</c:v>
                </c:pt>
                <c:pt idx="331">
                  <c:v>-0.16627852899439544</c:v>
                </c:pt>
                <c:pt idx="332">
                  <c:v>-0.1714276956438372</c:v>
                </c:pt>
                <c:pt idx="333">
                  <c:v>-0.17657692615917139</c:v>
                </c:pt>
                <c:pt idx="334">
                  <c:v>-0.18172622053953494</c:v>
                </c:pt>
                <c:pt idx="335">
                  <c:v>-0.18687557878406472</c:v>
                </c:pt>
                <c:pt idx="336">
                  <c:v>-0.19202500089189761</c:v>
                </c:pt>
                <c:pt idx="337">
                  <c:v>-0.19717448686217054</c:v>
                </c:pt>
                <c:pt idx="338">
                  <c:v>-0.20232403669402038</c:v>
                </c:pt>
                <c:pt idx="339">
                  <c:v>-0.20747365038658405</c:v>
                </c:pt>
                <c:pt idx="340">
                  <c:v>-0.21262332793899844</c:v>
                </c:pt>
                <c:pt idx="341">
                  <c:v>-0.21777306935040042</c:v>
                </c:pt>
                <c:pt idx="342">
                  <c:v>-0.22292287461992691</c:v>
                </c:pt>
                <c:pt idx="343">
                  <c:v>-0.2280727437467148</c:v>
                </c:pt>
                <c:pt idx="344">
                  <c:v>-0.23322267672990099</c:v>
                </c:pt>
                <c:pt idx="345">
                  <c:v>-0.23837267356862235</c:v>
                </c:pt>
                <c:pt idx="346">
                  <c:v>-0.24352273426201582</c:v>
                </c:pt>
                <c:pt idx="347">
                  <c:v>-0.24867285880921824</c:v>
                </c:pt>
                <c:pt idx="348">
                  <c:v>-0.25382304720936655</c:v>
                </c:pt>
                <c:pt idx="349">
                  <c:v>-0.25897329946159758</c:v>
                </c:pt>
                <c:pt idx="350">
                  <c:v>-0.26412361556504832</c:v>
                </c:pt>
                <c:pt idx="351">
                  <c:v>-0.26927399551885561</c:v>
                </c:pt>
                <c:pt idx="352">
                  <c:v>-0.27442443932215632</c:v>
                </c:pt>
                <c:pt idx="353">
                  <c:v>-0.27957494697408736</c:v>
                </c:pt>
                <c:pt idx="354">
                  <c:v>-0.28472551847378563</c:v>
                </c:pt>
                <c:pt idx="355">
                  <c:v>-0.28987615382038806</c:v>
                </c:pt>
                <c:pt idx="356">
                  <c:v>-0.2950268530130315</c:v>
                </c:pt>
                <c:pt idx="357">
                  <c:v>-0.3001776160508528</c:v>
                </c:pt>
                <c:pt idx="358">
                  <c:v>-0.30532844293298894</c:v>
                </c:pt>
                <c:pt idx="359">
                  <c:v>-0.31047933365857677</c:v>
                </c:pt>
                <c:pt idx="360">
                  <c:v>-0.31563028822675315</c:v>
                </c:pt>
                <c:pt idx="361">
                  <c:v>-0.32078130663665505</c:v>
                </c:pt>
                <c:pt idx="362">
                  <c:v>-0.32593238888741932</c:v>
                </c:pt>
                <c:pt idx="363">
                  <c:v>-0.33108353497818283</c:v>
                </c:pt>
                <c:pt idx="364">
                  <c:v>-0.33623474490808247</c:v>
                </c:pt>
                <c:pt idx="365">
                  <c:v>-0.34138601867625518</c:v>
                </c:pt>
                <c:pt idx="366">
                  <c:v>-0.34653735628183785</c:v>
                </c:pt>
                <c:pt idx="367">
                  <c:v>-0.35168875772396735</c:v>
                </c:pt>
                <c:pt idx="368">
                  <c:v>-0.35684022300178053</c:v>
                </c:pt>
                <c:pt idx="369">
                  <c:v>-0.36199175211441431</c:v>
                </c:pt>
                <c:pt idx="370">
                  <c:v>-0.3671433450610056</c:v>
                </c:pt>
                <c:pt idx="371">
                  <c:v>-0.37229500184069131</c:v>
                </c:pt>
                <c:pt idx="372">
                  <c:v>-0.3774467224526083</c:v>
                </c:pt>
                <c:pt idx="373">
                  <c:v>-0.38259850689589342</c:v>
                </c:pt>
                <c:pt idx="374">
                  <c:v>-0.38775035516968365</c:v>
                </c:pt>
                <c:pt idx="375">
                  <c:v>-0.39290226727311578</c:v>
                </c:pt>
                <c:pt idx="376">
                  <c:v>-0.39805424320532679</c:v>
                </c:pt>
                <c:pt idx="377">
                  <c:v>-0.40320628296545352</c:v>
                </c:pt>
                <c:pt idx="378">
                  <c:v>-0.40835838655263285</c:v>
                </c:pt>
                <c:pt idx="379">
                  <c:v>-0.41351055396600173</c:v>
                </c:pt>
                <c:pt idx="380">
                  <c:v>-0.41866278520469696</c:v>
                </c:pt>
                <c:pt idx="381">
                  <c:v>-0.42381508026785553</c:v>
                </c:pt>
                <c:pt idx="382">
                  <c:v>-0.42896743915461427</c:v>
                </c:pt>
                <c:pt idx="383">
                  <c:v>-0.43411986186411006</c:v>
                </c:pt>
                <c:pt idx="384">
                  <c:v>-0.43927234839547979</c:v>
                </c:pt>
                <c:pt idx="385">
                  <c:v>-0.4444248987478604</c:v>
                </c:pt>
                <c:pt idx="386">
                  <c:v>-0.44957751292038872</c:v>
                </c:pt>
                <c:pt idx="387">
                  <c:v>-0.45473019091220168</c:v>
                </c:pt>
                <c:pt idx="388">
                  <c:v>-0.45988293272243613</c:v>
                </c:pt>
                <c:pt idx="389">
                  <c:v>-0.46503573835022899</c:v>
                </c:pt>
                <c:pt idx="390">
                  <c:v>-0.47018860779471711</c:v>
                </c:pt>
                <c:pt idx="391">
                  <c:v>-0.4753415410550374</c:v>
                </c:pt>
                <c:pt idx="392">
                  <c:v>-0.48049453813032678</c:v>
                </c:pt>
                <c:pt idx="393">
                  <c:v>-0.4856475990197221</c:v>
                </c:pt>
                <c:pt idx="394">
                  <c:v>-0.49080072372236022</c:v>
                </c:pt>
                <c:pt idx="395">
                  <c:v>-0.49595391223737811</c:v>
                </c:pt>
                <c:pt idx="396">
                  <c:v>-0.50110716456391258</c:v>
                </c:pt>
                <c:pt idx="397">
                  <c:v>-0.50626048070110052</c:v>
                </c:pt>
                <c:pt idx="398">
                  <c:v>-0.51141386064807892</c:v>
                </c:pt>
                <c:pt idx="399">
                  <c:v>-0.51656730440398457</c:v>
                </c:pt>
                <c:pt idx="400">
                  <c:v>-0.52172081196795439</c:v>
                </c:pt>
                <c:pt idx="401">
                  <c:v>-0.52687438333912517</c:v>
                </c:pt>
                <c:pt idx="402">
                  <c:v>-0.53202801851663395</c:v>
                </c:pt>
                <c:pt idx="403">
                  <c:v>-0.53718171749961752</c:v>
                </c:pt>
                <c:pt idx="404">
                  <c:v>-0.54233548028721279</c:v>
                </c:pt>
                <c:pt idx="405">
                  <c:v>-0.54748930687855668</c:v>
                </c:pt>
                <c:pt idx="406">
                  <c:v>-0.55264319727278599</c:v>
                </c:pt>
                <c:pt idx="407">
                  <c:v>-0.55779715146903763</c:v>
                </c:pt>
                <c:pt idx="408">
                  <c:v>-0.56295116946644863</c:v>
                </c:pt>
                <c:pt idx="409">
                  <c:v>-0.56810525126415568</c:v>
                </c:pt>
                <c:pt idx="410">
                  <c:v>-0.57325939686129579</c:v>
                </c:pt>
                <c:pt idx="411">
                  <c:v>-0.57841360625700577</c:v>
                </c:pt>
                <c:pt idx="412">
                  <c:v>-0.58356787945042254</c:v>
                </c:pt>
                <c:pt idx="413">
                  <c:v>-0.58872221644068301</c:v>
                </c:pt>
                <c:pt idx="414">
                  <c:v>-0.59387661722692398</c:v>
                </c:pt>
                <c:pt idx="415">
                  <c:v>-0.59903108180828246</c:v>
                </c:pt>
                <c:pt idx="416">
                  <c:v>-0.60418561018389527</c:v>
                </c:pt>
                <c:pt idx="417">
                  <c:v>-0.60934020235289921</c:v>
                </c:pt>
                <c:pt idx="418">
                  <c:v>-0.61449485831443129</c:v>
                </c:pt>
                <c:pt idx="419">
                  <c:v>-0.61964957806762833</c:v>
                </c:pt>
                <c:pt idx="420">
                  <c:v>-0.62480436161162722</c:v>
                </c:pt>
                <c:pt idx="421">
                  <c:v>-0.6299592089455649</c:v>
                </c:pt>
                <c:pt idx="422">
                  <c:v>-0.63511412006857815</c:v>
                </c:pt>
                <c:pt idx="423">
                  <c:v>-0.640269094979804</c:v>
                </c:pt>
                <c:pt idx="424">
                  <c:v>-0.64542413367837925</c:v>
                </c:pt>
                <c:pt idx="425">
                  <c:v>-0.65057923616344071</c:v>
                </c:pt>
                <c:pt idx="426">
                  <c:v>-0.6557344024341254</c:v>
                </c:pt>
                <c:pt idx="427">
                  <c:v>-0.66088963248957011</c:v>
                </c:pt>
                <c:pt idx="428">
                  <c:v>-0.66604492632891177</c:v>
                </c:pt>
                <c:pt idx="429">
                  <c:v>-0.67120028395128717</c:v>
                </c:pt>
                <c:pt idx="430">
                  <c:v>-0.67635570535583334</c:v>
                </c:pt>
                <c:pt idx="431">
                  <c:v>-0.68151119054168707</c:v>
                </c:pt>
                <c:pt idx="432">
                  <c:v>-0.68666673950798529</c:v>
                </c:pt>
                <c:pt idx="433">
                  <c:v>-0.69182235225386479</c:v>
                </c:pt>
                <c:pt idx="434">
                  <c:v>-0.6969780287784626</c:v>
                </c:pt>
                <c:pt idx="435">
                  <c:v>-0.70213376908091552</c:v>
                </c:pt>
                <c:pt idx="436">
                  <c:v>-0.70728957316036034</c:v>
                </c:pt>
                <c:pt idx="437">
                  <c:v>-0.7124454410159341</c:v>
                </c:pt>
                <c:pt idx="438">
                  <c:v>-0.71760137264677359</c:v>
                </c:pt>
                <c:pt idx="439">
                  <c:v>-0.72275736805201574</c:v>
                </c:pt>
                <c:pt idx="440">
                  <c:v>-0.72791342723079744</c:v>
                </c:pt>
                <c:pt idx="441">
                  <c:v>-0.7330695501822555</c:v>
                </c:pt>
                <c:pt idx="442">
                  <c:v>-0.73822573690552684</c:v>
                </c:pt>
                <c:pt idx="443">
                  <c:v>-0.74338198739974837</c:v>
                </c:pt>
                <c:pt idx="444">
                  <c:v>-0.74853830166405688</c:v>
                </c:pt>
                <c:pt idx="445">
                  <c:v>-0.75369467969758941</c:v>
                </c:pt>
                <c:pt idx="446">
                  <c:v>-0.75885112149948275</c:v>
                </c:pt>
                <c:pt idx="447">
                  <c:v>-0.76400762706887371</c:v>
                </c:pt>
                <c:pt idx="448">
                  <c:v>-0.7691641964048993</c:v>
                </c:pt>
                <c:pt idx="449">
                  <c:v>-0.77432082950669634</c:v>
                </c:pt>
                <c:pt idx="450">
                  <c:v>-0.77947752637340173</c:v>
                </c:pt>
                <c:pt idx="451">
                  <c:v>-0.78463428700415228</c:v>
                </c:pt>
                <c:pt idx="452">
                  <c:v>-0.78979111139808489</c:v>
                </c:pt>
                <c:pt idx="453">
                  <c:v>-0.79494799955433648</c:v>
                </c:pt>
                <c:pt idx="454">
                  <c:v>-0.80010495147204397</c:v>
                </c:pt>
                <c:pt idx="455">
                  <c:v>-0.80526196715034415</c:v>
                </c:pt>
                <c:pt idx="456">
                  <c:v>-0.81041904658837394</c:v>
                </c:pt>
                <c:pt idx="457">
                  <c:v>-0.81557618978527024</c:v>
                </c:pt>
                <c:pt idx="458">
                  <c:v>-0.82073339674016998</c:v>
                </c:pt>
                <c:pt idx="459">
                  <c:v>-0.82589066745220996</c:v>
                </c:pt>
                <c:pt idx="460">
                  <c:v>-0.83104800192052708</c:v>
                </c:pt>
                <c:pt idx="461">
                  <c:v>-0.83620540014425815</c:v>
                </c:pt>
                <c:pt idx="462">
                  <c:v>-0.84136286212254008</c:v>
                </c:pt>
                <c:pt idx="463">
                  <c:v>-0.84652038785450978</c:v>
                </c:pt>
                <c:pt idx="464">
                  <c:v>-0.85167797733930417</c:v>
                </c:pt>
                <c:pt idx="465">
                  <c:v>-0.85683563057606005</c:v>
                </c:pt>
                <c:pt idx="466">
                  <c:v>-0.86199334756391444</c:v>
                </c:pt>
                <c:pt idx="467">
                  <c:v>-0.86715112830200403</c:v>
                </c:pt>
                <c:pt idx="468">
                  <c:v>-0.87230897278946584</c:v>
                </c:pt>
                <c:pt idx="469">
                  <c:v>-0.87746688102543668</c:v>
                </c:pt>
                <c:pt idx="470">
                  <c:v>-0.88262485300905347</c:v>
                </c:pt>
                <c:pt idx="471">
                  <c:v>-0.88778288873945299</c:v>
                </c:pt>
                <c:pt idx="472">
                  <c:v>-0.89294098821577217</c:v>
                </c:pt>
                <c:pt idx="473">
                  <c:v>-0.89809915143714791</c:v>
                </c:pt>
                <c:pt idx="474">
                  <c:v>-0.90325737840271714</c:v>
                </c:pt>
                <c:pt idx="475">
                  <c:v>-0.90841566911161664</c:v>
                </c:pt>
                <c:pt idx="476">
                  <c:v>-0.91357402356298334</c:v>
                </c:pt>
                <c:pt idx="477">
                  <c:v>-0.91873244175595414</c:v>
                </c:pt>
                <c:pt idx="478">
                  <c:v>-0.92389092368966586</c:v>
                </c:pt>
                <c:pt idx="479">
                  <c:v>-0.92904946936325539</c:v>
                </c:pt>
                <c:pt idx="480">
                  <c:v>-0.93420807877585965</c:v>
                </c:pt>
                <c:pt idx="481">
                  <c:v>-0.93936675192661545</c:v>
                </c:pt>
                <c:pt idx="482">
                  <c:v>-0.94452548881465981</c:v>
                </c:pt>
                <c:pt idx="483">
                  <c:v>-0.94968428943912941</c:v>
                </c:pt>
                <c:pt idx="484">
                  <c:v>-0.95484315379916129</c:v>
                </c:pt>
                <c:pt idx="485">
                  <c:v>-0.96000208189389225</c:v>
                </c:pt>
                <c:pt idx="486">
                  <c:v>-0.96516107372245918</c:v>
                </c:pt>
                <c:pt idx="487">
                  <c:v>-0.97032012928399891</c:v>
                </c:pt>
                <c:pt idx="488">
                  <c:v>-0.97547924857764834</c:v>
                </c:pt>
                <c:pt idx="489">
                  <c:v>-0.98063843160254438</c:v>
                </c:pt>
                <c:pt idx="490">
                  <c:v>-0.98579767835782395</c:v>
                </c:pt>
                <c:pt idx="491">
                  <c:v>-0.99095698884262384</c:v>
                </c:pt>
                <c:pt idx="492">
                  <c:v>-0.99611636305608098</c:v>
                </c:pt>
                <c:pt idx="493">
                  <c:v>-1.0012758009973322</c:v>
                </c:pt>
                <c:pt idx="494">
                  <c:v>-1.0064353026655144</c:v>
                </c:pt>
                <c:pt idx="495">
                  <c:v>-1.0115948680597644</c:v>
                </c:pt>
                <c:pt idx="496">
                  <c:v>-1.0167544971792191</c:v>
                </c:pt>
                <c:pt idx="497">
                  <c:v>-1.0219141900230155</c:v>
                </c:pt>
                <c:pt idx="498">
                  <c:v>-1.0270739465902905</c:v>
                </c:pt>
                <c:pt idx="499">
                  <c:v>-1.0322337668801806</c:v>
                </c:pt>
                <c:pt idx="500">
                  <c:v>-1.0373936508918231</c:v>
                </c:pt>
                <c:pt idx="501">
                  <c:v>-1.0425535986243546</c:v>
                </c:pt>
                <c:pt idx="502">
                  <c:v>-1.0477136100769122</c:v>
                </c:pt>
                <c:pt idx="503">
                  <c:v>-1.0528736852486327</c:v>
                </c:pt>
                <c:pt idx="504">
                  <c:v>-1.0580338241386529</c:v>
                </c:pt>
                <c:pt idx="505">
                  <c:v>-1.0631940267461097</c:v>
                </c:pt>
                <c:pt idx="506">
                  <c:v>-1.06835429307014</c:v>
                </c:pt>
                <c:pt idx="507">
                  <c:v>-1.0735146231098807</c:v>
                </c:pt>
                <c:pt idx="508">
                  <c:v>-1.0786750168644685</c:v>
                </c:pt>
                <c:pt idx="509">
                  <c:v>-1.0838354743330405</c:v>
                </c:pt>
                <c:pt idx="510">
                  <c:v>-1.0889959955147335</c:v>
                </c:pt>
                <c:pt idx="511">
                  <c:v>-1.0941565804086844</c:v>
                </c:pt>
                <c:pt idx="512">
                  <c:v>-1.0993172290140298</c:v>
                </c:pt>
                <c:pt idx="513">
                  <c:v>-1.1044779413299071</c:v>
                </c:pt>
                <c:pt idx="514">
                  <c:v>-1.1096387173554527</c:v>
                </c:pt>
                <c:pt idx="515">
                  <c:v>-1.1147995570898037</c:v>
                </c:pt>
                <c:pt idx="516">
                  <c:v>-1.119960460532097</c:v>
                </c:pt>
                <c:pt idx="517">
                  <c:v>-1.1251214276814694</c:v>
                </c:pt>
                <c:pt idx="518">
                  <c:v>-1.1302824585370577</c:v>
                </c:pt>
                <c:pt idx="519">
                  <c:v>-1.1354435530979987</c:v>
                </c:pt>
                <c:pt idx="520">
                  <c:v>-1.1406047113634297</c:v>
                </c:pt>
                <c:pt idx="521">
                  <c:v>-1.1457659333324872</c:v>
                </c:pt>
                <c:pt idx="522">
                  <c:v>-1.1509272190043083</c:v>
                </c:pt>
                <c:pt idx="523">
                  <c:v>-1.1560885683780295</c:v>
                </c:pt>
                <c:pt idx="524">
                  <c:v>-1.1612499814527881</c:v>
                </c:pt>
                <c:pt idx="525">
                  <c:v>-1.1664114582277207</c:v>
                </c:pt>
                <c:pt idx="526">
                  <c:v>-1.1715729987019643</c:v>
                </c:pt>
                <c:pt idx="527">
                  <c:v>-1.1767346028746557</c:v>
                </c:pt>
                <c:pt idx="528">
                  <c:v>-1.1818962707449319</c:v>
                </c:pt>
                <c:pt idx="529">
                  <c:v>-1.1870580023119297</c:v>
                </c:pt>
                <c:pt idx="530">
                  <c:v>-1.1922197975747859</c:v>
                </c:pt>
                <c:pt idx="531">
                  <c:v>-1.1973816565326374</c:v>
                </c:pt>
                <c:pt idx="532">
                  <c:v>-1.2025435791846211</c:v>
                </c:pt>
                <c:pt idx="533">
                  <c:v>-1.2077055655298738</c:v>
                </c:pt>
                <c:pt idx="534">
                  <c:v>-1.2128676155675326</c:v>
                </c:pt>
                <c:pt idx="535">
                  <c:v>-1.2180297292967344</c:v>
                </c:pt>
                <c:pt idx="536">
                  <c:v>-1.2231919067166157</c:v>
                </c:pt>
                <c:pt idx="537">
                  <c:v>-1.2283541478263136</c:v>
                </c:pt>
                <c:pt idx="538">
                  <c:v>-1.2335164526249649</c:v>
                </c:pt>
                <c:pt idx="539">
                  <c:v>-1.2386788211117066</c:v>
                </c:pt>
                <c:pt idx="540">
                  <c:v>-1.2438412532856755</c:v>
                </c:pt>
                <c:pt idx="541">
                  <c:v>-1.2490037491460084</c:v>
                </c:pt>
                <c:pt idx="542">
                  <c:v>-1.2541663086918422</c:v>
                </c:pt>
                <c:pt idx="543">
                  <c:v>-1.259328931922314</c:v>
                </c:pt>
                <c:pt idx="544">
                  <c:v>-1.2644916188365602</c:v>
                </c:pt>
                <c:pt idx="545">
                  <c:v>-1.2696543694337181</c:v>
                </c:pt>
                <c:pt idx="546">
                  <c:v>-1.2748171837129245</c:v>
                </c:pt>
                <c:pt idx="547">
                  <c:v>-1.2799800616733161</c:v>
                </c:pt>
                <c:pt idx="548">
                  <c:v>-1.2851430033140299</c:v>
                </c:pt>
                <c:pt idx="549">
                  <c:v>-1.2903060086342026</c:v>
                </c:pt>
                <c:pt idx="550">
                  <c:v>-1.2954690776329714</c:v>
                </c:pt>
                <c:pt idx="551">
                  <c:v>-1.300632210309473</c:v>
                </c:pt>
                <c:pt idx="552">
                  <c:v>-1.3057954066628441</c:v>
                </c:pt>
                <c:pt idx="553">
                  <c:v>-1.3109586666922217</c:v>
                </c:pt>
                <c:pt idx="554">
                  <c:v>-1.3161219903967429</c:v>
                </c:pt>
                <c:pt idx="555">
                  <c:v>-1.3212853777755442</c:v>
                </c:pt>
                <c:pt idx="556">
                  <c:v>-1.3264488288277627</c:v>
                </c:pt>
                <c:pt idx="557">
                  <c:v>-1.3316123435525353</c:v>
                </c:pt>
                <c:pt idx="558">
                  <c:v>-1.3367759219489987</c:v>
                </c:pt>
                <c:pt idx="559">
                  <c:v>-1.3419395640162899</c:v>
                </c:pt>
                <c:pt idx="560">
                  <c:v>-1.3471032697535457</c:v>
                </c:pt>
                <c:pt idx="561">
                  <c:v>-1.352267039159903</c:v>
                </c:pt>
                <c:pt idx="562">
                  <c:v>-1.3574308722344988</c:v>
                </c:pt>
                <c:pt idx="563">
                  <c:v>-1.3625947689764697</c:v>
                </c:pt>
                <c:pt idx="564">
                  <c:v>-1.3677587293849527</c:v>
                </c:pt>
                <c:pt idx="565">
                  <c:v>-1.3729227534590847</c:v>
                </c:pt>
                <c:pt idx="566">
                  <c:v>-1.3780868411980025</c:v>
                </c:pt>
                <c:pt idx="567">
                  <c:v>-1.3832509926008432</c:v>
                </c:pt>
                <c:pt idx="568">
                  <c:v>-1.3884152076667433</c:v>
                </c:pt>
                <c:pt idx="569">
                  <c:v>-1.3935794863948399</c:v>
                </c:pt>
                <c:pt idx="570">
                  <c:v>-1.3987438287842697</c:v>
                </c:pt>
                <c:pt idx="571">
                  <c:v>-1.4039082348341698</c:v>
                </c:pt>
                <c:pt idx="572">
                  <c:v>-1.4090727045436771</c:v>
                </c:pt>
                <c:pt idx="573">
                  <c:v>-1.4142372379119283</c:v>
                </c:pt>
                <c:pt idx="574">
                  <c:v>-1.4194018349380604</c:v>
                </c:pt>
                <c:pt idx="575">
                  <c:v>-1.4245664956212101</c:v>
                </c:pt>
                <c:pt idx="576">
                  <c:v>-1.4297312199605143</c:v>
                </c:pt>
                <c:pt idx="577">
                  <c:v>-1.4348960079551101</c:v>
                </c:pt>
                <c:pt idx="578">
                  <c:v>-1.440060859604134</c:v>
                </c:pt>
                <c:pt idx="579">
                  <c:v>-1.4452257749067232</c:v>
                </c:pt>
                <c:pt idx="580">
                  <c:v>-1.4503907538620144</c:v>
                </c:pt>
                <c:pt idx="581">
                  <c:v>-1.4555557964691446</c:v>
                </c:pt>
                <c:pt idx="582">
                  <c:v>-1.4607209027272503</c:v>
                </c:pt>
                <c:pt idx="583">
                  <c:v>-1.4658860726354688</c:v>
                </c:pt>
                <c:pt idx="584">
                  <c:v>-1.4710513061929367</c:v>
                </c:pt>
                <c:pt idx="585">
                  <c:v>-1.4762166033987911</c:v>
                </c:pt>
                <c:pt idx="586">
                  <c:v>-1.4813819642521688</c:v>
                </c:pt>
                <c:pt idx="587">
                  <c:v>-1.4865473887522065</c:v>
                </c:pt>
                <c:pt idx="588">
                  <c:v>-1.4917128768980412</c:v>
                </c:pt>
                <c:pt idx="589">
                  <c:v>-1.4968784286888099</c:v>
                </c:pt>
                <c:pt idx="590">
                  <c:v>-1.5020440441236493</c:v>
                </c:pt>
                <c:pt idx="591">
                  <c:v>-1.5072097232016963</c:v>
                </c:pt>
                <c:pt idx="592">
                  <c:v>-1.5123754659220878</c:v>
                </c:pt>
                <c:pt idx="593">
                  <c:v>-1.5175412722839605</c:v>
                </c:pt>
                <c:pt idx="594">
                  <c:v>-1.5227071422864515</c:v>
                </c:pt>
                <c:pt idx="595">
                  <c:v>-1.5278730759286976</c:v>
                </c:pt>
                <c:pt idx="596">
                  <c:v>-1.5330390732098356</c:v>
                </c:pt>
                <c:pt idx="597">
                  <c:v>-1.5382051341290024</c:v>
                </c:pt>
                <c:pt idx="598">
                  <c:v>-1.543371258685335</c:v>
                </c:pt>
                <c:pt idx="599">
                  <c:v>-1.54853744687797</c:v>
                </c:pt>
                <c:pt idx="600">
                  <c:v>-1.5537036987060444</c:v>
                </c:pt>
                <c:pt idx="601">
                  <c:v>-1.5588700141686951</c:v>
                </c:pt>
                <c:pt idx="602">
                  <c:v>-1.5640363932650589</c:v>
                </c:pt>
                <c:pt idx="603">
                  <c:v>-1.5692028359942729</c:v>
                </c:pt>
                <c:pt idx="604">
                  <c:v>-1.5743693423554737</c:v>
                </c:pt>
                <c:pt idx="605">
                  <c:v>-1.5795359123477983</c:v>
                </c:pt>
                <c:pt idx="606">
                  <c:v>-1.5847025459703836</c:v>
                </c:pt>
                <c:pt idx="607">
                  <c:v>-1.5898692432223664</c:v>
                </c:pt>
                <c:pt idx="608">
                  <c:v>-1.5950360041028835</c:v>
                </c:pt>
                <c:pt idx="609">
                  <c:v>-1.6002028286110719</c:v>
                </c:pt>
                <c:pt idx="610">
                  <c:v>-1.6053697167460683</c:v>
                </c:pt>
                <c:pt idx="611">
                  <c:v>-1.6105366685070097</c:v>
                </c:pt>
                <c:pt idx="612">
                  <c:v>-1.615703683893033</c:v>
                </c:pt>
                <c:pt idx="613">
                  <c:v>-1.620870762903275</c:v>
                </c:pt>
                <c:pt idx="614">
                  <c:v>-1.6260379055368726</c:v>
                </c:pt>
                <c:pt idx="615">
                  <c:v>-1.6312051117929625</c:v>
                </c:pt>
                <c:pt idx="616">
                  <c:v>-1.6363723816706819</c:v>
                </c:pt>
                <c:pt idx="617">
                  <c:v>-1.6415397151691673</c:v>
                </c:pt>
                <c:pt idx="618">
                  <c:v>-1.6467071122875558</c:v>
                </c:pt>
                <c:pt idx="619">
                  <c:v>-1.6518745730249844</c:v>
                </c:pt>
                <c:pt idx="620">
                  <c:v>-1.6570420973805897</c:v>
                </c:pt>
                <c:pt idx="621">
                  <c:v>-1.6622096853535087</c:v>
                </c:pt>
                <c:pt idx="622">
                  <c:v>-1.6673773369428782</c:v>
                </c:pt>
                <c:pt idx="623">
                  <c:v>-1.6725450521478349</c:v>
                </c:pt>
                <c:pt idx="624">
                  <c:v>-1.677712830967516</c:v>
                </c:pt>
                <c:pt idx="625">
                  <c:v>-1.6828806734010582</c:v>
                </c:pt>
                <c:pt idx="626">
                  <c:v>-1.6880485794475983</c:v>
                </c:pt>
                <c:pt idx="627">
                  <c:v>-1.6932165491062734</c:v>
                </c:pt>
                <c:pt idx="628">
                  <c:v>-1.6983845823762203</c:v>
                </c:pt>
                <c:pt idx="629">
                  <c:v>-1.7035526792565756</c:v>
                </c:pt>
                <c:pt idx="630">
                  <c:v>-1.7087208397464766</c:v>
                </c:pt>
                <c:pt idx="631">
                  <c:v>-1.7138890638450599</c:v>
                </c:pt>
                <c:pt idx="632">
                  <c:v>-1.7190573515514622</c:v>
                </c:pt>
                <c:pt idx="633">
                  <c:v>-1.7242257028648207</c:v>
                </c:pt>
                <c:pt idx="634">
                  <c:v>-1.7293941177842722</c:v>
                </c:pt>
                <c:pt idx="635">
                  <c:v>-1.7345625963089535</c:v>
                </c:pt>
                <c:pt idx="636">
                  <c:v>-1.7397311384380014</c:v>
                </c:pt>
                <c:pt idx="637">
                  <c:v>-1.7448997441705529</c:v>
                </c:pt>
                <c:pt idx="638">
                  <c:v>-1.7500684135057447</c:v>
                </c:pt>
                <c:pt idx="639">
                  <c:v>-1.7552371464427139</c:v>
                </c:pt>
                <c:pt idx="640">
                  <c:v>-1.7604059429805972</c:v>
                </c:pt>
                <c:pt idx="641">
                  <c:v>-1.7655748031185314</c:v>
                </c:pt>
                <c:pt idx="642">
                  <c:v>-1.7707437268556536</c:v>
                </c:pt>
                <c:pt idx="643">
                  <c:v>-1.7759127141911004</c:v>
                </c:pt>
                <c:pt idx="644">
                  <c:v>-1.781081765124009</c:v>
                </c:pt>
                <c:pt idx="645">
                  <c:v>-1.7862508796535159</c:v>
                </c:pt>
                <c:pt idx="646">
                  <c:v>-1.7914200577787582</c:v>
                </c:pt>
                <c:pt idx="647">
                  <c:v>-1.7965892994988728</c:v>
                </c:pt>
                <c:pt idx="648">
                  <c:v>-1.8017586048129963</c:v>
                </c:pt>
                <c:pt idx="649">
                  <c:v>-1.8069279737202659</c:v>
                </c:pt>
                <c:pt idx="650">
                  <c:v>-1.8120974062198183</c:v>
                </c:pt>
                <c:pt idx="651">
                  <c:v>-1.8172669023107904</c:v>
                </c:pt>
                <c:pt idx="652">
                  <c:v>-1.822436461992319</c:v>
                </c:pt>
                <c:pt idx="653">
                  <c:v>-1.827606085263541</c:v>
                </c:pt>
                <c:pt idx="654">
                  <c:v>-1.8327757721235931</c:v>
                </c:pt>
                <c:pt idx="655">
                  <c:v>-1.8379455225716126</c:v>
                </c:pt>
                <c:pt idx="656">
                  <c:v>-1.8431153366067361</c:v>
                </c:pt>
                <c:pt idx="657">
                  <c:v>-1.8482852142281003</c:v>
                </c:pt>
                <c:pt idx="658">
                  <c:v>-1.8534551554348424</c:v>
                </c:pt>
                <c:pt idx="659">
                  <c:v>-1.858625160226099</c:v>
                </c:pt>
                <c:pt idx="660">
                  <c:v>-1.8637952286010071</c:v>
                </c:pt>
                <c:pt idx="661">
                  <c:v>-1.8689653605587035</c:v>
                </c:pt>
                <c:pt idx="662">
                  <c:v>-1.8741355560983253</c:v>
                </c:pt>
                <c:pt idx="663">
                  <c:v>-1.879305815219009</c:v>
                </c:pt>
                <c:pt idx="664">
                  <c:v>-1.8844761379198918</c:v>
                </c:pt>
                <c:pt idx="665">
                  <c:v>-1.8896465242001104</c:v>
                </c:pt>
                <c:pt idx="666">
                  <c:v>-1.8948169740588017</c:v>
                </c:pt>
                <c:pt idx="667">
                  <c:v>-1.8999874874951024</c:v>
                </c:pt>
                <c:pt idx="668">
                  <c:v>-1.9051580645081496</c:v>
                </c:pt>
                <c:pt idx="669">
                  <c:v>-1.9103287050970801</c:v>
                </c:pt>
                <c:pt idx="670">
                  <c:v>-1.9154994092610307</c:v>
                </c:pt>
                <c:pt idx="671">
                  <c:v>-1.9206701769991383</c:v>
                </c:pt>
                <c:pt idx="672">
                  <c:v>-1.9258410083105397</c:v>
                </c:pt>
                <c:pt idx="673">
                  <c:v>-1.931011903194372</c:v>
                </c:pt>
                <c:pt idx="674">
                  <c:v>-1.9361828616497718</c:v>
                </c:pt>
                <c:pt idx="675">
                  <c:v>-1.9413538836758761</c:v>
                </c:pt>
                <c:pt idx="676">
                  <c:v>-1.9465249692718218</c:v>
                </c:pt>
                <c:pt idx="677">
                  <c:v>-1.9516961184367456</c:v>
                </c:pt>
                <c:pt idx="678">
                  <c:v>-1.9568673311697846</c:v>
                </c:pt>
                <c:pt idx="679">
                  <c:v>-1.9620386074700755</c:v>
                </c:pt>
                <c:pt idx="680">
                  <c:v>-1.9672099473367552</c:v>
                </c:pt>
                <c:pt idx="681">
                  <c:v>-1.9723813507689607</c:v>
                </c:pt>
                <c:pt idx="682">
                  <c:v>-1.9775528177658286</c:v>
                </c:pt>
                <c:pt idx="683">
                  <c:v>-1.9827243483264958</c:v>
                </c:pt>
                <c:pt idx="684">
                  <c:v>-1.9878959424500995</c:v>
                </c:pt>
                <c:pt idx="685">
                  <c:v>-1.9930676001357761</c:v>
                </c:pt>
                <c:pt idx="686">
                  <c:v>-1.9982393213826628</c:v>
                </c:pt>
                <c:pt idx="687">
                  <c:v>-2.0034111061898963</c:v>
                </c:pt>
                <c:pt idx="688">
                  <c:v>-2.0085829545566134</c:v>
                </c:pt>
                <c:pt idx="689">
                  <c:v>-2.0137548664819516</c:v>
                </c:pt>
                <c:pt idx="690">
                  <c:v>-2.018926841965047</c:v>
                </c:pt>
                <c:pt idx="691">
                  <c:v>-2.0240988810050369</c:v>
                </c:pt>
                <c:pt idx="692">
                  <c:v>-2.0292709836010578</c:v>
                </c:pt>
                <c:pt idx="693">
                  <c:v>-2.034443149752247</c:v>
                </c:pt>
                <c:pt idx="694">
                  <c:v>-2.0396153794577412</c:v>
                </c:pt>
                <c:pt idx="695">
                  <c:v>-2.0447876727166769</c:v>
                </c:pt>
                <c:pt idx="696">
                  <c:v>-2.0499600295281915</c:v>
                </c:pt>
                <c:pt idx="697">
                  <c:v>-2.0551324498914214</c:v>
                </c:pt>
                <c:pt idx="698">
                  <c:v>-2.0603049338055039</c:v>
                </c:pt>
                <c:pt idx="699">
                  <c:v>-2.0654774812695758</c:v>
                </c:pt>
                <c:pt idx="700">
                  <c:v>-2.0706500922827735</c:v>
                </c:pt>
                <c:pt idx="701">
                  <c:v>-2.0758227668442344</c:v>
                </c:pt>
                <c:pt idx="702">
                  <c:v>-2.080995504953095</c:v>
                </c:pt>
                <c:pt idx="703">
                  <c:v>-2.0861683066084926</c:v>
                </c:pt>
                <c:pt idx="704">
                  <c:v>-2.0913411718095638</c:v>
                </c:pt>
                <c:pt idx="705">
                  <c:v>-2.0965141005554453</c:v>
                </c:pt>
                <c:pt idx="706">
                  <c:v>-2.1016870928452742</c:v>
                </c:pt>
                <c:pt idx="707">
                  <c:v>-2.1068601486781873</c:v>
                </c:pt>
                <c:pt idx="708">
                  <c:v>-2.1120332680533211</c:v>
                </c:pt>
                <c:pt idx="709">
                  <c:v>-2.117206450969813</c:v>
                </c:pt>
                <c:pt idx="710">
                  <c:v>-2.1223796974267999</c:v>
                </c:pt>
                <c:pt idx="711">
                  <c:v>-2.1275530074234181</c:v>
                </c:pt>
                <c:pt idx="712">
                  <c:v>-2.1327263809588048</c:v>
                </c:pt>
                <c:pt idx="713">
                  <c:v>-2.1378998180320972</c:v>
                </c:pt>
                <c:pt idx="714">
                  <c:v>-2.1430733186424318</c:v>
                </c:pt>
                <c:pt idx="715">
                  <c:v>-2.1482468827889454</c:v>
                </c:pt>
                <c:pt idx="716">
                  <c:v>-2.1534205104707751</c:v>
                </c:pt>
                <c:pt idx="717">
                  <c:v>-2.1585942016870576</c:v>
                </c:pt>
                <c:pt idx="718">
                  <c:v>-2.1637679564369301</c:v>
                </c:pt>
                <c:pt idx="719">
                  <c:v>-2.1689417747195288</c:v>
                </c:pt>
                <c:pt idx="720">
                  <c:v>-2.1741156565339912</c:v>
                </c:pt>
                <c:pt idx="721">
                  <c:v>-2.1792896018794536</c:v>
                </c:pt>
                <c:pt idx="722">
                  <c:v>-2.1844636107550537</c:v>
                </c:pt>
                <c:pt idx="723">
                  <c:v>-2.1896376831599276</c:v>
                </c:pt>
                <c:pt idx="724">
                  <c:v>-2.1948118190932124</c:v>
                </c:pt>
                <c:pt idx="725">
                  <c:v>-2.199986018554045</c:v>
                </c:pt>
                <c:pt idx="726">
                  <c:v>-2.2051602815415623</c:v>
                </c:pt>
                <c:pt idx="727">
                  <c:v>-2.2103346080549011</c:v>
                </c:pt>
                <c:pt idx="728">
                  <c:v>-2.2155089980931981</c:v>
                </c:pt>
                <c:pt idx="729">
                  <c:v>-2.2206834516555904</c:v>
                </c:pt>
                <c:pt idx="730">
                  <c:v>-2.2258579687412148</c:v>
                </c:pt>
                <c:pt idx="731">
                  <c:v>-2.2310325493492082</c:v>
                </c:pt>
                <c:pt idx="732">
                  <c:v>-2.2362071934787076</c:v>
                </c:pt>
                <c:pt idx="733">
                  <c:v>-2.2413819011288494</c:v>
                </c:pt>
                <c:pt idx="734">
                  <c:v>-2.2465566722987709</c:v>
                </c:pt>
                <c:pt idx="735">
                  <c:v>-2.2517315069876092</c:v>
                </c:pt>
                <c:pt idx="736">
                  <c:v>-2.2569064051945005</c:v>
                </c:pt>
                <c:pt idx="737">
                  <c:v>-2.262081366918582</c:v>
                </c:pt>
                <c:pt idx="738">
                  <c:v>-2.2672563921589908</c:v>
                </c:pt>
                <c:pt idx="739">
                  <c:v>-2.2724314809148631</c:v>
                </c:pt>
                <c:pt idx="740">
                  <c:v>-2.2776066331853366</c:v>
                </c:pt>
                <c:pt idx="741">
                  <c:v>-2.2827818489695475</c:v>
                </c:pt>
                <c:pt idx="742">
                  <c:v>-2.2879571282666329</c:v>
                </c:pt>
                <c:pt idx="743">
                  <c:v>-2.2931324710757299</c:v>
                </c:pt>
                <c:pt idx="744">
                  <c:v>-2.2983078773959749</c:v>
                </c:pt>
                <c:pt idx="745">
                  <c:v>-2.3034833472265048</c:v>
                </c:pt>
                <c:pt idx="746">
                  <c:v>-2.308658880566457</c:v>
                </c:pt>
                <c:pt idx="747">
                  <c:v>-2.3138344774149679</c:v>
                </c:pt>
                <c:pt idx="748">
                  <c:v>-2.3190101377711745</c:v>
                </c:pt>
                <c:pt idx="749">
                  <c:v>-2.3241858616342137</c:v>
                </c:pt>
                <c:pt idx="750">
                  <c:v>-2.3293616490032223</c:v>
                </c:pt>
                <c:pt idx="751">
                  <c:v>-2.3345374998773374</c:v>
                </c:pt>
                <c:pt idx="752">
                  <c:v>-2.3397134142556957</c:v>
                </c:pt>
                <c:pt idx="753">
                  <c:v>-2.3448893921374339</c:v>
                </c:pt>
                <c:pt idx="754">
                  <c:v>-2.3500654335216891</c:v>
                </c:pt>
                <c:pt idx="755">
                  <c:v>-2.355241538407598</c:v>
                </c:pt>
                <c:pt idx="756">
                  <c:v>-2.3604177067942973</c:v>
                </c:pt>
                <c:pt idx="757">
                  <c:v>-2.3655939386809242</c:v>
                </c:pt>
                <c:pt idx="758">
                  <c:v>-2.3707702340666157</c:v>
                </c:pt>
                <c:pt idx="759">
                  <c:v>-2.3759465929505081</c:v>
                </c:pt>
                <c:pt idx="760">
                  <c:v>-2.3811230153317391</c:v>
                </c:pt>
                <c:pt idx="761">
                  <c:v>-2.3862995012094448</c:v>
                </c:pt>
                <c:pt idx="762">
                  <c:v>-2.3914760505827624</c:v>
                </c:pt>
                <c:pt idx="763">
                  <c:v>-2.3966526634508285</c:v>
                </c:pt>
                <c:pt idx="764">
                  <c:v>-2.4018293398127804</c:v>
                </c:pt>
                <c:pt idx="765">
                  <c:v>-2.4070060796677546</c:v>
                </c:pt>
                <c:pt idx="766">
                  <c:v>-2.4121828830148884</c:v>
                </c:pt>
                <c:pt idx="767">
                  <c:v>-2.4173597498533179</c:v>
                </c:pt>
                <c:pt idx="768">
                  <c:v>-2.4225366801821808</c:v>
                </c:pt>
                <c:pt idx="769">
                  <c:v>-2.4277136740006133</c:v>
                </c:pt>
                <c:pt idx="770">
                  <c:v>-2.4328907313077526</c:v>
                </c:pt>
                <c:pt idx="771">
                  <c:v>-2.4380678521027357</c:v>
                </c:pt>
                <c:pt idx="772">
                  <c:v>-2.4432450363846994</c:v>
                </c:pt>
                <c:pt idx="773">
                  <c:v>-2.4484222841527803</c:v>
                </c:pt>
                <c:pt idx="774">
                  <c:v>-2.4535995954061156</c:v>
                </c:pt>
                <c:pt idx="775">
                  <c:v>-2.458776970143842</c:v>
                </c:pt>
                <c:pt idx="776">
                  <c:v>-2.4639544083650962</c:v>
                </c:pt>
                <c:pt idx="777">
                  <c:v>-2.4691319100690152</c:v>
                </c:pt>
                <c:pt idx="778">
                  <c:v>-2.4743094752547359</c:v>
                </c:pt>
                <c:pt idx="779">
                  <c:v>-2.4794871039213953</c:v>
                </c:pt>
                <c:pt idx="780">
                  <c:v>-2.4846647960681301</c:v>
                </c:pt>
                <c:pt idx="781">
                  <c:v>-2.489842551694077</c:v>
                </c:pt>
                <c:pt idx="782">
                  <c:v>-2.4950203707983731</c:v>
                </c:pt>
                <c:pt idx="783">
                  <c:v>-2.5001982533801557</c:v>
                </c:pt>
                <c:pt idx="784">
                  <c:v>-2.5053761994385608</c:v>
                </c:pt>
                <c:pt idx="785">
                  <c:v>-2.5105542089727257</c:v>
                </c:pt>
                <c:pt idx="786">
                  <c:v>-2.5157322819817876</c:v>
                </c:pt>
                <c:pt idx="787">
                  <c:v>-2.5209104184648825</c:v>
                </c:pt>
                <c:pt idx="788">
                  <c:v>-2.5260886184211482</c:v>
                </c:pt>
                <c:pt idx="789">
                  <c:v>-2.5312668818497208</c:v>
                </c:pt>
                <c:pt idx="790">
                  <c:v>-2.5364452087497376</c:v>
                </c:pt>
                <c:pt idx="791">
                  <c:v>-2.5416235991203355</c:v>
                </c:pt>
                <c:pt idx="792">
                  <c:v>-2.546802052960651</c:v>
                </c:pt>
                <c:pt idx="793">
                  <c:v>-2.5519805702698215</c:v>
                </c:pt>
                <c:pt idx="794">
                  <c:v>-2.5571591510469833</c:v>
                </c:pt>
                <c:pt idx="795">
                  <c:v>-2.5623377952912736</c:v>
                </c:pt>
                <c:pt idx="796">
                  <c:v>-2.5675165030018294</c:v>
                </c:pt>
                <c:pt idx="797">
                  <c:v>-2.5726952741777875</c:v>
                </c:pt>
                <c:pt idx="798">
                  <c:v>-2.5778741088182846</c:v>
                </c:pt>
                <c:pt idx="799">
                  <c:v>-2.5830530069224573</c:v>
                </c:pt>
                <c:pt idx="800">
                  <c:v>-2.5882319684894428</c:v>
                </c:pt>
                <c:pt idx="801">
                  <c:v>-2.5934109935183782</c:v>
                </c:pt>
                <c:pt idx="802">
                  <c:v>-2.5985900820083998</c:v>
                </c:pt>
                <c:pt idx="803">
                  <c:v>-2.6037692339586451</c:v>
                </c:pt>
                <c:pt idx="804">
                  <c:v>-2.6089484493682504</c:v>
                </c:pt>
                <c:pt idx="805">
                  <c:v>-2.6141277282363529</c:v>
                </c:pt>
                <c:pt idx="806">
                  <c:v>-2.6193070705620896</c:v>
                </c:pt>
                <c:pt idx="807">
                  <c:v>-2.6244864763445968</c:v>
                </c:pt>
                <c:pt idx="808">
                  <c:v>-2.629665945583012</c:v>
                </c:pt>
                <c:pt idx="809">
                  <c:v>-2.6348454782764716</c:v>
                </c:pt>
                <c:pt idx="810">
                  <c:v>-2.6400250744241127</c:v>
                </c:pt>
                <c:pt idx="811">
                  <c:v>-2.6452047340250724</c:v>
                </c:pt>
                <c:pt idx="812">
                  <c:v>-2.6503844570784869</c:v>
                </c:pt>
                <c:pt idx="813">
                  <c:v>-2.6555642435834939</c:v>
                </c:pt>
                <c:pt idx="814">
                  <c:v>-2.6607440935392295</c:v>
                </c:pt>
                <c:pt idx="815">
                  <c:v>-2.6659240069448309</c:v>
                </c:pt>
                <c:pt idx="816">
                  <c:v>-2.6711039837994348</c:v>
                </c:pt>
                <c:pt idx="817">
                  <c:v>-2.6762840241021784</c:v>
                </c:pt>
                <c:pt idx="818">
                  <c:v>-2.6814641278521982</c:v>
                </c:pt>
                <c:pt idx="819">
                  <c:v>-2.6866442950486316</c:v>
                </c:pt>
                <c:pt idx="820">
                  <c:v>-2.691824525690615</c:v>
                </c:pt>
                <c:pt idx="821">
                  <c:v>-2.6970048197772853</c:v>
                </c:pt>
                <c:pt idx="822">
                  <c:v>-2.7021851773077796</c:v>
                </c:pt>
                <c:pt idx="823">
                  <c:v>-2.7073655982812346</c:v>
                </c:pt>
                <c:pt idx="824">
                  <c:v>-2.7125460826967873</c:v>
                </c:pt>
                <c:pt idx="825">
                  <c:v>-2.7177266305535746</c:v>
                </c:pt>
                <c:pt idx="826">
                  <c:v>-2.722907241850733</c:v>
                </c:pt>
                <c:pt idx="827">
                  <c:v>-2.7280879165873997</c:v>
                </c:pt>
                <c:pt idx="828">
                  <c:v>-2.7332686547627114</c:v>
                </c:pt>
                <c:pt idx="829">
                  <c:v>-2.7384494563758053</c:v>
                </c:pt>
                <c:pt idx="830">
                  <c:v>-2.743630321425818</c:v>
                </c:pt>
                <c:pt idx="831">
                  <c:v>-2.7488112499118862</c:v>
                </c:pt>
                <c:pt idx="832">
                  <c:v>-2.7539922418331471</c:v>
                </c:pt>
                <c:pt idx="833">
                  <c:v>-2.7591732971887373</c:v>
                </c:pt>
                <c:pt idx="834">
                  <c:v>-2.764354415977794</c:v>
                </c:pt>
                <c:pt idx="835">
                  <c:v>-2.7695355981994538</c:v>
                </c:pt>
                <c:pt idx="836">
                  <c:v>-2.7747168438528536</c:v>
                </c:pt>
                <c:pt idx="837">
                  <c:v>-2.7798981529371303</c:v>
                </c:pt>
                <c:pt idx="838">
                  <c:v>-2.7850795254514207</c:v>
                </c:pt>
                <c:pt idx="839">
                  <c:v>-2.7902609613948619</c:v>
                </c:pt>
                <c:pt idx="840">
                  <c:v>-2.7954424607665906</c:v>
                </c:pt>
                <c:pt idx="841">
                  <c:v>-2.8006240235657436</c:v>
                </c:pt>
                <c:pt idx="842">
                  <c:v>-2.8058056497914579</c:v>
                </c:pt>
                <c:pt idx="843">
                  <c:v>-2.8109873394428702</c:v>
                </c:pt>
                <c:pt idx="844">
                  <c:v>-2.8161690925191176</c:v>
                </c:pt>
                <c:pt idx="845">
                  <c:v>-2.8213509090193369</c:v>
                </c:pt>
                <c:pt idx="846">
                  <c:v>-2.8265327889426648</c:v>
                </c:pt>
                <c:pt idx="847">
                  <c:v>-2.8317147322882383</c:v>
                </c:pt>
                <c:pt idx="848">
                  <c:v>-2.8368967390551942</c:v>
                </c:pt>
                <c:pt idx="849">
                  <c:v>-2.8420788092426696</c:v>
                </c:pt>
                <c:pt idx="850">
                  <c:v>-2.8472609428498012</c:v>
                </c:pt>
                <c:pt idx="851">
                  <c:v>-2.8524431398757257</c:v>
                </c:pt>
                <c:pt idx="852">
                  <c:v>-2.8576254003195802</c:v>
                </c:pt>
                <c:pt idx="853">
                  <c:v>-2.8628077241805019</c:v>
                </c:pt>
                <c:pt idx="854">
                  <c:v>-2.8679901114576269</c:v>
                </c:pt>
                <c:pt idx="855">
                  <c:v>-2.8731725621500925</c:v>
                </c:pt>
                <c:pt idx="856">
                  <c:v>-2.8783550762570358</c:v>
                </c:pt>
                <c:pt idx="857">
                  <c:v>-2.8835376537775934</c:v>
                </c:pt>
                <c:pt idx="858">
                  <c:v>-2.8887202947109021</c:v>
                </c:pt>
                <c:pt idx="859">
                  <c:v>-2.8939029990560989</c:v>
                </c:pt>
                <c:pt idx="860">
                  <c:v>-2.8990857668123207</c:v>
                </c:pt>
                <c:pt idx="861">
                  <c:v>-2.904268597978704</c:v>
                </c:pt>
                <c:pt idx="862">
                  <c:v>-2.909451492554386</c:v>
                </c:pt>
                <c:pt idx="863">
                  <c:v>-2.9146344505385033</c:v>
                </c:pt>
                <c:pt idx="864">
                  <c:v>-2.9198174719301933</c:v>
                </c:pt>
                <c:pt idx="865">
                  <c:v>-2.9250005567285924</c:v>
                </c:pt>
                <c:pt idx="866">
                  <c:v>-2.9301837049328379</c:v>
                </c:pt>
                <c:pt idx="867">
                  <c:v>-2.9353669165420659</c:v>
                </c:pt>
                <c:pt idx="868">
                  <c:v>-2.9405501915554142</c:v>
                </c:pt>
                <c:pt idx="869">
                  <c:v>-2.9457335299720193</c:v>
                </c:pt>
                <c:pt idx="870">
                  <c:v>-2.950916931791018</c:v>
                </c:pt>
                <c:pt idx="871">
                  <c:v>-2.9561003970115469</c:v>
                </c:pt>
                <c:pt idx="872">
                  <c:v>-2.9612839256327432</c:v>
                </c:pt>
                <c:pt idx="873">
                  <c:v>-2.9664675176537436</c:v>
                </c:pt>
                <c:pt idx="874">
                  <c:v>-2.9716511730736852</c:v>
                </c:pt>
                <c:pt idx="875">
                  <c:v>-2.9768348918917047</c:v>
                </c:pt>
                <c:pt idx="876">
                  <c:v>-2.9820186741069392</c:v>
                </c:pt>
                <c:pt idx="877">
                  <c:v>-2.9872025197185255</c:v>
                </c:pt>
                <c:pt idx="878">
                  <c:v>-2.9923864287256001</c:v>
                </c:pt>
                <c:pt idx="879">
                  <c:v>-2.9975704011273003</c:v>
                </c:pt>
                <c:pt idx="880">
                  <c:v>-3.0027544369227628</c:v>
                </c:pt>
                <c:pt idx="881">
                  <c:v>-3.0079385361111246</c:v>
                </c:pt>
                <c:pt idx="882">
                  <c:v>-3.0131226986915225</c:v>
                </c:pt>
                <c:pt idx="883">
                  <c:v>-3.0183069246630931</c:v>
                </c:pt>
                <c:pt idx="884">
                  <c:v>-3.0234912140249737</c:v>
                </c:pt>
                <c:pt idx="885">
                  <c:v>-3.0286755667763008</c:v>
                </c:pt>
                <c:pt idx="886">
                  <c:v>-3.0338599829162116</c:v>
                </c:pt>
                <c:pt idx="887">
                  <c:v>-3.0390444624438429</c:v>
                </c:pt>
                <c:pt idx="888">
                  <c:v>-3.0442290053583316</c:v>
                </c:pt>
                <c:pt idx="889">
                  <c:v>-3.0494136116588142</c:v>
                </c:pt>
                <c:pt idx="890">
                  <c:v>-3.0545982813444281</c:v>
                </c:pt>
                <c:pt idx="891">
                  <c:v>-3.0597830144143097</c:v>
                </c:pt>
                <c:pt idx="892">
                  <c:v>-3.0649678108675964</c:v>
                </c:pt>
                <c:pt idx="893">
                  <c:v>-3.0701526707034246</c:v>
                </c:pt>
                <c:pt idx="894">
                  <c:v>-3.0753375939209313</c:v>
                </c:pt>
                <c:pt idx="895">
                  <c:v>-3.0805225805192533</c:v>
                </c:pt>
                <c:pt idx="896">
                  <c:v>-3.0857076304975277</c:v>
                </c:pt>
                <c:pt idx="897">
                  <c:v>-3.0908927438548912</c:v>
                </c:pt>
                <c:pt idx="898">
                  <c:v>-3.0960779205904809</c:v>
                </c:pt>
                <c:pt idx="899">
                  <c:v>-3.1012631607034336</c:v>
                </c:pt>
                <c:pt idx="900">
                  <c:v>-3.1064484641928858</c:v>
                </c:pt>
                <c:pt idx="901">
                  <c:v>-3.1116338310579748</c:v>
                </c:pt>
                <c:pt idx="902">
                  <c:v>-3.1168192612978372</c:v>
                </c:pt>
                <c:pt idx="903">
                  <c:v>-3.1220047549116101</c:v>
                </c:pt>
                <c:pt idx="904">
                  <c:v>-3.1271903118984303</c:v>
                </c:pt>
                <c:pt idx="905">
                  <c:v>-3.1323759322574345</c:v>
                </c:pt>
                <c:pt idx="906">
                  <c:v>-3.1375616159877597</c:v>
                </c:pt>
                <c:pt idx="907">
                  <c:v>-3.1427473630885427</c:v>
                </c:pt>
                <c:pt idx="908">
                  <c:v>-3.1479331735589207</c:v>
                </c:pt>
                <c:pt idx="909">
                  <c:v>-3.1531190473980302</c:v>
                </c:pt>
                <c:pt idx="910">
                  <c:v>-3.1583049846050084</c:v>
                </c:pt>
                <c:pt idx="911">
                  <c:v>-3.1634909851789916</c:v>
                </c:pt>
                <c:pt idx="912">
                  <c:v>-3.1686770491191174</c:v>
                </c:pt>
                <c:pt idx="913">
                  <c:v>-3.1738631764245224</c:v>
                </c:pt>
                <c:pt idx="914">
                  <c:v>-3.1790493670943434</c:v>
                </c:pt>
                <c:pt idx="915">
                  <c:v>-3.184235621127717</c:v>
                </c:pt>
                <c:pt idx="916">
                  <c:v>-3.1894219385237803</c:v>
                </c:pt>
                <c:pt idx="917">
                  <c:v>-3.1946083192816705</c:v>
                </c:pt>
                <c:pt idx="918">
                  <c:v>-3.1997947634005239</c:v>
                </c:pt>
                <c:pt idx="919">
                  <c:v>-3.204981270879478</c:v>
                </c:pt>
                <c:pt idx="920">
                  <c:v>-3.2101678417176691</c:v>
                </c:pt>
                <c:pt idx="921">
                  <c:v>-3.2153544759142343</c:v>
                </c:pt>
                <c:pt idx="922">
                  <c:v>-3.2205411734683107</c:v>
                </c:pt>
                <c:pt idx="923">
                  <c:v>-3.225727934379035</c:v>
                </c:pt>
                <c:pt idx="924">
                  <c:v>-3.230914758645544</c:v>
                </c:pt>
                <c:pt idx="925">
                  <c:v>-3.2361016462669747</c:v>
                </c:pt>
                <c:pt idx="926">
                  <c:v>-3.2412885972424639</c:v>
                </c:pt>
                <c:pt idx="927">
                  <c:v>-3.2464756115711482</c:v>
                </c:pt>
                <c:pt idx="928">
                  <c:v>-3.2516626892521647</c:v>
                </c:pt>
                <c:pt idx="929">
                  <c:v>-3.2568498302846507</c:v>
                </c:pt>
                <c:pt idx="930">
                  <c:v>-3.2620370346677423</c:v>
                </c:pt>
                <c:pt idx="931">
                  <c:v>-3.2672243024005772</c:v>
                </c:pt>
                <c:pt idx="932">
                  <c:v>-3.2724116334822915</c:v>
                </c:pt>
                <c:pt idx="933">
                  <c:v>-3.2775990279120224</c:v>
                </c:pt>
                <c:pt idx="934">
                  <c:v>-3.2827864856889071</c:v>
                </c:pt>
                <c:pt idx="935">
                  <c:v>-3.2879740068120822</c:v>
                </c:pt>
                <c:pt idx="936">
                  <c:v>-3.2931615912806844</c:v>
                </c:pt>
                <c:pt idx="937">
                  <c:v>-3.2983492390938509</c:v>
                </c:pt>
                <c:pt idx="938">
                  <c:v>-3.3035369502507184</c:v>
                </c:pt>
                <c:pt idx="939">
                  <c:v>-3.3087247247504235</c:v>
                </c:pt>
                <c:pt idx="940">
                  <c:v>-3.3139125625921033</c:v>
                </c:pt>
                <c:pt idx="941">
                  <c:v>-3.3191004637748951</c:v>
                </c:pt>
                <c:pt idx="942">
                  <c:v>-3.324288428297935</c:v>
                </c:pt>
                <c:pt idx="943">
                  <c:v>-3.3294764561603607</c:v>
                </c:pt>
                <c:pt idx="944">
                  <c:v>-3.3346645473613084</c:v>
                </c:pt>
                <c:pt idx="945">
                  <c:v>-3.3398527018999151</c:v>
                </c:pt>
                <c:pt idx="946">
                  <c:v>-3.3450409197753181</c:v>
                </c:pt>
                <c:pt idx="947">
                  <c:v>-3.3502292009866541</c:v>
                </c:pt>
                <c:pt idx="948">
                  <c:v>-3.3554175455330597</c:v>
                </c:pt>
                <c:pt idx="949">
                  <c:v>-3.3606059534136721</c:v>
                </c:pt>
                <c:pt idx="950">
                  <c:v>-3.3657944246276279</c:v>
                </c:pt>
                <c:pt idx="951">
                  <c:v>-3.3709829591740643</c:v>
                </c:pt>
                <c:pt idx="952">
                  <c:v>-3.376171557052118</c:v>
                </c:pt>
                <c:pt idx="953">
                  <c:v>-3.3813602182609257</c:v>
                </c:pt>
                <c:pt idx="954">
                  <c:v>-3.3865489427996245</c:v>
                </c:pt>
                <c:pt idx="955">
                  <c:v>-3.3917377306673511</c:v>
                </c:pt>
                <c:pt idx="956">
                  <c:v>-3.3969265818632426</c:v>
                </c:pt>
                <c:pt idx="957">
                  <c:v>-3.4021154963864357</c:v>
                </c:pt>
                <c:pt idx="958">
                  <c:v>-3.4073044742360672</c:v>
                </c:pt>
                <c:pt idx="959">
                  <c:v>-3.4124935154112741</c:v>
                </c:pt>
                <c:pt idx="960">
                  <c:v>-3.4176826199111936</c:v>
                </c:pt>
                <c:pt idx="961">
                  <c:v>-3.4228717877349624</c:v>
                </c:pt>
                <c:pt idx="962">
                  <c:v>-3.4280610188817171</c:v>
                </c:pt>
                <c:pt idx="963">
                  <c:v>-3.4332503133505945</c:v>
                </c:pt>
                <c:pt idx="964">
                  <c:v>-3.4384396711407317</c:v>
                </c:pt>
                <c:pt idx="965">
                  <c:v>-3.4436290922512658</c:v>
                </c:pt>
                <c:pt idx="966">
                  <c:v>-3.4488185766813335</c:v>
                </c:pt>
                <c:pt idx="967">
                  <c:v>-3.4540081244300715</c:v>
                </c:pt>
                <c:pt idx="968">
                  <c:v>-3.459197735496617</c:v>
                </c:pt>
                <c:pt idx="969">
                  <c:v>-3.4643874098801066</c:v>
                </c:pt>
                <c:pt idx="970">
                  <c:v>-3.4695771475796775</c:v>
                </c:pt>
                <c:pt idx="971">
                  <c:v>-3.4747669485944663</c:v>
                </c:pt>
                <c:pt idx="972">
                  <c:v>-3.4799568129236098</c:v>
                </c:pt>
                <c:pt idx="973">
                  <c:v>-3.4851467405662451</c:v>
                </c:pt>
                <c:pt idx="974">
                  <c:v>-3.4903367315215088</c:v>
                </c:pt>
                <c:pt idx="975">
                  <c:v>-3.4955267857885381</c:v>
                </c:pt>
                <c:pt idx="976">
                  <c:v>-3.5007169033664698</c:v>
                </c:pt>
                <c:pt idx="977">
                  <c:v>-3.5059070842544409</c:v>
                </c:pt>
                <c:pt idx="978">
                  <c:v>-3.5110973284515881</c:v>
                </c:pt>
                <c:pt idx="979">
                  <c:v>-3.5162876359570481</c:v>
                </c:pt>
                <c:pt idx="980">
                  <c:v>-3.521478006769958</c:v>
                </c:pt>
                <c:pt idx="981">
                  <c:v>-3.5266684408894551</c:v>
                </c:pt>
                <c:pt idx="982">
                  <c:v>-3.5318589383146755</c:v>
                </c:pt>
                <c:pt idx="983">
                  <c:v>-3.5370494990447563</c:v>
                </c:pt>
                <c:pt idx="984">
                  <c:v>-3.5422401230788347</c:v>
                </c:pt>
                <c:pt idx="985">
                  <c:v>-3.5474308104160475</c:v>
                </c:pt>
                <c:pt idx="986">
                  <c:v>-3.5526215610555316</c:v>
                </c:pt>
                <c:pt idx="987">
                  <c:v>-3.5578123749964234</c:v>
                </c:pt>
                <c:pt idx="988">
                  <c:v>-3.5630032522378605</c:v>
                </c:pt>
                <c:pt idx="989">
                  <c:v>-3.5681941927789791</c:v>
                </c:pt>
                <c:pt idx="990">
                  <c:v>-3.5733851966189167</c:v>
                </c:pt>
                <c:pt idx="991">
                  <c:v>-3.5785762637568097</c:v>
                </c:pt>
                <c:pt idx="992">
                  <c:v>-3.5837673941917951</c:v>
                </c:pt>
                <c:pt idx="993">
                  <c:v>-3.5889585879230101</c:v>
                </c:pt>
                <c:pt idx="994">
                  <c:v>-3.5941498449495914</c:v>
                </c:pt>
                <c:pt idx="995">
                  <c:v>-3.5993411652706757</c:v>
                </c:pt>
                <c:pt idx="996">
                  <c:v>-3.6045325488854001</c:v>
                </c:pt>
                <c:pt idx="997">
                  <c:v>-3.6097239957929013</c:v>
                </c:pt>
                <c:pt idx="998">
                  <c:v>-3.6149155059923159</c:v>
                </c:pt>
                <c:pt idx="999">
                  <c:v>-3.6201070794827812</c:v>
                </c:pt>
                <c:pt idx="1000">
                  <c:v>-3.6252987162634343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0-FB44-B75E-51812F6EE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4576"/>
        <c:axId val="1"/>
      </c:scatterChart>
      <c:valAx>
        <c:axId val="18059845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Positions [m]</a:t>
                </a:r>
              </a:p>
            </c:rich>
          </c:tx>
          <c:layout>
            <c:manualLayout>
              <c:xMode val="edge"/>
              <c:yMode val="edge"/>
              <c:x val="2.0047169811320754E-2"/>
              <c:y val="0.3006547681539807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59845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02074463926657"/>
          <c:y val="0.49147026534597421"/>
          <c:w val="0.12627396663822255"/>
          <c:h val="0.153851561325696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Propu!$A$2</c:f>
          <c:strCache>
            <c:ptCount val="1"/>
            <c:pt idx="0">
              <c:v>Pandora</c:v>
            </c:pt>
          </c:strCache>
        </c:strRef>
      </c:tx>
      <c:layout>
        <c:manualLayout>
          <c:xMode val="edge"/>
          <c:yMode val="edge"/>
          <c:x val="0.47127077646762683"/>
          <c:y val="3.9178592393174498E-2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96559551677719E-2"/>
          <c:y val="5.5426586068345704E-2"/>
          <c:w val="0.88973722710617953"/>
          <c:h val="0.82390179871348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Propu!$A$4</c:f>
              <c:strCache>
                <c:ptCount val="1"/>
                <c:pt idx="0">
                  <c:v>Poussée (en N)</c:v>
                </c:pt>
              </c:strCache>
            </c:strRef>
          </c:tx>
          <c:spPr>
            <a:ln w="25400">
              <a:solidFill>
                <a:srgbClr val="004586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Propu!$B$3:$X$3</c:f>
              <c:numCache>
                <c:formatCode>General</c:formatCode>
                <c:ptCount val="2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0.62</c:v>
                </c:pt>
                <c:pt idx="4">
                  <c:v>0.66</c:v>
                </c:pt>
                <c:pt idx="5">
                  <c:v>0.68</c:v>
                </c:pt>
                <c:pt idx="6">
                  <c:v>0.8</c:v>
                </c:pt>
                <c:pt idx="7">
                  <c:v>0.84</c:v>
                </c:pt>
                <c:pt idx="8">
                  <c:v>0.88</c:v>
                </c:pt>
                <c:pt idx="9">
                  <c:v>0.92</c:v>
                </c:pt>
                <c:pt idx="10">
                  <c:v>0.96</c:v>
                </c:pt>
                <c:pt idx="11">
                  <c:v>1</c:v>
                </c:pt>
                <c:pt idx="12">
                  <c:v>1.08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xVal>
          <c:yVal>
            <c:numRef>
              <c:f>Propu!$B$4:$X$4</c:f>
              <c:numCache>
                <c:formatCode>General</c:formatCode>
                <c:ptCount val="23"/>
                <c:pt idx="0">
                  <c:v>0</c:v>
                </c:pt>
                <c:pt idx="1">
                  <c:v>250</c:v>
                </c:pt>
                <c:pt idx="2">
                  <c:v>210</c:v>
                </c:pt>
                <c:pt idx="3">
                  <c:v>160</c:v>
                </c:pt>
                <c:pt idx="4">
                  <c:v>150</c:v>
                </c:pt>
                <c:pt idx="5">
                  <c:v>142</c:v>
                </c:pt>
                <c:pt idx="6">
                  <c:v>62</c:v>
                </c:pt>
                <c:pt idx="7">
                  <c:v>48</c:v>
                </c:pt>
                <c:pt idx="8">
                  <c:v>34</c:v>
                </c:pt>
                <c:pt idx="9">
                  <c:v>24</c:v>
                </c:pt>
                <c:pt idx="10">
                  <c:v>15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9-674F-B487-8B8E0AC55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025184"/>
        <c:axId val="1"/>
      </c:scatterChart>
      <c:valAx>
        <c:axId val="1806025184"/>
        <c:scaling>
          <c:orientation val="minMax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Temps / Time [s]</a:t>
                </a:r>
              </a:p>
            </c:rich>
          </c:tx>
          <c:layout>
            <c:manualLayout>
              <c:xMode val="edge"/>
              <c:yMode val="edge"/>
              <c:x val="0.78665554917523417"/>
              <c:y val="0.688681254174847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Poussée / Thrust [N]</a:t>
                </a:r>
              </a:p>
            </c:rich>
          </c:tx>
          <c:layout>
            <c:manualLayout>
              <c:xMode val="edge"/>
              <c:yMode val="edge"/>
              <c:x val="8.5144147191391295E-2"/>
              <c:y val="0.35327652166872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6025184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landscape" horizontalDpi="1200" verticalDpi="1200"/>
  </c:printSettings>
</c:chartSpace>
</file>

<file path=xl/ctrlProps/ctrlProp1.xml><?xml version="1.0" encoding="utf-8"?>
<formControlPr xmlns="http://schemas.microsoft.com/office/spreadsheetml/2009/9/main" objectType="Spin" dx="15" fmlaLink="$C$22" inc="25" max="30000" noThreeD="1" page="10" val="200"/>
</file>

<file path=xl/ctrlProps/ctrlProp10.xml><?xml version="1.0" encoding="utf-8"?>
<formControlPr xmlns="http://schemas.microsoft.com/office/spreadsheetml/2009/9/main" objectType="Spin" dx="15" fmlaLink="$C$32" max="6" min="3" noThreeD="1" page="10" val="4"/>
</file>

<file path=xl/ctrlProps/ctrlProp11.xml><?xml version="1.0" encoding="utf-8"?>
<formControlPr xmlns="http://schemas.microsoft.com/office/spreadsheetml/2009/9/main" objectType="Spin" dx="15" fmlaLink="$C$13" inc="50" max="30000" noThreeD="1" page="10" val="900"/>
</file>

<file path=xl/ctrlProps/ctrlProp12.xml><?xml version="1.0" encoding="utf-8"?>
<formControlPr xmlns="http://schemas.microsoft.com/office/spreadsheetml/2009/9/main" objectType="Spin" dx="15" fmlaLink="$C$11" inc="100" max="30000" noThreeD="1" page="10" val="2000"/>
</file>

<file path=xl/ctrlProps/ctrlProp13.xml><?xml version="1.0" encoding="utf-8"?>
<formControlPr xmlns="http://schemas.microsoft.com/office/spreadsheetml/2009/9/main" objectType="Spin" dx="15" fmlaLink="$C$11" inc="100" max="30000" noThreeD="1" page="10" val="2000"/>
</file>

<file path=xl/ctrlProps/ctrlProp14.xml><?xml version="1.0" encoding="utf-8"?>
<formControlPr xmlns="http://schemas.microsoft.com/office/spreadsheetml/2009/9/main" objectType="Spin" dx="15" fmlaLink="Stabilito!C11" inc="100" max="30000" noThreeD="1" page="10" val="2000"/>
</file>

<file path=xl/ctrlProps/ctrlProp15.xml><?xml version="1.0" encoding="utf-8"?>
<formControlPr xmlns="http://schemas.microsoft.com/office/spreadsheetml/2009/9/main" objectType="Spin" dx="15" fmlaLink="$B$43" inc="50" max="30000" noThreeD="1" page="10" val="549"/>
</file>

<file path=xl/ctrlProps/ctrlProp16.xml><?xml version="1.0" encoding="utf-8"?>
<formControlPr xmlns="http://schemas.microsoft.com/office/spreadsheetml/2009/9/main" objectType="Spin" dx="15" fmlaLink="$B$45" inc="50" max="30000" noThreeD="1" page="10" val="549"/>
</file>

<file path=xl/ctrlProps/ctrlProp17.xml><?xml version="1.0" encoding="utf-8"?>
<formControlPr xmlns="http://schemas.microsoft.com/office/spreadsheetml/2009/9/main" objectType="Spin" dx="15" fmlaLink="$B$51" inc="50" max="30000" noThreeD="1" page="10" val="299"/>
</file>

<file path=xl/ctrlProps/ctrlProp18.xml><?xml version="1.0" encoding="utf-8"?>
<formControlPr xmlns="http://schemas.microsoft.com/office/spreadsheetml/2009/9/main" objectType="Spin" dx="15" fmlaLink="$B$53" inc="5" max="30000" noThreeD="1" page="10" val="29"/>
</file>

<file path=xl/ctrlProps/ctrlProp19.xml><?xml version="1.0" encoding="utf-8"?>
<formControlPr xmlns="http://schemas.microsoft.com/office/spreadsheetml/2009/9/main" objectType="Spin" dx="15" fmlaLink="Stabilito!C11" inc="100" max="30000" noThreeD="1" page="10" val="2000"/>
</file>

<file path=xl/ctrlProps/ctrlProp2.xml><?xml version="1.0" encoding="utf-8"?>
<formControlPr xmlns="http://schemas.microsoft.com/office/spreadsheetml/2009/9/main" objectType="Spin" dx="15" fmlaLink="$C$11" inc="100" max="30000" noThreeD="1" page="10" val="2000"/>
</file>

<file path=xl/ctrlProps/ctrlProp20.xml><?xml version="1.0" encoding="utf-8"?>
<formControlPr xmlns="http://schemas.microsoft.com/office/spreadsheetml/2009/9/main" objectType="Spin" dx="15" fmlaLink="Stabilito!C11" inc="100" max="30000" noThreeD="1" page="10" val="2000"/>
</file>

<file path=xl/ctrlProps/ctrlProp3.xml><?xml version="1.0" encoding="utf-8"?>
<formControlPr xmlns="http://schemas.microsoft.com/office/spreadsheetml/2009/9/main" objectType="Spin" dx="15" fmlaLink="$C$12" inc="50" max="30000" noThreeD="1" page="10" val="500"/>
</file>

<file path=xl/ctrlProps/ctrlProp4.xml><?xml version="1.0" encoding="utf-8"?>
<formControlPr xmlns="http://schemas.microsoft.com/office/spreadsheetml/2009/9/main" objectType="Spin" dx="15" fmlaLink="$C$23" inc="20" max="30000" noThreeD="1" page="10" val="84"/>
</file>

<file path=xl/ctrlProps/ctrlProp5.xml><?xml version="1.0" encoding="utf-8"?>
<formControlPr xmlns="http://schemas.microsoft.com/office/spreadsheetml/2009/9/main" objectType="Spin" dx="15" fmlaLink="$C$27" inc="10" max="30000" noThreeD="1" page="10" val="130"/>
</file>

<file path=xl/ctrlProps/ctrlProp6.xml><?xml version="1.0" encoding="utf-8"?>
<formControlPr xmlns="http://schemas.microsoft.com/office/spreadsheetml/2009/9/main" objectType="Spin" dx="15" fmlaLink="$C$28" inc="10" max="30000" noThreeD="1" page="10" val="70"/>
</file>

<file path=xl/ctrlProps/ctrlProp7.xml><?xml version="1.0" encoding="utf-8"?>
<formControlPr xmlns="http://schemas.microsoft.com/office/spreadsheetml/2009/9/main" objectType="Spin" dx="15" fmlaLink="$C$29" inc="10" max="30000" noThreeD="1" page="10" val="130"/>
</file>

<file path=xl/ctrlProps/ctrlProp8.xml><?xml version="1.0" encoding="utf-8"?>
<formControlPr xmlns="http://schemas.microsoft.com/office/spreadsheetml/2009/9/main" objectType="Spin" dx="15" fmlaLink="$C$30" inc="10" max="30000" noThreeD="1" page="10" val="110"/>
</file>

<file path=xl/ctrlProps/ctrlProp9.xml><?xml version="1.0" encoding="utf-8"?>
<formControlPr xmlns="http://schemas.microsoft.com/office/spreadsheetml/2009/9/main" objectType="Spin" dx="15" fmlaLink="$C$31" max="30000" noThreeD="1" page="10" val="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3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5.png"/><Relationship Id="rId1" Type="http://schemas.openxmlformats.org/officeDocument/2006/relationships/image" Target="../media/image44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9.emf"/><Relationship Id="rId18" Type="http://schemas.openxmlformats.org/officeDocument/2006/relationships/image" Target="../media/image24.emf"/><Relationship Id="rId26" Type="http://schemas.openxmlformats.org/officeDocument/2006/relationships/image" Target="../media/image32.emf"/><Relationship Id="rId3" Type="http://schemas.openxmlformats.org/officeDocument/2006/relationships/image" Target="../media/image9.emf"/><Relationship Id="rId21" Type="http://schemas.openxmlformats.org/officeDocument/2006/relationships/image" Target="../media/image27.emf"/><Relationship Id="rId34" Type="http://schemas.openxmlformats.org/officeDocument/2006/relationships/image" Target="../media/image40.emf"/><Relationship Id="rId7" Type="http://schemas.openxmlformats.org/officeDocument/2006/relationships/image" Target="../media/image13.emf"/><Relationship Id="rId12" Type="http://schemas.openxmlformats.org/officeDocument/2006/relationships/image" Target="../media/image18.emf"/><Relationship Id="rId17" Type="http://schemas.openxmlformats.org/officeDocument/2006/relationships/image" Target="../media/image23.emf"/><Relationship Id="rId25" Type="http://schemas.openxmlformats.org/officeDocument/2006/relationships/image" Target="../media/image31.emf"/><Relationship Id="rId33" Type="http://schemas.openxmlformats.org/officeDocument/2006/relationships/image" Target="../media/image39.emf"/><Relationship Id="rId2" Type="http://schemas.openxmlformats.org/officeDocument/2006/relationships/image" Target="../media/image8.emf"/><Relationship Id="rId16" Type="http://schemas.openxmlformats.org/officeDocument/2006/relationships/image" Target="../media/image22.emf"/><Relationship Id="rId20" Type="http://schemas.openxmlformats.org/officeDocument/2006/relationships/image" Target="../media/image26.emf"/><Relationship Id="rId29" Type="http://schemas.openxmlformats.org/officeDocument/2006/relationships/image" Target="../media/image35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11" Type="http://schemas.openxmlformats.org/officeDocument/2006/relationships/image" Target="../media/image17.emf"/><Relationship Id="rId24" Type="http://schemas.openxmlformats.org/officeDocument/2006/relationships/image" Target="../media/image30.emf"/><Relationship Id="rId32" Type="http://schemas.openxmlformats.org/officeDocument/2006/relationships/image" Target="../media/image38.emf"/><Relationship Id="rId5" Type="http://schemas.openxmlformats.org/officeDocument/2006/relationships/image" Target="../media/image11.emf"/><Relationship Id="rId15" Type="http://schemas.openxmlformats.org/officeDocument/2006/relationships/image" Target="../media/image21.emf"/><Relationship Id="rId23" Type="http://schemas.openxmlformats.org/officeDocument/2006/relationships/image" Target="../media/image29.emf"/><Relationship Id="rId28" Type="http://schemas.openxmlformats.org/officeDocument/2006/relationships/image" Target="../media/image34.emf"/><Relationship Id="rId36" Type="http://schemas.openxmlformats.org/officeDocument/2006/relationships/image" Target="../media/image42.emf"/><Relationship Id="rId10" Type="http://schemas.openxmlformats.org/officeDocument/2006/relationships/image" Target="../media/image16.emf"/><Relationship Id="rId19" Type="http://schemas.openxmlformats.org/officeDocument/2006/relationships/image" Target="../media/image25.emf"/><Relationship Id="rId31" Type="http://schemas.openxmlformats.org/officeDocument/2006/relationships/image" Target="../media/image37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Relationship Id="rId14" Type="http://schemas.openxmlformats.org/officeDocument/2006/relationships/image" Target="../media/image20.emf"/><Relationship Id="rId22" Type="http://schemas.openxmlformats.org/officeDocument/2006/relationships/image" Target="../media/image28.emf"/><Relationship Id="rId27" Type="http://schemas.openxmlformats.org/officeDocument/2006/relationships/image" Target="../media/image33.emf"/><Relationship Id="rId30" Type="http://schemas.openxmlformats.org/officeDocument/2006/relationships/image" Target="../media/image36.emf"/><Relationship Id="rId35" Type="http://schemas.openxmlformats.org/officeDocument/2006/relationships/image" Target="../media/image41.emf"/><Relationship Id="rId8" Type="http://schemas.openxmlformats.org/officeDocument/2006/relationships/image" Target="../media/image1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1</xdr:row>
      <xdr:rowOff>25400</xdr:rowOff>
    </xdr:from>
    <xdr:to>
      <xdr:col>12</xdr:col>
      <xdr:colOff>533400</xdr:colOff>
      <xdr:row>1</xdr:row>
      <xdr:rowOff>139700</xdr:rowOff>
    </xdr:to>
    <xdr:grpSp>
      <xdr:nvGrpSpPr>
        <xdr:cNvPr id="5097044" name="Groupe 1">
          <a:extLst>
            <a:ext uri="{FF2B5EF4-FFF2-40B4-BE49-F238E27FC236}">
              <a16:creationId xmlns:a16="http://schemas.microsoft.com/office/drawing/2014/main" id="{00000000-0008-0000-0000-000054C64D00}"/>
            </a:ext>
          </a:extLst>
        </xdr:cNvPr>
        <xdr:cNvGrpSpPr>
          <a:grpSpLocks/>
        </xdr:cNvGrpSpPr>
      </xdr:nvGrpSpPr>
      <xdr:grpSpPr bwMode="auto">
        <a:xfrm>
          <a:off x="7388958" y="186592"/>
          <a:ext cx="508000" cy="114300"/>
          <a:chOff x="7067550" y="190500"/>
          <a:chExt cx="438150" cy="114300"/>
        </a:xfrm>
      </xdr:grpSpPr>
      <xdr:pic>
        <xdr:nvPicPr>
          <xdr:cNvPr id="5097050" name="Image 1">
            <a:extLst>
              <a:ext uri="{FF2B5EF4-FFF2-40B4-BE49-F238E27FC236}">
                <a16:creationId xmlns:a16="http://schemas.microsoft.com/office/drawing/2014/main" id="{00000000-0008-0000-0000-00005AC64D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067550" y="190500"/>
            <a:ext cx="171450" cy="1143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097051" name="Image 2">
            <a:extLst>
              <a:ext uri="{FF2B5EF4-FFF2-40B4-BE49-F238E27FC236}">
                <a16:creationId xmlns:a16="http://schemas.microsoft.com/office/drawing/2014/main" id="{00000000-0008-0000-0000-00005BC64D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77100" y="190500"/>
            <a:ext cx="228600" cy="1143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4</xdr:col>
      <xdr:colOff>304800</xdr:colOff>
      <xdr:row>1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5097045" name="Graphique 9">
          <a:extLst>
            <a:ext uri="{FF2B5EF4-FFF2-40B4-BE49-F238E27FC236}">
              <a16:creationId xmlns:a16="http://schemas.microsoft.com/office/drawing/2014/main" id="{00000000-0008-0000-0000-000055C6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16</xdr:col>
      <xdr:colOff>0</xdr:colOff>
      <xdr:row>35</xdr:row>
      <xdr:rowOff>0</xdr:rowOff>
    </xdr:to>
    <xdr:graphicFrame macro="">
      <xdr:nvGraphicFramePr>
        <xdr:cNvPr id="5097046" name="Graphique 19">
          <a:extLst>
            <a:ext uri="{FF2B5EF4-FFF2-40B4-BE49-F238E27FC236}">
              <a16:creationId xmlns:a16="http://schemas.microsoft.com/office/drawing/2014/main" id="{00000000-0008-0000-0000-000056C6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1079500</xdr:colOff>
      <xdr:row>4</xdr:row>
      <xdr:rowOff>149831</xdr:rowOff>
    </xdr:to>
    <xdr:pic>
      <xdr:nvPicPr>
        <xdr:cNvPr id="5097047" name="Picture 8" descr="logoplasci">
          <a:extLst>
            <a:ext uri="{FF2B5EF4-FFF2-40B4-BE49-F238E27FC236}">
              <a16:creationId xmlns:a16="http://schemas.microsoft.com/office/drawing/2014/main" id="{00000000-0008-0000-0000-000057C64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52400"/>
          <a:ext cx="10795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3</xdr:col>
      <xdr:colOff>3175</xdr:colOff>
      <xdr:row>48</xdr:row>
      <xdr:rowOff>63500</xdr:rowOff>
    </xdr:to>
    <xdr:pic>
      <xdr:nvPicPr>
        <xdr:cNvPr id="5097048" name="Image 1">
          <a:extLst>
            <a:ext uri="{FF2B5EF4-FFF2-40B4-BE49-F238E27FC236}">
              <a16:creationId xmlns:a16="http://schemas.microsoft.com/office/drawing/2014/main" id="{00000000-0008-0000-0000-000058C6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5638800"/>
          <a:ext cx="2171700" cy="187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12700</xdr:rowOff>
    </xdr:from>
    <xdr:to>
      <xdr:col>20</xdr:col>
      <xdr:colOff>609600</xdr:colOff>
      <xdr:row>9</xdr:row>
      <xdr:rowOff>12700</xdr:rowOff>
    </xdr:to>
    <xdr:pic>
      <xdr:nvPicPr>
        <xdr:cNvPr id="5097049" name="Image 2">
          <a:extLst>
            <a:ext uri="{FF2B5EF4-FFF2-40B4-BE49-F238E27FC236}">
              <a16:creationId xmlns:a16="http://schemas.microsoft.com/office/drawing/2014/main" id="{00000000-0008-0000-0000-000059C6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469900"/>
          <a:ext cx="23368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809625</xdr:colOff>
          <xdr:row>21</xdr:row>
          <xdr:rowOff>9525</xdr:rowOff>
        </xdr:from>
        <xdr:to>
          <xdr:col>4</xdr:col>
          <xdr:colOff>0</xdr:colOff>
          <xdr:row>22</xdr:row>
          <xdr:rowOff>0</xdr:rowOff>
        </xdr:to>
        <xdr:sp macro="" textlink="">
          <xdr:nvSpPr>
            <xdr:cNvPr id="36775" name="Spinner 935" hidden="1">
              <a:extLst>
                <a:ext uri="{63B3BB69-23CF-44E3-9099-C40C66FF867C}">
                  <a14:compatExt spid="_x0000_s36775"/>
                </a:ext>
                <a:ext uri="{FF2B5EF4-FFF2-40B4-BE49-F238E27FC236}">
                  <a16:creationId xmlns:a16="http://schemas.microsoft.com/office/drawing/2014/main" id="{00000000-0008-0000-0000-0000A7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10</xdr:row>
          <xdr:rowOff>9525</xdr:rowOff>
        </xdr:from>
        <xdr:to>
          <xdr:col>3</xdr:col>
          <xdr:colOff>0</xdr:colOff>
          <xdr:row>11</xdr:row>
          <xdr:rowOff>0</xdr:rowOff>
        </xdr:to>
        <xdr:sp macro="" textlink="">
          <xdr:nvSpPr>
            <xdr:cNvPr id="36781" name="Spinner 941" hidden="1">
              <a:extLst>
                <a:ext uri="{63B3BB69-23CF-44E3-9099-C40C66FF867C}">
                  <a14:compatExt spid="_x0000_s36781"/>
                </a:ext>
                <a:ext uri="{FF2B5EF4-FFF2-40B4-BE49-F238E27FC236}">
                  <a16:creationId xmlns:a16="http://schemas.microsoft.com/office/drawing/2014/main" id="{00000000-0008-0000-0000-0000AD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11</xdr:row>
          <xdr:rowOff>9525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36782" name="Spinner 942" hidden="1">
              <a:extLst>
                <a:ext uri="{63B3BB69-23CF-44E3-9099-C40C66FF867C}">
                  <a14:compatExt spid="_x0000_s36782"/>
                </a:ext>
                <a:ext uri="{FF2B5EF4-FFF2-40B4-BE49-F238E27FC236}">
                  <a16:creationId xmlns:a16="http://schemas.microsoft.com/office/drawing/2014/main" id="{00000000-0008-0000-0000-0000AE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809625</xdr:colOff>
          <xdr:row>22</xdr:row>
          <xdr:rowOff>9525</xdr:rowOff>
        </xdr:from>
        <xdr:to>
          <xdr:col>4</xdr:col>
          <xdr:colOff>0</xdr:colOff>
          <xdr:row>23</xdr:row>
          <xdr:rowOff>0</xdr:rowOff>
        </xdr:to>
        <xdr:sp macro="" textlink="">
          <xdr:nvSpPr>
            <xdr:cNvPr id="36783" name="Spinner 943" hidden="1">
              <a:extLst>
                <a:ext uri="{63B3BB69-23CF-44E3-9099-C40C66FF867C}">
                  <a14:compatExt spid="_x0000_s36783"/>
                </a:ext>
                <a:ext uri="{FF2B5EF4-FFF2-40B4-BE49-F238E27FC236}">
                  <a16:creationId xmlns:a16="http://schemas.microsoft.com/office/drawing/2014/main" id="{00000000-0008-0000-0000-0000AF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26</xdr:row>
          <xdr:rowOff>9525</xdr:rowOff>
        </xdr:from>
        <xdr:to>
          <xdr:col>3</xdr:col>
          <xdr:colOff>0</xdr:colOff>
          <xdr:row>27</xdr:row>
          <xdr:rowOff>0</xdr:rowOff>
        </xdr:to>
        <xdr:sp macro="" textlink="">
          <xdr:nvSpPr>
            <xdr:cNvPr id="36789" name="Spinner 949" hidden="1">
              <a:extLst>
                <a:ext uri="{63B3BB69-23CF-44E3-9099-C40C66FF867C}">
                  <a14:compatExt spid="_x0000_s36789"/>
                </a:ext>
                <a:ext uri="{FF2B5EF4-FFF2-40B4-BE49-F238E27FC236}">
                  <a16:creationId xmlns:a16="http://schemas.microsoft.com/office/drawing/2014/main" id="{00000000-0008-0000-0000-0000B5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27</xdr:row>
          <xdr:rowOff>9525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36795" name="Spinner 955" hidden="1">
              <a:extLst>
                <a:ext uri="{63B3BB69-23CF-44E3-9099-C40C66FF867C}">
                  <a14:compatExt spid="_x0000_s36795"/>
                </a:ext>
                <a:ext uri="{FF2B5EF4-FFF2-40B4-BE49-F238E27FC236}">
                  <a16:creationId xmlns:a16="http://schemas.microsoft.com/office/drawing/2014/main" id="{00000000-0008-0000-0000-0000BB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28</xdr:row>
          <xdr:rowOff>9525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36796" name="Spinner 956" hidden="1">
              <a:extLst>
                <a:ext uri="{63B3BB69-23CF-44E3-9099-C40C66FF867C}">
                  <a14:compatExt spid="_x0000_s36796"/>
                </a:ext>
                <a:ext uri="{FF2B5EF4-FFF2-40B4-BE49-F238E27FC236}">
                  <a16:creationId xmlns:a16="http://schemas.microsoft.com/office/drawing/2014/main" id="{00000000-0008-0000-0000-0000BC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29</xdr:row>
          <xdr:rowOff>9525</xdr:rowOff>
        </xdr:from>
        <xdr:to>
          <xdr:col>3</xdr:col>
          <xdr:colOff>0</xdr:colOff>
          <xdr:row>30</xdr:row>
          <xdr:rowOff>0</xdr:rowOff>
        </xdr:to>
        <xdr:sp macro="" textlink="">
          <xdr:nvSpPr>
            <xdr:cNvPr id="36797" name="Spinner 957" hidden="1">
              <a:extLst>
                <a:ext uri="{63B3BB69-23CF-44E3-9099-C40C66FF867C}">
                  <a14:compatExt spid="_x0000_s36797"/>
                </a:ext>
                <a:ext uri="{FF2B5EF4-FFF2-40B4-BE49-F238E27FC236}">
                  <a16:creationId xmlns:a16="http://schemas.microsoft.com/office/drawing/2014/main" id="{00000000-0008-0000-0000-0000BD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30</xdr:row>
          <xdr:rowOff>9525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36798" name="Spinner 958" hidden="1">
              <a:extLst>
                <a:ext uri="{63B3BB69-23CF-44E3-9099-C40C66FF867C}">
                  <a14:compatExt spid="_x0000_s36798"/>
                </a:ext>
                <a:ext uri="{FF2B5EF4-FFF2-40B4-BE49-F238E27FC236}">
                  <a16:creationId xmlns:a16="http://schemas.microsoft.com/office/drawing/2014/main" id="{00000000-0008-0000-0000-0000BE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31</xdr:row>
          <xdr:rowOff>9525</xdr:rowOff>
        </xdr:from>
        <xdr:to>
          <xdr:col>3</xdr:col>
          <xdr:colOff>0</xdr:colOff>
          <xdr:row>32</xdr:row>
          <xdr:rowOff>0</xdr:rowOff>
        </xdr:to>
        <xdr:sp macro="" textlink="">
          <xdr:nvSpPr>
            <xdr:cNvPr id="36799" name="Spinner 959" hidden="1">
              <a:extLst>
                <a:ext uri="{63B3BB69-23CF-44E3-9099-C40C66FF867C}">
                  <a14:compatExt spid="_x0000_s36799"/>
                </a:ext>
                <a:ext uri="{FF2B5EF4-FFF2-40B4-BE49-F238E27FC236}">
                  <a16:creationId xmlns:a16="http://schemas.microsoft.com/office/drawing/2014/main" id="{00000000-0008-0000-0000-0000BF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809625</xdr:colOff>
          <xdr:row>12</xdr:row>
          <xdr:rowOff>9525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36801" name="Spinner 961" hidden="1">
              <a:extLst>
                <a:ext uri="{63B3BB69-23CF-44E3-9099-C40C66FF867C}">
                  <a14:compatExt spid="_x0000_s36801"/>
                </a:ext>
                <a:ext uri="{FF2B5EF4-FFF2-40B4-BE49-F238E27FC236}">
                  <a16:creationId xmlns:a16="http://schemas.microsoft.com/office/drawing/2014/main" id="{00000000-0008-0000-0000-0000C1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35</xdr:row>
          <xdr:rowOff>9525</xdr:rowOff>
        </xdr:from>
        <xdr:to>
          <xdr:col>19</xdr:col>
          <xdr:colOff>0</xdr:colOff>
          <xdr:row>36</xdr:row>
          <xdr:rowOff>0</xdr:rowOff>
        </xdr:to>
        <xdr:sp macro="" textlink="">
          <xdr:nvSpPr>
            <xdr:cNvPr id="5096691" name="Spinner 3315" hidden="1">
              <a:extLst>
                <a:ext uri="{63B3BB69-23CF-44E3-9099-C40C66FF867C}">
                  <a14:compatExt spid="_x0000_s5096691"/>
                </a:ext>
                <a:ext uri="{FF2B5EF4-FFF2-40B4-BE49-F238E27FC236}">
                  <a16:creationId xmlns:a16="http://schemas.microsoft.com/office/drawing/2014/main" id="{00000000-0008-0000-0000-0000F3C44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35</xdr:row>
          <xdr:rowOff>9525</xdr:rowOff>
        </xdr:from>
        <xdr:to>
          <xdr:col>19</xdr:col>
          <xdr:colOff>0</xdr:colOff>
          <xdr:row>36</xdr:row>
          <xdr:rowOff>0</xdr:rowOff>
        </xdr:to>
        <xdr:sp macro="" textlink="">
          <xdr:nvSpPr>
            <xdr:cNvPr id="5096692" name="Spinner 3316" hidden="1">
              <a:extLst>
                <a:ext uri="{63B3BB69-23CF-44E3-9099-C40C66FF867C}">
                  <a14:compatExt spid="_x0000_s5096692"/>
                </a:ext>
                <a:ext uri="{FF2B5EF4-FFF2-40B4-BE49-F238E27FC236}">
                  <a16:creationId xmlns:a16="http://schemas.microsoft.com/office/drawing/2014/main" id="{00000000-0008-0000-0000-0000F4C44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0</xdr:colOff>
      <xdr:row>20</xdr:row>
      <xdr:rowOff>0</xdr:rowOff>
    </xdr:to>
    <xdr:graphicFrame macro="">
      <xdr:nvGraphicFramePr>
        <xdr:cNvPr id="5605413" name="Graphique 1">
          <a:extLst>
            <a:ext uri="{FF2B5EF4-FFF2-40B4-BE49-F238E27FC236}">
              <a16:creationId xmlns:a16="http://schemas.microsoft.com/office/drawing/2014/main" id="{00000000-0008-0000-0100-000025885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5605414" name="Graphique 2">
          <a:extLst>
            <a:ext uri="{FF2B5EF4-FFF2-40B4-BE49-F238E27FC236}">
              <a16:creationId xmlns:a16="http://schemas.microsoft.com/office/drawing/2014/main" id="{00000000-0008-0000-0100-000026885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1079500</xdr:colOff>
      <xdr:row>5</xdr:row>
      <xdr:rowOff>0</xdr:rowOff>
    </xdr:to>
    <xdr:pic>
      <xdr:nvPicPr>
        <xdr:cNvPr id="5605415" name="Picture 8" descr="logoplasci">
          <a:extLst>
            <a:ext uri="{FF2B5EF4-FFF2-40B4-BE49-F238E27FC236}">
              <a16:creationId xmlns:a16="http://schemas.microsoft.com/office/drawing/2014/main" id="{00000000-0008-0000-0100-000027885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65100"/>
          <a:ext cx="10795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152400</xdr:colOff>
      <xdr:row>38</xdr:row>
      <xdr:rowOff>114300</xdr:rowOff>
    </xdr:from>
    <xdr:to>
      <xdr:col>3</xdr:col>
      <xdr:colOff>787400</xdr:colOff>
      <xdr:row>46</xdr:row>
      <xdr:rowOff>0</xdr:rowOff>
    </xdr:to>
    <xdr:grpSp>
      <xdr:nvGrpSpPr>
        <xdr:cNvPr id="5605416" name="Groupe 1">
          <a:extLst>
            <a:ext uri="{FF2B5EF4-FFF2-40B4-BE49-F238E27FC236}">
              <a16:creationId xmlns:a16="http://schemas.microsoft.com/office/drawing/2014/main" id="{00000000-0008-0000-0100-000028885500}"/>
            </a:ext>
          </a:extLst>
        </xdr:cNvPr>
        <xdr:cNvGrpSpPr>
          <a:grpSpLocks/>
        </xdr:cNvGrpSpPr>
      </xdr:nvGrpSpPr>
      <xdr:grpSpPr bwMode="auto">
        <a:xfrm>
          <a:off x="1396253" y="6087035"/>
          <a:ext cx="1368425" cy="1140759"/>
          <a:chOff x="1362075" y="6410325"/>
          <a:chExt cx="1319468" cy="1181100"/>
        </a:xfrm>
      </xdr:grpSpPr>
      <xdr:sp macro="" textlink="">
        <xdr:nvSpPr>
          <xdr:cNvPr id="5605421" name="Line 320">
            <a:extLst>
              <a:ext uri="{FF2B5EF4-FFF2-40B4-BE49-F238E27FC236}">
                <a16:creationId xmlns:a16="http://schemas.microsoft.com/office/drawing/2014/main" id="{00000000-0008-0000-0100-00002D8855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462415" y="7296150"/>
            <a:ext cx="35118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5422" name="Rectangle 314">
            <a:extLst>
              <a:ext uri="{FF2B5EF4-FFF2-40B4-BE49-F238E27FC236}">
                <a16:creationId xmlns:a16="http://schemas.microsoft.com/office/drawing/2014/main" id="{00000000-0008-0000-0100-00002E885500}"/>
              </a:ext>
            </a:extLst>
          </xdr:cNvPr>
          <xdr:cNvSpPr>
            <a:spLocks noChangeArrowheads="1"/>
          </xdr:cNvSpPr>
        </xdr:nvSpPr>
        <xdr:spPr bwMode="auto">
          <a:xfrm>
            <a:off x="1833672" y="6410325"/>
            <a:ext cx="481630" cy="1181100"/>
          </a:xfrm>
          <a:prstGeom prst="rect">
            <a:avLst/>
          </a:prstGeom>
          <a:solidFill>
            <a:srgbClr val="F2F2F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605423" name="Rectangle 315">
            <a:extLst>
              <a:ext uri="{FF2B5EF4-FFF2-40B4-BE49-F238E27FC236}">
                <a16:creationId xmlns:a16="http://schemas.microsoft.com/office/drawing/2014/main" id="{00000000-0008-0000-0100-00002F885500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1838363" y="6388995"/>
            <a:ext cx="482283" cy="1204076"/>
          </a:xfrm>
          <a:prstGeom prst="rect">
            <a:avLst/>
          </a:prstGeom>
          <a:solidFill>
            <a:srgbClr val="F2F2F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605424" name="Line 316">
            <a:extLst>
              <a:ext uri="{FF2B5EF4-FFF2-40B4-BE49-F238E27FC236}">
                <a16:creationId xmlns:a16="http://schemas.microsoft.com/office/drawing/2014/main" id="{00000000-0008-0000-0100-000030885500}"/>
              </a:ext>
            </a:extLst>
          </xdr:cNvPr>
          <xdr:cNvSpPr>
            <a:spLocks noChangeShapeType="1"/>
          </xdr:cNvSpPr>
        </xdr:nvSpPr>
        <xdr:spPr bwMode="auto">
          <a:xfrm>
            <a:off x="1833672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5425" name="Line 317">
            <a:extLst>
              <a:ext uri="{FF2B5EF4-FFF2-40B4-BE49-F238E27FC236}">
                <a16:creationId xmlns:a16="http://schemas.microsoft.com/office/drawing/2014/main" id="{00000000-0008-0000-0100-000031885500}"/>
              </a:ext>
            </a:extLst>
          </xdr:cNvPr>
          <xdr:cNvSpPr>
            <a:spLocks noChangeShapeType="1"/>
          </xdr:cNvSpPr>
        </xdr:nvSpPr>
        <xdr:spPr bwMode="auto">
          <a:xfrm>
            <a:off x="2312198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5426" name="Line 319">
            <a:extLst>
              <a:ext uri="{FF2B5EF4-FFF2-40B4-BE49-F238E27FC236}">
                <a16:creationId xmlns:a16="http://schemas.microsoft.com/office/drawing/2014/main" id="{00000000-0008-0000-0100-000032885500}"/>
              </a:ext>
            </a:extLst>
          </xdr:cNvPr>
          <xdr:cNvSpPr>
            <a:spLocks noChangeShapeType="1"/>
          </xdr:cNvSpPr>
        </xdr:nvSpPr>
        <xdr:spPr bwMode="auto">
          <a:xfrm>
            <a:off x="1362075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279400</xdr:colOff>
      <xdr:row>49</xdr:row>
      <xdr:rowOff>25400</xdr:rowOff>
    </xdr:from>
    <xdr:to>
      <xdr:col>3</xdr:col>
      <xdr:colOff>558800</xdr:colOff>
      <xdr:row>54</xdr:row>
      <xdr:rowOff>114300</xdr:rowOff>
    </xdr:to>
    <xdr:sp macro="" textlink="">
      <xdr:nvSpPr>
        <xdr:cNvPr id="5605417" name="Oval 323">
          <a:extLst>
            <a:ext uri="{FF2B5EF4-FFF2-40B4-BE49-F238E27FC236}">
              <a16:creationId xmlns:a16="http://schemas.microsoft.com/office/drawing/2014/main" id="{00000000-0008-0000-0100-000029885500}"/>
            </a:ext>
          </a:extLst>
        </xdr:cNvPr>
        <xdr:cNvSpPr>
          <a:spLocks noChangeArrowheads="1"/>
        </xdr:cNvSpPr>
      </xdr:nvSpPr>
      <xdr:spPr bwMode="auto">
        <a:xfrm>
          <a:off x="1689100" y="7899400"/>
          <a:ext cx="1143000" cy="914400"/>
        </a:xfrm>
        <a:prstGeom prst="ellipse">
          <a:avLst/>
        </a:prstGeom>
        <a:solidFill>
          <a:srgbClr val="F2F2F2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762000</xdr:colOff>
      <xdr:row>51</xdr:row>
      <xdr:rowOff>63500</xdr:rowOff>
    </xdr:from>
    <xdr:to>
      <xdr:col>3</xdr:col>
      <xdr:colOff>101600</xdr:colOff>
      <xdr:row>52</xdr:row>
      <xdr:rowOff>76200</xdr:rowOff>
    </xdr:to>
    <xdr:sp macro="" textlink="">
      <xdr:nvSpPr>
        <xdr:cNvPr id="5605418" name="Oval 323">
          <a:extLst>
            <a:ext uri="{FF2B5EF4-FFF2-40B4-BE49-F238E27FC236}">
              <a16:creationId xmlns:a16="http://schemas.microsoft.com/office/drawing/2014/main" id="{00000000-0008-0000-0100-00002A885500}"/>
            </a:ext>
          </a:extLst>
        </xdr:cNvPr>
        <xdr:cNvSpPr>
          <a:spLocks noChangeArrowheads="1"/>
        </xdr:cNvSpPr>
      </xdr:nvSpPr>
      <xdr:spPr bwMode="auto">
        <a:xfrm>
          <a:off x="2171700" y="8267700"/>
          <a:ext cx="203200" cy="1778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49</xdr:row>
      <xdr:rowOff>25400</xdr:rowOff>
    </xdr:from>
    <xdr:to>
      <xdr:col>3</xdr:col>
      <xdr:colOff>0</xdr:colOff>
      <xdr:row>51</xdr:row>
      <xdr:rowOff>139700</xdr:rowOff>
    </xdr:to>
    <xdr:sp macro="" textlink="">
      <xdr:nvSpPr>
        <xdr:cNvPr id="5605419" name="Line 324">
          <a:extLst>
            <a:ext uri="{FF2B5EF4-FFF2-40B4-BE49-F238E27FC236}">
              <a16:creationId xmlns:a16="http://schemas.microsoft.com/office/drawing/2014/main" id="{00000000-0008-0000-0100-00002B885500}"/>
            </a:ext>
          </a:extLst>
        </xdr:cNvPr>
        <xdr:cNvSpPr>
          <a:spLocks noChangeShapeType="1"/>
        </xdr:cNvSpPr>
      </xdr:nvSpPr>
      <xdr:spPr bwMode="auto">
        <a:xfrm>
          <a:off x="2273300" y="7899400"/>
          <a:ext cx="0" cy="44450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</xdr:row>
      <xdr:rowOff>139700</xdr:rowOff>
    </xdr:from>
    <xdr:to>
      <xdr:col>3</xdr:col>
      <xdr:colOff>0</xdr:colOff>
      <xdr:row>52</xdr:row>
      <xdr:rowOff>88900</xdr:rowOff>
    </xdr:to>
    <xdr:sp macro="" textlink="">
      <xdr:nvSpPr>
        <xdr:cNvPr id="5605420" name="Line 324">
          <a:extLst>
            <a:ext uri="{FF2B5EF4-FFF2-40B4-BE49-F238E27FC236}">
              <a16:creationId xmlns:a16="http://schemas.microsoft.com/office/drawing/2014/main" id="{00000000-0008-0000-0100-00002C885500}"/>
            </a:ext>
          </a:extLst>
        </xdr:cNvPr>
        <xdr:cNvSpPr>
          <a:spLocks noChangeShapeType="1"/>
        </xdr:cNvSpPr>
      </xdr:nvSpPr>
      <xdr:spPr bwMode="auto">
        <a:xfrm flipH="1">
          <a:off x="2273300" y="8343900"/>
          <a:ext cx="0" cy="11430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695325</xdr:colOff>
          <xdr:row>9</xdr:row>
          <xdr:rowOff>9525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1424424" name="Spinner 1064" hidden="1">
              <a:extLst>
                <a:ext uri="{63B3BB69-23CF-44E3-9099-C40C66FF867C}">
                  <a14:compatExt spid="_x0000_s1424424"/>
                </a:ext>
                <a:ext uri="{FF2B5EF4-FFF2-40B4-BE49-F238E27FC236}">
                  <a16:creationId xmlns:a16="http://schemas.microsoft.com/office/drawing/2014/main" id="{00000000-0008-0000-0100-000028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1076325</xdr:colOff>
          <xdr:row>42</xdr:row>
          <xdr:rowOff>9525</xdr:rowOff>
        </xdr:from>
        <xdr:to>
          <xdr:col>2</xdr:col>
          <xdr:colOff>0</xdr:colOff>
          <xdr:row>43</xdr:row>
          <xdr:rowOff>0</xdr:rowOff>
        </xdr:to>
        <xdr:sp macro="" textlink="">
          <xdr:nvSpPr>
            <xdr:cNvPr id="1424589" name="Spinner 1229" hidden="1">
              <a:extLst>
                <a:ext uri="{63B3BB69-23CF-44E3-9099-C40C66FF867C}">
                  <a14:compatExt spid="_x0000_s1424589"/>
                </a:ext>
                <a:ext uri="{FF2B5EF4-FFF2-40B4-BE49-F238E27FC236}">
                  <a16:creationId xmlns:a16="http://schemas.microsoft.com/office/drawing/2014/main" id="{00000000-0008-0000-0100-0000CD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1076325</xdr:colOff>
          <xdr:row>44</xdr:row>
          <xdr:rowOff>9525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1424590" name="Spinner 1230" hidden="1">
              <a:extLst>
                <a:ext uri="{63B3BB69-23CF-44E3-9099-C40C66FF867C}">
                  <a14:compatExt spid="_x0000_s1424590"/>
                </a:ext>
                <a:ext uri="{FF2B5EF4-FFF2-40B4-BE49-F238E27FC236}">
                  <a16:creationId xmlns:a16="http://schemas.microsoft.com/office/drawing/2014/main" id="{00000000-0008-0000-0100-0000CE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1076325</xdr:colOff>
          <xdr:row>50</xdr:row>
          <xdr:rowOff>9525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424591" name="Spinner 1231" hidden="1">
              <a:extLst>
                <a:ext uri="{63B3BB69-23CF-44E3-9099-C40C66FF867C}">
                  <a14:compatExt spid="_x0000_s1424591"/>
                </a:ext>
                <a:ext uri="{FF2B5EF4-FFF2-40B4-BE49-F238E27FC236}">
                  <a16:creationId xmlns:a16="http://schemas.microsoft.com/office/drawing/2014/main" id="{00000000-0008-0000-0100-0000CF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93</xdr:row>
          <xdr:rowOff>66675</xdr:rowOff>
        </xdr:from>
        <xdr:to>
          <xdr:col>4</xdr:col>
          <xdr:colOff>66675</xdr:colOff>
          <xdr:row>99</xdr:row>
          <xdr:rowOff>76200</xdr:rowOff>
        </xdr:to>
        <xdr:sp macro="" textlink="">
          <xdr:nvSpPr>
            <xdr:cNvPr id="1425294" name="Object 1934" hidden="1">
              <a:extLst>
                <a:ext uri="{63B3BB69-23CF-44E3-9099-C40C66FF867C}">
                  <a14:compatExt spid="_x0000_s1425294"/>
                </a:ext>
                <a:ext uri="{FF2B5EF4-FFF2-40B4-BE49-F238E27FC236}">
                  <a16:creationId xmlns:a16="http://schemas.microsoft.com/office/drawing/2014/main" id="{00000000-0008-0000-0100-00008EBF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1076325</xdr:colOff>
          <xdr:row>52</xdr:row>
          <xdr:rowOff>9525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4779462" name="Spinner 4550" hidden="1">
              <a:extLst>
                <a:ext uri="{63B3BB69-23CF-44E3-9099-C40C66FF867C}">
                  <a14:compatExt spid="_x0000_s4779462"/>
                </a:ext>
                <a:ext uri="{FF2B5EF4-FFF2-40B4-BE49-F238E27FC236}">
                  <a16:creationId xmlns:a16="http://schemas.microsoft.com/office/drawing/2014/main" id="{00000000-0008-0000-0100-0000C6ED4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</xdr:row>
      <xdr:rowOff>0</xdr:rowOff>
    </xdr:from>
    <xdr:to>
      <xdr:col>10</xdr:col>
      <xdr:colOff>673100</xdr:colOff>
      <xdr:row>19</xdr:row>
      <xdr:rowOff>0</xdr:rowOff>
    </xdr:to>
    <xdr:graphicFrame macro="">
      <xdr:nvGraphicFramePr>
        <xdr:cNvPr id="5105837" name="Graphique 1">
          <a:extLst>
            <a:ext uri="{FF2B5EF4-FFF2-40B4-BE49-F238E27FC236}">
              <a16:creationId xmlns:a16="http://schemas.microsoft.com/office/drawing/2014/main" id="{00000000-0008-0000-0200-0000AD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37</xdr:row>
      <xdr:rowOff>0</xdr:rowOff>
    </xdr:from>
    <xdr:to>
      <xdr:col>10</xdr:col>
      <xdr:colOff>673100</xdr:colOff>
      <xdr:row>55</xdr:row>
      <xdr:rowOff>0</xdr:rowOff>
    </xdr:to>
    <xdr:graphicFrame macro="">
      <xdr:nvGraphicFramePr>
        <xdr:cNvPr id="5105838" name="Graphique 2">
          <a:extLst>
            <a:ext uri="{FF2B5EF4-FFF2-40B4-BE49-F238E27FC236}">
              <a16:creationId xmlns:a16="http://schemas.microsoft.com/office/drawing/2014/main" id="{00000000-0008-0000-0200-0000AE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19</xdr:row>
      <xdr:rowOff>0</xdr:rowOff>
    </xdr:from>
    <xdr:to>
      <xdr:col>10</xdr:col>
      <xdr:colOff>673100</xdr:colOff>
      <xdr:row>37</xdr:row>
      <xdr:rowOff>0</xdr:rowOff>
    </xdr:to>
    <xdr:graphicFrame macro="">
      <xdr:nvGraphicFramePr>
        <xdr:cNvPr id="5105839" name="Graphique 3">
          <a:extLst>
            <a:ext uri="{FF2B5EF4-FFF2-40B4-BE49-F238E27FC236}">
              <a16:creationId xmlns:a16="http://schemas.microsoft.com/office/drawing/2014/main" id="{00000000-0008-0000-0200-0000AF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177800</xdr:colOff>
      <xdr:row>55</xdr:row>
      <xdr:rowOff>0</xdr:rowOff>
    </xdr:from>
    <xdr:to>
      <xdr:col>10</xdr:col>
      <xdr:colOff>673100</xdr:colOff>
      <xdr:row>73</xdr:row>
      <xdr:rowOff>0</xdr:rowOff>
    </xdr:to>
    <xdr:graphicFrame macro="">
      <xdr:nvGraphicFramePr>
        <xdr:cNvPr id="5105840" name="Graphique 4">
          <a:extLst>
            <a:ext uri="{FF2B5EF4-FFF2-40B4-BE49-F238E27FC236}">
              <a16:creationId xmlns:a16="http://schemas.microsoft.com/office/drawing/2014/main" id="{00000000-0008-0000-0200-0000B0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50800</xdr:rowOff>
    </xdr:from>
    <xdr:to>
      <xdr:col>7</xdr:col>
      <xdr:colOff>228600</xdr:colOff>
      <xdr:row>19</xdr:row>
      <xdr:rowOff>139700</xdr:rowOff>
    </xdr:to>
    <xdr:graphicFrame macro="">
      <xdr:nvGraphicFramePr>
        <xdr:cNvPr id="5110828" name="Graphique 1">
          <a:extLst>
            <a:ext uri="{FF2B5EF4-FFF2-40B4-BE49-F238E27FC236}">
              <a16:creationId xmlns:a16="http://schemas.microsoft.com/office/drawing/2014/main" id="{00000000-0008-0000-0300-00002CFC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292100</xdr:colOff>
      <xdr:row>1008</xdr:row>
      <xdr:rowOff>152400</xdr:rowOff>
    </xdr:from>
    <xdr:to>
      <xdr:col>16</xdr:col>
      <xdr:colOff>165100</xdr:colOff>
      <xdr:row>1010</xdr:row>
      <xdr:rowOff>88900</xdr:rowOff>
    </xdr:to>
    <xdr:sp macro="" textlink="">
      <xdr:nvSpPr>
        <xdr:cNvPr id="3411" name="Line 60">
          <a:extLst>
            <a:ext uri="{FF2B5EF4-FFF2-40B4-BE49-F238E27FC236}">
              <a16:creationId xmlns:a16="http://schemas.microsoft.com/office/drawing/2014/main" id="{00000000-0008-0000-0400-0000530D0000}"/>
            </a:ext>
          </a:extLst>
        </xdr:cNvPr>
        <xdr:cNvSpPr>
          <a:spLocks noChangeShapeType="1"/>
        </xdr:cNvSpPr>
      </xdr:nvSpPr>
      <xdr:spPr bwMode="auto">
        <a:xfrm flipH="1">
          <a:off x="6273800" y="166585900"/>
          <a:ext cx="1193800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304800</xdr:colOff>
      <xdr:row>1011</xdr:row>
      <xdr:rowOff>101600</xdr:rowOff>
    </xdr:from>
    <xdr:to>
      <xdr:col>17</xdr:col>
      <xdr:colOff>381000</xdr:colOff>
      <xdr:row>1013</xdr:row>
      <xdr:rowOff>139700</xdr:rowOff>
    </xdr:to>
    <xdr:sp macro="" textlink="">
      <xdr:nvSpPr>
        <xdr:cNvPr id="3412" name="Line 71">
          <a:extLst>
            <a:ext uri="{FF2B5EF4-FFF2-40B4-BE49-F238E27FC236}">
              <a16:creationId xmlns:a16="http://schemas.microsoft.com/office/drawing/2014/main" id="{00000000-0008-0000-0400-0000540D0000}"/>
            </a:ext>
          </a:extLst>
        </xdr:cNvPr>
        <xdr:cNvSpPr>
          <a:spLocks noChangeShapeType="1"/>
        </xdr:cNvSpPr>
      </xdr:nvSpPr>
      <xdr:spPr bwMode="auto">
        <a:xfrm flipH="1" flipV="1">
          <a:off x="6286500" y="167030400"/>
          <a:ext cx="2057400" cy="368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304800</xdr:colOff>
      <xdr:row>1012</xdr:row>
      <xdr:rowOff>139700</xdr:rowOff>
    </xdr:from>
    <xdr:to>
      <xdr:col>17</xdr:col>
      <xdr:colOff>381000</xdr:colOff>
      <xdr:row>1015</xdr:row>
      <xdr:rowOff>25400</xdr:rowOff>
    </xdr:to>
    <xdr:sp macro="" textlink="">
      <xdr:nvSpPr>
        <xdr:cNvPr id="3413" name="Line 71">
          <a:extLst>
            <a:ext uri="{FF2B5EF4-FFF2-40B4-BE49-F238E27FC236}">
              <a16:creationId xmlns:a16="http://schemas.microsoft.com/office/drawing/2014/main" id="{00000000-0008-0000-0400-0000550D0000}"/>
            </a:ext>
          </a:extLst>
        </xdr:cNvPr>
        <xdr:cNvSpPr>
          <a:spLocks noChangeShapeType="1"/>
        </xdr:cNvSpPr>
      </xdr:nvSpPr>
      <xdr:spPr bwMode="auto">
        <a:xfrm flipH="1" flipV="1">
          <a:off x="6286500" y="167233600"/>
          <a:ext cx="2057400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1010</xdr:row>
          <xdr:rowOff>85725</xdr:rowOff>
        </xdr:from>
        <xdr:to>
          <xdr:col>20</xdr:col>
          <xdr:colOff>266700</xdr:colOff>
          <xdr:row>1013</xdr:row>
          <xdr:rowOff>28575</xdr:rowOff>
        </xdr:to>
        <xdr:sp macro="" textlink="">
          <xdr:nvSpPr>
            <xdr:cNvPr id="3091" name="Object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4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1024</xdr:row>
          <xdr:rowOff>142875</xdr:rowOff>
        </xdr:from>
        <xdr:to>
          <xdr:col>25</xdr:col>
          <xdr:colOff>409575</xdr:colOff>
          <xdr:row>1026</xdr:row>
          <xdr:rowOff>66675</xdr:rowOff>
        </xdr:to>
        <xdr:sp macro="" textlink="">
          <xdr:nvSpPr>
            <xdr:cNvPr id="3092" name="Object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4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228600</xdr:colOff>
          <xdr:row>1006</xdr:row>
          <xdr:rowOff>28575</xdr:rowOff>
        </xdr:from>
        <xdr:to>
          <xdr:col>24</xdr:col>
          <xdr:colOff>142875</xdr:colOff>
          <xdr:row>1007</xdr:row>
          <xdr:rowOff>85725</xdr:rowOff>
        </xdr:to>
        <xdr:sp macro="" textlink="">
          <xdr:nvSpPr>
            <xdr:cNvPr id="3096" name="Object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4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1017</xdr:row>
          <xdr:rowOff>142875</xdr:rowOff>
        </xdr:from>
        <xdr:to>
          <xdr:col>10</xdr:col>
          <xdr:colOff>533400</xdr:colOff>
          <xdr:row>1019</xdr:row>
          <xdr:rowOff>114300</xdr:rowOff>
        </xdr:to>
        <xdr:sp macro="" textlink="">
          <xdr:nvSpPr>
            <xdr:cNvPr id="3112" name="Object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4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1014</xdr:row>
          <xdr:rowOff>152400</xdr:rowOff>
        </xdr:from>
        <xdr:to>
          <xdr:col>11</xdr:col>
          <xdr:colOff>238125</xdr:colOff>
          <xdr:row>1016</xdr:row>
          <xdr:rowOff>66675</xdr:rowOff>
        </xdr:to>
        <xdr:sp macro="" textlink="">
          <xdr:nvSpPr>
            <xdr:cNvPr id="3114" name="Object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4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1016</xdr:row>
          <xdr:rowOff>66675</xdr:rowOff>
        </xdr:from>
        <xdr:to>
          <xdr:col>11</xdr:col>
          <xdr:colOff>219075</xdr:colOff>
          <xdr:row>1017</xdr:row>
          <xdr:rowOff>142875</xdr:rowOff>
        </xdr:to>
        <xdr:sp macro="" textlink="">
          <xdr:nvSpPr>
            <xdr:cNvPr id="3115" name="Object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4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1022</xdr:row>
          <xdr:rowOff>66675</xdr:rowOff>
        </xdr:from>
        <xdr:to>
          <xdr:col>17</xdr:col>
          <xdr:colOff>238125</xdr:colOff>
          <xdr:row>1024</xdr:row>
          <xdr:rowOff>142875</xdr:rowOff>
        </xdr:to>
        <xdr:sp macro="" textlink="">
          <xdr:nvSpPr>
            <xdr:cNvPr id="3119" name="Object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4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1008</xdr:row>
          <xdr:rowOff>0</xdr:rowOff>
        </xdr:from>
        <xdr:to>
          <xdr:col>11</xdr:col>
          <xdr:colOff>219075</xdr:colOff>
          <xdr:row>1010</xdr:row>
          <xdr:rowOff>76200</xdr:rowOff>
        </xdr:to>
        <xdr:sp macro="" textlink="">
          <xdr:nvSpPr>
            <xdr:cNvPr id="3120" name="Object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4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1010</xdr:row>
          <xdr:rowOff>85725</xdr:rowOff>
        </xdr:from>
        <xdr:to>
          <xdr:col>12</xdr:col>
          <xdr:colOff>219075</xdr:colOff>
          <xdr:row>1013</xdr:row>
          <xdr:rowOff>0</xdr:rowOff>
        </xdr:to>
        <xdr:sp macro="" textlink="">
          <xdr:nvSpPr>
            <xdr:cNvPr id="3121" name="Object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4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1006</xdr:row>
          <xdr:rowOff>85725</xdr:rowOff>
        </xdr:from>
        <xdr:to>
          <xdr:col>3</xdr:col>
          <xdr:colOff>495300</xdr:colOff>
          <xdr:row>1007</xdr:row>
          <xdr:rowOff>152400</xdr:rowOff>
        </xdr:to>
        <xdr:sp macro="" textlink="">
          <xdr:nvSpPr>
            <xdr:cNvPr id="3122" name="Object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4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1024</xdr:row>
          <xdr:rowOff>152400</xdr:rowOff>
        </xdr:from>
        <xdr:to>
          <xdr:col>16</xdr:col>
          <xdr:colOff>0</xdr:colOff>
          <xdr:row>1026</xdr:row>
          <xdr:rowOff>123825</xdr:rowOff>
        </xdr:to>
        <xdr:sp macro="" textlink="">
          <xdr:nvSpPr>
            <xdr:cNvPr id="3124" name="Object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4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1013</xdr:row>
          <xdr:rowOff>28575</xdr:rowOff>
        </xdr:from>
        <xdr:to>
          <xdr:col>21</xdr:col>
          <xdr:colOff>28575</xdr:colOff>
          <xdr:row>1014</xdr:row>
          <xdr:rowOff>104775</xdr:rowOff>
        </xdr:to>
        <xdr:sp macro="" textlink="">
          <xdr:nvSpPr>
            <xdr:cNvPr id="3125" name="Object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4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1005</xdr:row>
          <xdr:rowOff>9525</xdr:rowOff>
        </xdr:from>
        <xdr:to>
          <xdr:col>10</xdr:col>
          <xdr:colOff>371475</xdr:colOff>
          <xdr:row>1006</xdr:row>
          <xdr:rowOff>76200</xdr:rowOff>
        </xdr:to>
        <xdr:sp macro="" textlink="">
          <xdr:nvSpPr>
            <xdr:cNvPr id="3127" name="Object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4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1013</xdr:row>
          <xdr:rowOff>9525</xdr:rowOff>
        </xdr:from>
        <xdr:to>
          <xdr:col>8</xdr:col>
          <xdr:colOff>180975</xdr:colOff>
          <xdr:row>1014</xdr:row>
          <xdr:rowOff>142875</xdr:rowOff>
        </xdr:to>
        <xdr:sp macro="" textlink="">
          <xdr:nvSpPr>
            <xdr:cNvPr id="3129" name="Object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4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</xdr:colOff>
          <xdr:row>1018</xdr:row>
          <xdr:rowOff>47625</xdr:rowOff>
        </xdr:from>
        <xdr:to>
          <xdr:col>24</xdr:col>
          <xdr:colOff>981075</xdr:colOff>
          <xdr:row>1019</xdr:row>
          <xdr:rowOff>114300</xdr:rowOff>
        </xdr:to>
        <xdr:sp macro="" textlink="">
          <xdr:nvSpPr>
            <xdr:cNvPr id="3131" name="Object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4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1019</xdr:row>
          <xdr:rowOff>123825</xdr:rowOff>
        </xdr:from>
        <xdr:to>
          <xdr:col>20</xdr:col>
          <xdr:colOff>523875</xdr:colOff>
          <xdr:row>1022</xdr:row>
          <xdr:rowOff>47625</xdr:rowOff>
        </xdr:to>
        <xdr:sp macro="" textlink="">
          <xdr:nvSpPr>
            <xdr:cNvPr id="3134" name="Object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4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1018</xdr:row>
          <xdr:rowOff>47625</xdr:rowOff>
        </xdr:from>
        <xdr:to>
          <xdr:col>19</xdr:col>
          <xdr:colOff>161925</xdr:colOff>
          <xdr:row>1019</xdr:row>
          <xdr:rowOff>114300</xdr:rowOff>
        </xdr:to>
        <xdr:sp macro="" textlink="">
          <xdr:nvSpPr>
            <xdr:cNvPr id="3135" name="Object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4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1007</xdr:row>
          <xdr:rowOff>104775</xdr:rowOff>
        </xdr:from>
        <xdr:to>
          <xdr:col>37</xdr:col>
          <xdr:colOff>257175</xdr:colOff>
          <xdr:row>1010</xdr:row>
          <xdr:rowOff>66675</xdr:rowOff>
        </xdr:to>
        <xdr:sp macro="" textlink="">
          <xdr:nvSpPr>
            <xdr:cNvPr id="3141" name="Object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4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1010</xdr:row>
          <xdr:rowOff>76200</xdr:rowOff>
        </xdr:from>
        <xdr:to>
          <xdr:col>35</xdr:col>
          <xdr:colOff>657225</xdr:colOff>
          <xdr:row>1013</xdr:row>
          <xdr:rowOff>38100</xdr:rowOff>
        </xdr:to>
        <xdr:sp macro="" textlink="">
          <xdr:nvSpPr>
            <xdr:cNvPr id="3142" name="Object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4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1035</xdr:row>
          <xdr:rowOff>28575</xdr:rowOff>
        </xdr:from>
        <xdr:to>
          <xdr:col>11</xdr:col>
          <xdr:colOff>504825</xdr:colOff>
          <xdr:row>1038</xdr:row>
          <xdr:rowOff>28575</xdr:rowOff>
        </xdr:to>
        <xdr:sp macro="" textlink="">
          <xdr:nvSpPr>
            <xdr:cNvPr id="3157" name="Object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4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1040</xdr:row>
          <xdr:rowOff>28575</xdr:rowOff>
        </xdr:from>
        <xdr:to>
          <xdr:col>12</xdr:col>
          <xdr:colOff>28575</xdr:colOff>
          <xdr:row>1043</xdr:row>
          <xdr:rowOff>28575</xdr:rowOff>
        </xdr:to>
        <xdr:sp macro="" textlink="">
          <xdr:nvSpPr>
            <xdr:cNvPr id="3158" name="Object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4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1014</xdr:row>
          <xdr:rowOff>104775</xdr:rowOff>
        </xdr:from>
        <xdr:to>
          <xdr:col>20</xdr:col>
          <xdr:colOff>304800</xdr:colOff>
          <xdr:row>1016</xdr:row>
          <xdr:rowOff>9525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4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228600</xdr:colOff>
          <xdr:row>1007</xdr:row>
          <xdr:rowOff>104775</xdr:rowOff>
        </xdr:from>
        <xdr:to>
          <xdr:col>32</xdr:col>
          <xdr:colOff>152400</xdr:colOff>
          <xdr:row>1010</xdr:row>
          <xdr:rowOff>76200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4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1055</xdr:row>
          <xdr:rowOff>28575</xdr:rowOff>
        </xdr:from>
        <xdr:to>
          <xdr:col>12</xdr:col>
          <xdr:colOff>304800</xdr:colOff>
          <xdr:row>1058</xdr:row>
          <xdr:rowOff>47625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4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1060</xdr:row>
          <xdr:rowOff>28575</xdr:rowOff>
        </xdr:from>
        <xdr:to>
          <xdr:col>15</xdr:col>
          <xdr:colOff>47625</xdr:colOff>
          <xdr:row>1063</xdr:row>
          <xdr:rowOff>47625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4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1065</xdr:row>
          <xdr:rowOff>28575</xdr:rowOff>
        </xdr:from>
        <xdr:to>
          <xdr:col>16</xdr:col>
          <xdr:colOff>609600</xdr:colOff>
          <xdr:row>1068</xdr:row>
          <xdr:rowOff>47625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4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1045</xdr:row>
          <xdr:rowOff>28575</xdr:rowOff>
        </xdr:from>
        <xdr:to>
          <xdr:col>16</xdr:col>
          <xdr:colOff>104775</xdr:colOff>
          <xdr:row>1048</xdr:row>
          <xdr:rowOff>28575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4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1050</xdr:row>
          <xdr:rowOff>28575</xdr:rowOff>
        </xdr:from>
        <xdr:to>
          <xdr:col>16</xdr:col>
          <xdr:colOff>352425</xdr:colOff>
          <xdr:row>1053</xdr:row>
          <xdr:rowOff>47625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4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1070</xdr:row>
          <xdr:rowOff>28575</xdr:rowOff>
        </xdr:from>
        <xdr:to>
          <xdr:col>12</xdr:col>
          <xdr:colOff>371475</xdr:colOff>
          <xdr:row>1073</xdr:row>
          <xdr:rowOff>47625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4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1053</xdr:row>
          <xdr:rowOff>28575</xdr:rowOff>
        </xdr:from>
        <xdr:to>
          <xdr:col>32</xdr:col>
          <xdr:colOff>381000</xdr:colOff>
          <xdr:row>1056</xdr:row>
          <xdr:rowOff>28575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4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1022</xdr:row>
          <xdr:rowOff>47625</xdr:rowOff>
        </xdr:from>
        <xdr:to>
          <xdr:col>32</xdr:col>
          <xdr:colOff>238125</xdr:colOff>
          <xdr:row>1024</xdr:row>
          <xdr:rowOff>114300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4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1017</xdr:row>
          <xdr:rowOff>28575</xdr:rowOff>
        </xdr:from>
        <xdr:to>
          <xdr:col>36</xdr:col>
          <xdr:colOff>152400</xdr:colOff>
          <xdr:row>1020</xdr:row>
          <xdr:rowOff>28575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4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1014</xdr:row>
          <xdr:rowOff>0</xdr:rowOff>
        </xdr:from>
        <xdr:to>
          <xdr:col>36</xdr:col>
          <xdr:colOff>638175</xdr:colOff>
          <xdr:row>1017</xdr:row>
          <xdr:rowOff>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4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1020</xdr:row>
          <xdr:rowOff>38100</xdr:rowOff>
        </xdr:from>
        <xdr:to>
          <xdr:col>35</xdr:col>
          <xdr:colOff>123825</xdr:colOff>
          <xdr:row>1023</xdr:row>
          <xdr:rowOff>38100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4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1023</xdr:row>
          <xdr:rowOff>66675</xdr:rowOff>
        </xdr:from>
        <xdr:to>
          <xdr:col>36</xdr:col>
          <xdr:colOff>47625</xdr:colOff>
          <xdr:row>1026</xdr:row>
          <xdr:rowOff>66675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4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1048</xdr:row>
          <xdr:rowOff>28575</xdr:rowOff>
        </xdr:from>
        <xdr:to>
          <xdr:col>34</xdr:col>
          <xdr:colOff>314325</xdr:colOff>
          <xdr:row>1051</xdr:row>
          <xdr:rowOff>76200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4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1079500</xdr:colOff>
      <xdr:row>4</xdr:row>
      <xdr:rowOff>152400</xdr:rowOff>
    </xdr:to>
    <xdr:pic>
      <xdr:nvPicPr>
        <xdr:cNvPr id="2604376" name="Picture 8" descr="logoplasci">
          <a:extLst>
            <a:ext uri="{FF2B5EF4-FFF2-40B4-BE49-F238E27FC236}">
              <a16:creationId xmlns:a16="http://schemas.microsoft.com/office/drawing/2014/main" id="{00000000-0008-0000-0500-000058BD2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65100"/>
          <a:ext cx="107950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482600</xdr:colOff>
      <xdr:row>0</xdr:row>
      <xdr:rowOff>114300</xdr:rowOff>
    </xdr:from>
    <xdr:to>
      <xdr:col>12</xdr:col>
      <xdr:colOff>482600</xdr:colOff>
      <xdr:row>17</xdr:row>
      <xdr:rowOff>25400</xdr:rowOff>
    </xdr:to>
    <xdr:graphicFrame macro="">
      <xdr:nvGraphicFramePr>
        <xdr:cNvPr id="2604377" name="Graphique 2">
          <a:extLst>
            <a:ext uri="{FF2B5EF4-FFF2-40B4-BE49-F238E27FC236}">
              <a16:creationId xmlns:a16="http://schemas.microsoft.com/office/drawing/2014/main" id="{00000000-0008-0000-0500-000059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17</xdr:row>
      <xdr:rowOff>25400</xdr:rowOff>
    </xdr:from>
    <xdr:to>
      <xdr:col>12</xdr:col>
      <xdr:colOff>482600</xdr:colOff>
      <xdr:row>34</xdr:row>
      <xdr:rowOff>25400</xdr:rowOff>
    </xdr:to>
    <xdr:graphicFrame macro="">
      <xdr:nvGraphicFramePr>
        <xdr:cNvPr id="2604378" name="Graphique 2">
          <a:extLst>
            <a:ext uri="{FF2B5EF4-FFF2-40B4-BE49-F238E27FC236}">
              <a16:creationId xmlns:a16="http://schemas.microsoft.com/office/drawing/2014/main" id="{00000000-0008-0000-0500-00005A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17</xdr:row>
      <xdr:rowOff>25400</xdr:rowOff>
    </xdr:from>
    <xdr:to>
      <xdr:col>6</xdr:col>
      <xdr:colOff>482600</xdr:colOff>
      <xdr:row>34</xdr:row>
      <xdr:rowOff>25400</xdr:rowOff>
    </xdr:to>
    <xdr:graphicFrame macro="">
      <xdr:nvGraphicFramePr>
        <xdr:cNvPr id="2604379" name="Graphique 2">
          <a:extLst>
            <a:ext uri="{FF2B5EF4-FFF2-40B4-BE49-F238E27FC236}">
              <a16:creationId xmlns:a16="http://schemas.microsoft.com/office/drawing/2014/main" id="{00000000-0008-0000-0500-00005B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695325</xdr:colOff>
          <xdr:row>9</xdr:row>
          <xdr:rowOff>9525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2604063" name="Spinner 31" hidden="1">
              <a:extLst>
                <a:ext uri="{63B3BB69-23CF-44E3-9099-C40C66FF867C}">
                  <a14:compatExt spid="_x0000_s2604063"/>
                </a:ext>
                <a:ext uri="{FF2B5EF4-FFF2-40B4-BE49-F238E27FC236}">
                  <a16:creationId xmlns:a16="http://schemas.microsoft.com/office/drawing/2014/main" id="{00000000-0008-0000-0500-00001FBC2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68</xdr:row>
          <xdr:rowOff>28575</xdr:rowOff>
        </xdr:from>
        <xdr:to>
          <xdr:col>12</xdr:col>
          <xdr:colOff>809625</xdr:colOff>
          <xdr:row>85</xdr:row>
          <xdr:rowOff>9525</xdr:rowOff>
        </xdr:to>
        <xdr:sp macro="" textlink="">
          <xdr:nvSpPr>
            <xdr:cNvPr id="2604101" name="Object 69" hidden="1">
              <a:extLst>
                <a:ext uri="{63B3BB69-23CF-44E3-9099-C40C66FF867C}">
                  <a14:compatExt spid="_x0000_s2604101"/>
                </a:ext>
                <a:ext uri="{FF2B5EF4-FFF2-40B4-BE49-F238E27FC236}">
                  <a16:creationId xmlns:a16="http://schemas.microsoft.com/office/drawing/2014/main" id="{00000000-0008-0000-0500-000045BC2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695325</xdr:colOff>
          <xdr:row>10</xdr:row>
          <xdr:rowOff>9525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2604202" name="Spinner 170" hidden="1">
              <a:extLst>
                <a:ext uri="{63B3BB69-23CF-44E3-9099-C40C66FF867C}">
                  <a14:compatExt spid="_x0000_s2604202"/>
                </a:ext>
                <a:ext uri="{FF2B5EF4-FFF2-40B4-BE49-F238E27FC236}">
                  <a16:creationId xmlns:a16="http://schemas.microsoft.com/office/drawing/2014/main" id="{00000000-0008-0000-0500-0000AABC2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33</xdr:row>
      <xdr:rowOff>25400</xdr:rowOff>
    </xdr:from>
    <xdr:to>
      <xdr:col>2</xdr:col>
      <xdr:colOff>12700</xdr:colOff>
      <xdr:row>44</xdr:row>
      <xdr:rowOff>25400</xdr:rowOff>
    </xdr:to>
    <xdr:pic>
      <xdr:nvPicPr>
        <xdr:cNvPr id="5956" name="Image 1">
          <a:extLst>
            <a:ext uri="{FF2B5EF4-FFF2-40B4-BE49-F238E27FC236}">
              <a16:creationId xmlns:a16="http://schemas.microsoft.com/office/drawing/2014/main" id="{00000000-0008-0000-0600-000044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473700"/>
          <a:ext cx="1346200" cy="181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1231900</xdr:colOff>
      <xdr:row>52</xdr:row>
      <xdr:rowOff>50800</xdr:rowOff>
    </xdr:from>
    <xdr:to>
      <xdr:col>10</xdr:col>
      <xdr:colOff>660400</xdr:colOff>
      <xdr:row>80</xdr:row>
      <xdr:rowOff>25400</xdr:rowOff>
    </xdr:to>
    <xdr:pic>
      <xdr:nvPicPr>
        <xdr:cNvPr id="5957" name="Image 2">
          <a:extLst>
            <a:ext uri="{FF2B5EF4-FFF2-40B4-BE49-F238E27FC236}">
              <a16:creationId xmlns:a16="http://schemas.microsoft.com/office/drawing/2014/main" id="{00000000-0008-0000-0600-000045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0" y="8636000"/>
          <a:ext cx="7708900" cy="459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1079500</xdr:colOff>
      <xdr:row>4</xdr:row>
      <xdr:rowOff>152400</xdr:rowOff>
    </xdr:to>
    <xdr:pic>
      <xdr:nvPicPr>
        <xdr:cNvPr id="5958" name="Picture 8" descr="logoplasci">
          <a:extLst>
            <a:ext uri="{FF2B5EF4-FFF2-40B4-BE49-F238E27FC236}">
              <a16:creationId xmlns:a16="http://schemas.microsoft.com/office/drawing/2014/main" id="{00000000-0008-0000-0600-000046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65100"/>
          <a:ext cx="1079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80</xdr:row>
      <xdr:rowOff>12700</xdr:rowOff>
    </xdr:from>
    <xdr:to>
      <xdr:col>8</xdr:col>
      <xdr:colOff>0</xdr:colOff>
      <xdr:row>102</xdr:row>
      <xdr:rowOff>101600</xdr:rowOff>
    </xdr:to>
    <xdr:grpSp>
      <xdr:nvGrpSpPr>
        <xdr:cNvPr id="5600684" name="Group 232">
          <a:extLst>
            <a:ext uri="{FF2B5EF4-FFF2-40B4-BE49-F238E27FC236}">
              <a16:creationId xmlns:a16="http://schemas.microsoft.com/office/drawing/2014/main" id="{00000000-0008-0000-0700-0000AC755500}"/>
            </a:ext>
          </a:extLst>
        </xdr:cNvPr>
        <xdr:cNvGrpSpPr>
          <a:grpSpLocks/>
        </xdr:cNvGrpSpPr>
      </xdr:nvGrpSpPr>
      <xdr:grpSpPr bwMode="auto">
        <a:xfrm>
          <a:off x="4143375" y="13214350"/>
          <a:ext cx="2133600" cy="3746500"/>
          <a:chOff x="3421" y="5379"/>
          <a:chExt cx="2289" cy="5759"/>
        </a:xfrm>
      </xdr:grpSpPr>
      <xdr:grpSp>
        <xdr:nvGrpSpPr>
          <xdr:cNvPr id="5600788" name="Group 233">
            <a:extLst>
              <a:ext uri="{FF2B5EF4-FFF2-40B4-BE49-F238E27FC236}">
                <a16:creationId xmlns:a16="http://schemas.microsoft.com/office/drawing/2014/main" id="{00000000-0008-0000-0700-000014765500}"/>
              </a:ext>
            </a:extLst>
          </xdr:cNvPr>
          <xdr:cNvGrpSpPr>
            <a:grpSpLocks/>
          </xdr:cNvGrpSpPr>
        </xdr:nvGrpSpPr>
        <xdr:grpSpPr bwMode="auto">
          <a:xfrm>
            <a:off x="4047" y="5379"/>
            <a:ext cx="515" cy="4096"/>
            <a:chOff x="4047" y="5379"/>
            <a:chExt cx="515" cy="4096"/>
          </a:xfrm>
        </xdr:grpSpPr>
        <xdr:sp macro="" textlink="">
          <xdr:nvSpPr>
            <xdr:cNvPr id="5600806" name="Arc 234">
              <a:extLst>
                <a:ext uri="{FF2B5EF4-FFF2-40B4-BE49-F238E27FC236}">
                  <a16:creationId xmlns:a16="http://schemas.microsoft.com/office/drawing/2014/main" id="{00000000-0008-0000-0700-0000267655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5600807" name="Group 235">
              <a:extLst>
                <a:ext uri="{FF2B5EF4-FFF2-40B4-BE49-F238E27FC236}">
                  <a16:creationId xmlns:a16="http://schemas.microsoft.com/office/drawing/2014/main" id="{00000000-0008-0000-0700-0000277655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600808" name="Line 236">
                <a:extLst>
                  <a:ext uri="{FF2B5EF4-FFF2-40B4-BE49-F238E27FC236}">
                    <a16:creationId xmlns:a16="http://schemas.microsoft.com/office/drawing/2014/main" id="{00000000-0008-0000-0700-000028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09" name="Line 237">
                <a:extLst>
                  <a:ext uri="{FF2B5EF4-FFF2-40B4-BE49-F238E27FC236}">
                    <a16:creationId xmlns:a16="http://schemas.microsoft.com/office/drawing/2014/main" id="{00000000-0008-0000-0700-000029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10" name="Line 238">
                <a:extLst>
                  <a:ext uri="{FF2B5EF4-FFF2-40B4-BE49-F238E27FC236}">
                    <a16:creationId xmlns:a16="http://schemas.microsoft.com/office/drawing/2014/main" id="{00000000-0008-0000-0700-00002A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11" name="Line 239">
                <a:extLst>
                  <a:ext uri="{FF2B5EF4-FFF2-40B4-BE49-F238E27FC236}">
                    <a16:creationId xmlns:a16="http://schemas.microsoft.com/office/drawing/2014/main" id="{00000000-0008-0000-0700-00002B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12" name="Line 240">
                <a:extLst>
                  <a:ext uri="{FF2B5EF4-FFF2-40B4-BE49-F238E27FC236}">
                    <a16:creationId xmlns:a16="http://schemas.microsoft.com/office/drawing/2014/main" id="{00000000-0008-0000-0700-00002C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grpSp>
        <xdr:nvGrpSpPr>
          <xdr:cNvPr id="5600789" name="Group 241">
            <a:extLst>
              <a:ext uri="{FF2B5EF4-FFF2-40B4-BE49-F238E27FC236}">
                <a16:creationId xmlns:a16="http://schemas.microsoft.com/office/drawing/2014/main" id="{00000000-0008-0000-0700-000015765500}"/>
              </a:ext>
            </a:extLst>
          </xdr:cNvPr>
          <xdr:cNvGrpSpPr>
            <a:grpSpLocks/>
          </xdr:cNvGrpSpPr>
        </xdr:nvGrpSpPr>
        <xdr:grpSpPr bwMode="auto">
          <a:xfrm flipH="1">
            <a:off x="4560" y="5379"/>
            <a:ext cx="515" cy="4096"/>
            <a:chOff x="4047" y="5379"/>
            <a:chExt cx="515" cy="4096"/>
          </a:xfrm>
        </xdr:grpSpPr>
        <xdr:sp macro="" textlink="">
          <xdr:nvSpPr>
            <xdr:cNvPr id="5600799" name="Arc 242">
              <a:extLst>
                <a:ext uri="{FF2B5EF4-FFF2-40B4-BE49-F238E27FC236}">
                  <a16:creationId xmlns:a16="http://schemas.microsoft.com/office/drawing/2014/main" id="{00000000-0008-0000-0700-00001F7655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5600800" name="Group 243">
              <a:extLst>
                <a:ext uri="{FF2B5EF4-FFF2-40B4-BE49-F238E27FC236}">
                  <a16:creationId xmlns:a16="http://schemas.microsoft.com/office/drawing/2014/main" id="{00000000-0008-0000-0700-0000207655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600801" name="Line 244">
                <a:extLst>
                  <a:ext uri="{FF2B5EF4-FFF2-40B4-BE49-F238E27FC236}">
                    <a16:creationId xmlns:a16="http://schemas.microsoft.com/office/drawing/2014/main" id="{00000000-0008-0000-0700-000021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02" name="Line 245">
                <a:extLst>
                  <a:ext uri="{FF2B5EF4-FFF2-40B4-BE49-F238E27FC236}">
                    <a16:creationId xmlns:a16="http://schemas.microsoft.com/office/drawing/2014/main" id="{00000000-0008-0000-0700-000022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03" name="Line 246">
                <a:extLst>
                  <a:ext uri="{FF2B5EF4-FFF2-40B4-BE49-F238E27FC236}">
                    <a16:creationId xmlns:a16="http://schemas.microsoft.com/office/drawing/2014/main" id="{00000000-0008-0000-0700-000023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04" name="Line 247">
                <a:extLst>
                  <a:ext uri="{FF2B5EF4-FFF2-40B4-BE49-F238E27FC236}">
                    <a16:creationId xmlns:a16="http://schemas.microsoft.com/office/drawing/2014/main" id="{00000000-0008-0000-0700-000024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05" name="Line 248">
                <a:extLst>
                  <a:ext uri="{FF2B5EF4-FFF2-40B4-BE49-F238E27FC236}">
                    <a16:creationId xmlns:a16="http://schemas.microsoft.com/office/drawing/2014/main" id="{00000000-0008-0000-0700-000025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5600790" name="Line 249">
            <a:extLst>
              <a:ext uri="{FF2B5EF4-FFF2-40B4-BE49-F238E27FC236}">
                <a16:creationId xmlns:a16="http://schemas.microsoft.com/office/drawing/2014/main" id="{00000000-0008-0000-0700-000016765500}"/>
              </a:ext>
            </a:extLst>
          </xdr:cNvPr>
          <xdr:cNvSpPr>
            <a:spLocks noChangeShapeType="1"/>
          </xdr:cNvSpPr>
        </xdr:nvSpPr>
        <xdr:spPr bwMode="auto">
          <a:xfrm>
            <a:off x="4332" y="9310"/>
            <a:ext cx="2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1" name="Line 250">
            <a:extLst>
              <a:ext uri="{FF2B5EF4-FFF2-40B4-BE49-F238E27FC236}">
                <a16:creationId xmlns:a16="http://schemas.microsoft.com/office/drawing/2014/main" id="{00000000-0008-0000-0700-000017765500}"/>
              </a:ext>
            </a:extLst>
          </xdr:cNvPr>
          <xdr:cNvSpPr>
            <a:spLocks noChangeShapeType="1"/>
          </xdr:cNvSpPr>
        </xdr:nvSpPr>
        <xdr:spPr bwMode="auto">
          <a:xfrm>
            <a:off x="4790" y="9310"/>
            <a:ext cx="0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2" name="Line 251">
            <a:extLst>
              <a:ext uri="{FF2B5EF4-FFF2-40B4-BE49-F238E27FC236}">
                <a16:creationId xmlns:a16="http://schemas.microsoft.com/office/drawing/2014/main" id="{00000000-0008-0000-0700-000018765500}"/>
              </a:ext>
            </a:extLst>
          </xdr:cNvPr>
          <xdr:cNvSpPr>
            <a:spLocks noChangeShapeType="1"/>
          </xdr:cNvSpPr>
        </xdr:nvSpPr>
        <xdr:spPr bwMode="auto">
          <a:xfrm>
            <a:off x="4330" y="10629"/>
            <a:ext cx="458" cy="0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3" name="Line 252">
            <a:extLst>
              <a:ext uri="{FF2B5EF4-FFF2-40B4-BE49-F238E27FC236}">
                <a16:creationId xmlns:a16="http://schemas.microsoft.com/office/drawing/2014/main" id="{00000000-0008-0000-0700-0000197655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709" y="10163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4" name="Line 253">
            <a:extLst>
              <a:ext uri="{FF2B5EF4-FFF2-40B4-BE49-F238E27FC236}">
                <a16:creationId xmlns:a16="http://schemas.microsoft.com/office/drawing/2014/main" id="{00000000-0008-0000-0700-00001A765500}"/>
              </a:ext>
            </a:extLst>
          </xdr:cNvPr>
          <xdr:cNvSpPr>
            <a:spLocks noChangeShapeType="1"/>
          </xdr:cNvSpPr>
        </xdr:nvSpPr>
        <xdr:spPr bwMode="auto">
          <a:xfrm>
            <a:off x="4796" y="10419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5" name="Line 254">
            <a:extLst>
              <a:ext uri="{FF2B5EF4-FFF2-40B4-BE49-F238E27FC236}">
                <a16:creationId xmlns:a16="http://schemas.microsoft.com/office/drawing/2014/main" id="{00000000-0008-0000-0700-00001B7655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804" y="8797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6" name="Line 255">
            <a:extLst>
              <a:ext uri="{FF2B5EF4-FFF2-40B4-BE49-F238E27FC236}">
                <a16:creationId xmlns:a16="http://schemas.microsoft.com/office/drawing/2014/main" id="{00000000-0008-0000-0700-00001C7655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421" y="10178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7" name="Line 256">
            <a:extLst>
              <a:ext uri="{FF2B5EF4-FFF2-40B4-BE49-F238E27FC236}">
                <a16:creationId xmlns:a16="http://schemas.microsoft.com/office/drawing/2014/main" id="{00000000-0008-0000-0700-00001D7655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421" y="10426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8" name="Line 257">
            <a:extLst>
              <a:ext uri="{FF2B5EF4-FFF2-40B4-BE49-F238E27FC236}">
                <a16:creationId xmlns:a16="http://schemas.microsoft.com/office/drawing/2014/main" id="{00000000-0008-0000-0700-00001E7655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429" y="8804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901700</xdr:colOff>
      <xdr:row>84</xdr:row>
      <xdr:rowOff>101600</xdr:rowOff>
    </xdr:from>
    <xdr:to>
      <xdr:col>6</xdr:col>
      <xdr:colOff>1689100</xdr:colOff>
      <xdr:row>84</xdr:row>
      <xdr:rowOff>101600</xdr:rowOff>
    </xdr:to>
    <xdr:sp macro="" textlink="">
      <xdr:nvSpPr>
        <xdr:cNvPr id="5600685" name="Line 268">
          <a:extLst>
            <a:ext uri="{FF2B5EF4-FFF2-40B4-BE49-F238E27FC236}">
              <a16:creationId xmlns:a16="http://schemas.microsoft.com/office/drawing/2014/main" id="{00000000-0008-0000-0700-0000AD755500}"/>
            </a:ext>
          </a:extLst>
        </xdr:cNvPr>
        <xdr:cNvSpPr>
          <a:spLocks noChangeShapeType="1"/>
        </xdr:cNvSpPr>
      </xdr:nvSpPr>
      <xdr:spPr bwMode="auto">
        <a:xfrm flipV="1">
          <a:off x="5575300" y="14249400"/>
          <a:ext cx="78740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165100</xdr:colOff>
      <xdr:row>80</xdr:row>
      <xdr:rowOff>0</xdr:rowOff>
    </xdr:from>
    <xdr:to>
      <xdr:col>8</xdr:col>
      <xdr:colOff>711200</xdr:colOff>
      <xdr:row>80</xdr:row>
      <xdr:rowOff>0</xdr:rowOff>
    </xdr:to>
    <xdr:sp macro="" textlink="">
      <xdr:nvSpPr>
        <xdr:cNvPr id="5600686" name="Line 269">
          <a:extLst>
            <a:ext uri="{FF2B5EF4-FFF2-40B4-BE49-F238E27FC236}">
              <a16:creationId xmlns:a16="http://schemas.microsoft.com/office/drawing/2014/main" id="{00000000-0008-0000-0700-0000AE755500}"/>
            </a:ext>
          </a:extLst>
        </xdr:cNvPr>
        <xdr:cNvSpPr>
          <a:spLocks noChangeShapeType="1"/>
        </xdr:cNvSpPr>
      </xdr:nvSpPr>
      <xdr:spPr bwMode="auto">
        <a:xfrm flipV="1">
          <a:off x="4838700" y="13449300"/>
          <a:ext cx="28829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241300</xdr:colOff>
      <xdr:row>80</xdr:row>
      <xdr:rowOff>12700</xdr:rowOff>
    </xdr:from>
    <xdr:to>
      <xdr:col>8</xdr:col>
      <xdr:colOff>241300</xdr:colOff>
      <xdr:row>93</xdr:row>
      <xdr:rowOff>88900</xdr:rowOff>
    </xdr:to>
    <xdr:sp macro="" textlink="">
      <xdr:nvSpPr>
        <xdr:cNvPr id="5600687" name="Line 270">
          <a:extLst>
            <a:ext uri="{FF2B5EF4-FFF2-40B4-BE49-F238E27FC236}">
              <a16:creationId xmlns:a16="http://schemas.microsoft.com/office/drawing/2014/main" id="{00000000-0008-0000-0700-0000AF755500}"/>
            </a:ext>
          </a:extLst>
        </xdr:cNvPr>
        <xdr:cNvSpPr>
          <a:spLocks noChangeShapeType="1"/>
        </xdr:cNvSpPr>
      </xdr:nvSpPr>
      <xdr:spPr bwMode="auto">
        <a:xfrm>
          <a:off x="7454900" y="13462000"/>
          <a:ext cx="0" cy="22987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152400</xdr:colOff>
      <xdr:row>83</xdr:row>
      <xdr:rowOff>50800</xdr:rowOff>
    </xdr:from>
    <xdr:to>
      <xdr:col>6</xdr:col>
      <xdr:colOff>914400</xdr:colOff>
      <xdr:row>83</xdr:row>
      <xdr:rowOff>50800</xdr:rowOff>
    </xdr:to>
    <xdr:sp macro="" textlink="">
      <xdr:nvSpPr>
        <xdr:cNvPr id="5600688" name="Line 271">
          <a:extLst>
            <a:ext uri="{FF2B5EF4-FFF2-40B4-BE49-F238E27FC236}">
              <a16:creationId xmlns:a16="http://schemas.microsoft.com/office/drawing/2014/main" id="{00000000-0008-0000-0700-0000B0755500}"/>
            </a:ext>
          </a:extLst>
        </xdr:cNvPr>
        <xdr:cNvSpPr>
          <a:spLocks noChangeShapeType="1"/>
        </xdr:cNvSpPr>
      </xdr:nvSpPr>
      <xdr:spPr bwMode="auto">
        <a:xfrm>
          <a:off x="4826000" y="14020800"/>
          <a:ext cx="7620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165100</xdr:colOff>
      <xdr:row>80</xdr:row>
      <xdr:rowOff>0</xdr:rowOff>
    </xdr:from>
    <xdr:to>
      <xdr:col>6</xdr:col>
      <xdr:colOff>165100</xdr:colOff>
      <xdr:row>83</xdr:row>
      <xdr:rowOff>50800</xdr:rowOff>
    </xdr:to>
    <xdr:sp macro="" textlink="">
      <xdr:nvSpPr>
        <xdr:cNvPr id="5600689" name="Line 272">
          <a:extLst>
            <a:ext uri="{FF2B5EF4-FFF2-40B4-BE49-F238E27FC236}">
              <a16:creationId xmlns:a16="http://schemas.microsoft.com/office/drawing/2014/main" id="{00000000-0008-0000-0700-0000B1755500}"/>
            </a:ext>
          </a:extLst>
        </xdr:cNvPr>
        <xdr:cNvSpPr>
          <a:spLocks noChangeShapeType="1"/>
        </xdr:cNvSpPr>
      </xdr:nvSpPr>
      <xdr:spPr bwMode="auto">
        <a:xfrm>
          <a:off x="4838700" y="13449300"/>
          <a:ext cx="0" cy="5715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850900</xdr:colOff>
      <xdr:row>102</xdr:row>
      <xdr:rowOff>101600</xdr:rowOff>
    </xdr:from>
    <xdr:to>
      <xdr:col>8</xdr:col>
      <xdr:colOff>596900</xdr:colOff>
      <xdr:row>102</xdr:row>
      <xdr:rowOff>101600</xdr:rowOff>
    </xdr:to>
    <xdr:sp macro="" textlink="">
      <xdr:nvSpPr>
        <xdr:cNvPr id="5600690" name="Line 277">
          <a:extLst>
            <a:ext uri="{FF2B5EF4-FFF2-40B4-BE49-F238E27FC236}">
              <a16:creationId xmlns:a16="http://schemas.microsoft.com/office/drawing/2014/main" id="{00000000-0008-0000-0700-0000B2755500}"/>
            </a:ext>
          </a:extLst>
        </xdr:cNvPr>
        <xdr:cNvSpPr>
          <a:spLocks noChangeShapeType="1"/>
        </xdr:cNvSpPr>
      </xdr:nvSpPr>
      <xdr:spPr bwMode="auto">
        <a:xfrm>
          <a:off x="7213600" y="17310100"/>
          <a:ext cx="5080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98</xdr:row>
      <xdr:rowOff>139700</xdr:rowOff>
    </xdr:from>
    <xdr:to>
      <xdr:col>8</xdr:col>
      <xdr:colOff>508000</xdr:colOff>
      <xdr:row>98</xdr:row>
      <xdr:rowOff>139700</xdr:rowOff>
    </xdr:to>
    <xdr:sp macro="" textlink="">
      <xdr:nvSpPr>
        <xdr:cNvPr id="5600691" name="Line 278">
          <a:extLst>
            <a:ext uri="{FF2B5EF4-FFF2-40B4-BE49-F238E27FC236}">
              <a16:creationId xmlns:a16="http://schemas.microsoft.com/office/drawing/2014/main" id="{00000000-0008-0000-0700-0000B3755500}"/>
            </a:ext>
          </a:extLst>
        </xdr:cNvPr>
        <xdr:cNvSpPr>
          <a:spLocks noChangeShapeType="1"/>
        </xdr:cNvSpPr>
      </xdr:nvSpPr>
      <xdr:spPr bwMode="auto">
        <a:xfrm>
          <a:off x="7226300" y="16662400"/>
          <a:ext cx="4953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520700</xdr:colOff>
      <xdr:row>93</xdr:row>
      <xdr:rowOff>76200</xdr:rowOff>
    </xdr:from>
    <xdr:to>
      <xdr:col>8</xdr:col>
      <xdr:colOff>596900</xdr:colOff>
      <xdr:row>93</xdr:row>
      <xdr:rowOff>76200</xdr:rowOff>
    </xdr:to>
    <xdr:sp macro="" textlink="">
      <xdr:nvSpPr>
        <xdr:cNvPr id="5600692" name="Line 279">
          <a:extLst>
            <a:ext uri="{FF2B5EF4-FFF2-40B4-BE49-F238E27FC236}">
              <a16:creationId xmlns:a16="http://schemas.microsoft.com/office/drawing/2014/main" id="{00000000-0008-0000-0700-0000B4755500}"/>
            </a:ext>
          </a:extLst>
        </xdr:cNvPr>
        <xdr:cNvSpPr>
          <a:spLocks noChangeShapeType="1"/>
        </xdr:cNvSpPr>
      </xdr:nvSpPr>
      <xdr:spPr bwMode="auto">
        <a:xfrm flipV="1">
          <a:off x="5194300" y="15748000"/>
          <a:ext cx="25273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520700</xdr:colOff>
      <xdr:row>99</xdr:row>
      <xdr:rowOff>152400</xdr:rowOff>
    </xdr:from>
    <xdr:to>
      <xdr:col>6</xdr:col>
      <xdr:colOff>1562100</xdr:colOff>
      <xdr:row>99</xdr:row>
      <xdr:rowOff>152400</xdr:rowOff>
    </xdr:to>
    <xdr:sp macro="" textlink="">
      <xdr:nvSpPr>
        <xdr:cNvPr id="5600693" name="Line 280">
          <a:extLst>
            <a:ext uri="{FF2B5EF4-FFF2-40B4-BE49-F238E27FC236}">
              <a16:creationId xmlns:a16="http://schemas.microsoft.com/office/drawing/2014/main" id="{00000000-0008-0000-0700-0000B5755500}"/>
            </a:ext>
          </a:extLst>
        </xdr:cNvPr>
        <xdr:cNvSpPr>
          <a:spLocks noChangeShapeType="1"/>
        </xdr:cNvSpPr>
      </xdr:nvSpPr>
      <xdr:spPr bwMode="auto">
        <a:xfrm flipV="1">
          <a:off x="5194300" y="16840200"/>
          <a:ext cx="10414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520700</xdr:colOff>
      <xdr:row>93</xdr:row>
      <xdr:rowOff>76200</xdr:rowOff>
    </xdr:from>
    <xdr:to>
      <xdr:col>6</xdr:col>
      <xdr:colOff>520700</xdr:colOff>
      <xdr:row>100</xdr:row>
      <xdr:rowOff>0</xdr:rowOff>
    </xdr:to>
    <xdr:sp macro="" textlink="">
      <xdr:nvSpPr>
        <xdr:cNvPr id="5600694" name="Line 281">
          <a:extLst>
            <a:ext uri="{FF2B5EF4-FFF2-40B4-BE49-F238E27FC236}">
              <a16:creationId xmlns:a16="http://schemas.microsoft.com/office/drawing/2014/main" id="{00000000-0008-0000-0700-0000B6755500}"/>
            </a:ext>
          </a:extLst>
        </xdr:cNvPr>
        <xdr:cNvSpPr>
          <a:spLocks noChangeShapeType="1"/>
        </xdr:cNvSpPr>
      </xdr:nvSpPr>
      <xdr:spPr bwMode="auto">
        <a:xfrm>
          <a:off x="5194300" y="15748000"/>
          <a:ext cx="0" cy="11176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98</xdr:row>
      <xdr:rowOff>139700</xdr:rowOff>
    </xdr:from>
    <xdr:to>
      <xdr:col>8</xdr:col>
      <xdr:colOff>533400</xdr:colOff>
      <xdr:row>102</xdr:row>
      <xdr:rowOff>101600</xdr:rowOff>
    </xdr:to>
    <xdr:sp macro="" textlink="">
      <xdr:nvSpPr>
        <xdr:cNvPr id="5600695" name="Line 282">
          <a:extLst>
            <a:ext uri="{FF2B5EF4-FFF2-40B4-BE49-F238E27FC236}">
              <a16:creationId xmlns:a16="http://schemas.microsoft.com/office/drawing/2014/main" id="{00000000-0008-0000-0700-0000B7755500}"/>
            </a:ext>
          </a:extLst>
        </xdr:cNvPr>
        <xdr:cNvSpPr>
          <a:spLocks noChangeShapeType="1"/>
        </xdr:cNvSpPr>
      </xdr:nvSpPr>
      <xdr:spPr bwMode="auto">
        <a:xfrm>
          <a:off x="7721600" y="16662400"/>
          <a:ext cx="0" cy="6477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93</xdr:row>
      <xdr:rowOff>63500</xdr:rowOff>
    </xdr:from>
    <xdr:to>
      <xdr:col>8</xdr:col>
      <xdr:colOff>533400</xdr:colOff>
      <xdr:row>98</xdr:row>
      <xdr:rowOff>139700</xdr:rowOff>
    </xdr:to>
    <xdr:sp macro="" textlink="">
      <xdr:nvSpPr>
        <xdr:cNvPr id="5600696" name="Line 283">
          <a:extLst>
            <a:ext uri="{FF2B5EF4-FFF2-40B4-BE49-F238E27FC236}">
              <a16:creationId xmlns:a16="http://schemas.microsoft.com/office/drawing/2014/main" id="{00000000-0008-0000-0700-0000B8755500}"/>
            </a:ext>
          </a:extLst>
        </xdr:cNvPr>
        <xdr:cNvSpPr>
          <a:spLocks noChangeShapeType="1"/>
        </xdr:cNvSpPr>
      </xdr:nvSpPr>
      <xdr:spPr bwMode="auto">
        <a:xfrm>
          <a:off x="7721600" y="15735300"/>
          <a:ext cx="0" cy="9271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102</xdr:row>
      <xdr:rowOff>101600</xdr:rowOff>
    </xdr:from>
    <xdr:to>
      <xdr:col>8</xdr:col>
      <xdr:colOff>0</xdr:colOff>
      <xdr:row>103</xdr:row>
      <xdr:rowOff>0</xdr:rowOff>
    </xdr:to>
    <xdr:sp macro="" textlink="">
      <xdr:nvSpPr>
        <xdr:cNvPr id="5600697" name="Line 284">
          <a:extLst>
            <a:ext uri="{FF2B5EF4-FFF2-40B4-BE49-F238E27FC236}">
              <a16:creationId xmlns:a16="http://schemas.microsoft.com/office/drawing/2014/main" id="{00000000-0008-0000-0700-0000B9755500}"/>
            </a:ext>
          </a:extLst>
        </xdr:cNvPr>
        <xdr:cNvSpPr>
          <a:spLocks noChangeShapeType="1"/>
        </xdr:cNvSpPr>
      </xdr:nvSpPr>
      <xdr:spPr bwMode="auto">
        <a:xfrm flipV="1">
          <a:off x="7213600" y="17310100"/>
          <a:ext cx="0" cy="635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1562100</xdr:colOff>
      <xdr:row>99</xdr:row>
      <xdr:rowOff>139700</xdr:rowOff>
    </xdr:from>
    <xdr:to>
      <xdr:col>6</xdr:col>
      <xdr:colOff>1562100</xdr:colOff>
      <xdr:row>103</xdr:row>
      <xdr:rowOff>0</xdr:rowOff>
    </xdr:to>
    <xdr:sp macro="" textlink="">
      <xdr:nvSpPr>
        <xdr:cNvPr id="5600698" name="Line 285">
          <a:extLst>
            <a:ext uri="{FF2B5EF4-FFF2-40B4-BE49-F238E27FC236}">
              <a16:creationId xmlns:a16="http://schemas.microsoft.com/office/drawing/2014/main" id="{00000000-0008-0000-0700-0000BA755500}"/>
            </a:ext>
          </a:extLst>
        </xdr:cNvPr>
        <xdr:cNvSpPr>
          <a:spLocks noChangeShapeType="1"/>
        </xdr:cNvSpPr>
      </xdr:nvSpPr>
      <xdr:spPr bwMode="auto">
        <a:xfrm flipH="1" flipV="1">
          <a:off x="6235700" y="16827500"/>
          <a:ext cx="0" cy="5461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1549400</xdr:colOff>
      <xdr:row>103</xdr:row>
      <xdr:rowOff>0</xdr:rowOff>
    </xdr:from>
    <xdr:to>
      <xdr:col>8</xdr:col>
      <xdr:colOff>0</xdr:colOff>
      <xdr:row>103</xdr:row>
      <xdr:rowOff>0</xdr:rowOff>
    </xdr:to>
    <xdr:sp macro="" textlink="">
      <xdr:nvSpPr>
        <xdr:cNvPr id="5600699" name="Line 286">
          <a:extLst>
            <a:ext uri="{FF2B5EF4-FFF2-40B4-BE49-F238E27FC236}">
              <a16:creationId xmlns:a16="http://schemas.microsoft.com/office/drawing/2014/main" id="{00000000-0008-0000-0700-0000BB755500}"/>
            </a:ext>
          </a:extLst>
        </xdr:cNvPr>
        <xdr:cNvSpPr>
          <a:spLocks noChangeShapeType="1"/>
        </xdr:cNvSpPr>
      </xdr:nvSpPr>
      <xdr:spPr bwMode="auto">
        <a:xfrm>
          <a:off x="6223000" y="17373600"/>
          <a:ext cx="99060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749300</xdr:colOff>
      <xdr:row>89</xdr:row>
      <xdr:rowOff>76200</xdr:rowOff>
    </xdr:from>
    <xdr:to>
      <xdr:col>6</xdr:col>
      <xdr:colOff>1854200</xdr:colOff>
      <xdr:row>89</xdr:row>
      <xdr:rowOff>76200</xdr:rowOff>
    </xdr:to>
    <xdr:sp macro="" textlink="">
      <xdr:nvSpPr>
        <xdr:cNvPr id="5600700" name="Line 287">
          <a:extLst>
            <a:ext uri="{FF2B5EF4-FFF2-40B4-BE49-F238E27FC236}">
              <a16:creationId xmlns:a16="http://schemas.microsoft.com/office/drawing/2014/main" id="{00000000-0008-0000-0700-0000BC755500}"/>
            </a:ext>
          </a:extLst>
        </xdr:cNvPr>
        <xdr:cNvSpPr>
          <a:spLocks noChangeShapeType="1"/>
        </xdr:cNvSpPr>
      </xdr:nvSpPr>
      <xdr:spPr bwMode="auto">
        <a:xfrm>
          <a:off x="5422900" y="15074900"/>
          <a:ext cx="110490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1079500</xdr:colOff>
      <xdr:row>93</xdr:row>
      <xdr:rowOff>25400</xdr:rowOff>
    </xdr:from>
    <xdr:to>
      <xdr:col>6</xdr:col>
      <xdr:colOff>1524000</xdr:colOff>
      <xdr:row>93</xdr:row>
      <xdr:rowOff>25400</xdr:rowOff>
    </xdr:to>
    <xdr:sp macro="" textlink="">
      <xdr:nvSpPr>
        <xdr:cNvPr id="5600701" name="Line 288">
          <a:extLst>
            <a:ext uri="{FF2B5EF4-FFF2-40B4-BE49-F238E27FC236}">
              <a16:creationId xmlns:a16="http://schemas.microsoft.com/office/drawing/2014/main" id="{00000000-0008-0000-0700-0000BD755500}"/>
            </a:ext>
          </a:extLst>
        </xdr:cNvPr>
        <xdr:cNvSpPr>
          <a:spLocks noChangeShapeType="1"/>
        </xdr:cNvSpPr>
      </xdr:nvSpPr>
      <xdr:spPr bwMode="auto">
        <a:xfrm>
          <a:off x="5753100" y="15697200"/>
          <a:ext cx="44450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927100</xdr:colOff>
      <xdr:row>87</xdr:row>
      <xdr:rowOff>63500</xdr:rowOff>
    </xdr:from>
    <xdr:to>
      <xdr:col>8</xdr:col>
      <xdr:colOff>50800</xdr:colOff>
      <xdr:row>87</xdr:row>
      <xdr:rowOff>63500</xdr:rowOff>
    </xdr:to>
    <xdr:sp macro="" textlink="">
      <xdr:nvSpPr>
        <xdr:cNvPr id="5600702" name="Line 289">
          <a:extLst>
            <a:ext uri="{FF2B5EF4-FFF2-40B4-BE49-F238E27FC236}">
              <a16:creationId xmlns:a16="http://schemas.microsoft.com/office/drawing/2014/main" id="{00000000-0008-0000-0700-0000BE755500}"/>
            </a:ext>
          </a:extLst>
        </xdr:cNvPr>
        <xdr:cNvSpPr>
          <a:spLocks noChangeShapeType="1"/>
        </xdr:cNvSpPr>
      </xdr:nvSpPr>
      <xdr:spPr bwMode="auto">
        <a:xfrm>
          <a:off x="5600700" y="14719300"/>
          <a:ext cx="16637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762000</xdr:colOff>
      <xdr:row>88</xdr:row>
      <xdr:rowOff>63500</xdr:rowOff>
    </xdr:from>
    <xdr:to>
      <xdr:col>8</xdr:col>
      <xdr:colOff>63500</xdr:colOff>
      <xdr:row>88</xdr:row>
      <xdr:rowOff>63500</xdr:rowOff>
    </xdr:to>
    <xdr:sp macro="" textlink="">
      <xdr:nvSpPr>
        <xdr:cNvPr id="5600703" name="Line 290">
          <a:extLst>
            <a:ext uri="{FF2B5EF4-FFF2-40B4-BE49-F238E27FC236}">
              <a16:creationId xmlns:a16="http://schemas.microsoft.com/office/drawing/2014/main" id="{00000000-0008-0000-0700-0000BF755500}"/>
            </a:ext>
          </a:extLst>
        </xdr:cNvPr>
        <xdr:cNvSpPr>
          <a:spLocks noChangeShapeType="1"/>
        </xdr:cNvSpPr>
      </xdr:nvSpPr>
      <xdr:spPr bwMode="auto">
        <a:xfrm>
          <a:off x="5435600" y="14884400"/>
          <a:ext cx="18415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762000</xdr:colOff>
      <xdr:row>90</xdr:row>
      <xdr:rowOff>139700</xdr:rowOff>
    </xdr:from>
    <xdr:to>
      <xdr:col>8</xdr:col>
      <xdr:colOff>76200</xdr:colOff>
      <xdr:row>90</xdr:row>
      <xdr:rowOff>139700</xdr:rowOff>
    </xdr:to>
    <xdr:sp macro="" textlink="">
      <xdr:nvSpPr>
        <xdr:cNvPr id="5600704" name="Line 291">
          <a:extLst>
            <a:ext uri="{FF2B5EF4-FFF2-40B4-BE49-F238E27FC236}">
              <a16:creationId xmlns:a16="http://schemas.microsoft.com/office/drawing/2014/main" id="{00000000-0008-0000-0700-0000C0755500}"/>
            </a:ext>
          </a:extLst>
        </xdr:cNvPr>
        <xdr:cNvSpPr>
          <a:spLocks noChangeShapeType="1"/>
        </xdr:cNvSpPr>
      </xdr:nvSpPr>
      <xdr:spPr bwMode="auto">
        <a:xfrm>
          <a:off x="5435600" y="15316200"/>
          <a:ext cx="18542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1066800</xdr:colOff>
      <xdr:row>92</xdr:row>
      <xdr:rowOff>50800</xdr:rowOff>
    </xdr:from>
    <xdr:to>
      <xdr:col>8</xdr:col>
      <xdr:colOff>50800</xdr:colOff>
      <xdr:row>92</xdr:row>
      <xdr:rowOff>50800</xdr:rowOff>
    </xdr:to>
    <xdr:sp macro="" textlink="">
      <xdr:nvSpPr>
        <xdr:cNvPr id="5600705" name="Line 292">
          <a:extLst>
            <a:ext uri="{FF2B5EF4-FFF2-40B4-BE49-F238E27FC236}">
              <a16:creationId xmlns:a16="http://schemas.microsoft.com/office/drawing/2014/main" id="{00000000-0008-0000-0700-0000C1755500}"/>
            </a:ext>
          </a:extLst>
        </xdr:cNvPr>
        <xdr:cNvSpPr>
          <a:spLocks noChangeShapeType="1"/>
        </xdr:cNvSpPr>
      </xdr:nvSpPr>
      <xdr:spPr bwMode="auto">
        <a:xfrm>
          <a:off x="5740400" y="15557500"/>
          <a:ext cx="15240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1955800</xdr:colOff>
      <xdr:row>80</xdr:row>
      <xdr:rowOff>0</xdr:rowOff>
    </xdr:from>
    <xdr:to>
      <xdr:col>6</xdr:col>
      <xdr:colOff>1955800</xdr:colOff>
      <xdr:row>87</xdr:row>
      <xdr:rowOff>63500</xdr:rowOff>
    </xdr:to>
    <xdr:sp macro="" textlink="">
      <xdr:nvSpPr>
        <xdr:cNvPr id="5600706" name="Line 293">
          <a:extLst>
            <a:ext uri="{FF2B5EF4-FFF2-40B4-BE49-F238E27FC236}">
              <a16:creationId xmlns:a16="http://schemas.microsoft.com/office/drawing/2014/main" id="{00000000-0008-0000-0700-0000C2755500}"/>
            </a:ext>
          </a:extLst>
        </xdr:cNvPr>
        <xdr:cNvSpPr>
          <a:spLocks noChangeShapeType="1"/>
        </xdr:cNvSpPr>
      </xdr:nvSpPr>
      <xdr:spPr bwMode="auto">
        <a:xfrm>
          <a:off x="6629400" y="13449300"/>
          <a:ext cx="0" cy="12700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203200</xdr:colOff>
      <xdr:row>80</xdr:row>
      <xdr:rowOff>0</xdr:rowOff>
    </xdr:from>
    <xdr:to>
      <xdr:col>7</xdr:col>
      <xdr:colOff>203200</xdr:colOff>
      <xdr:row>90</xdr:row>
      <xdr:rowOff>139700</xdr:rowOff>
    </xdr:to>
    <xdr:sp macro="" textlink="">
      <xdr:nvSpPr>
        <xdr:cNvPr id="5600707" name="Line 294">
          <a:extLst>
            <a:ext uri="{FF2B5EF4-FFF2-40B4-BE49-F238E27FC236}">
              <a16:creationId xmlns:a16="http://schemas.microsoft.com/office/drawing/2014/main" id="{00000000-0008-0000-0700-0000C3755500}"/>
            </a:ext>
          </a:extLst>
        </xdr:cNvPr>
        <xdr:cNvSpPr>
          <a:spLocks noChangeShapeType="1"/>
        </xdr:cNvSpPr>
      </xdr:nvSpPr>
      <xdr:spPr bwMode="auto">
        <a:xfrm>
          <a:off x="6908800" y="13449300"/>
          <a:ext cx="0" cy="18669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50800</xdr:colOff>
      <xdr:row>87</xdr:row>
      <xdr:rowOff>63500</xdr:rowOff>
    </xdr:from>
    <xdr:to>
      <xdr:col>8</xdr:col>
      <xdr:colOff>50800</xdr:colOff>
      <xdr:row>88</xdr:row>
      <xdr:rowOff>63500</xdr:rowOff>
    </xdr:to>
    <xdr:sp macro="" textlink="">
      <xdr:nvSpPr>
        <xdr:cNvPr id="5600708" name="Line 295">
          <a:extLst>
            <a:ext uri="{FF2B5EF4-FFF2-40B4-BE49-F238E27FC236}">
              <a16:creationId xmlns:a16="http://schemas.microsoft.com/office/drawing/2014/main" id="{00000000-0008-0000-0700-0000C4755500}"/>
            </a:ext>
          </a:extLst>
        </xdr:cNvPr>
        <xdr:cNvSpPr>
          <a:spLocks noChangeShapeType="1"/>
        </xdr:cNvSpPr>
      </xdr:nvSpPr>
      <xdr:spPr bwMode="auto">
        <a:xfrm>
          <a:off x="7264400" y="14719300"/>
          <a:ext cx="0" cy="16510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50800</xdr:colOff>
      <xdr:row>90</xdr:row>
      <xdr:rowOff>139700</xdr:rowOff>
    </xdr:from>
    <xdr:to>
      <xdr:col>8</xdr:col>
      <xdr:colOff>50800</xdr:colOff>
      <xdr:row>92</xdr:row>
      <xdr:rowOff>50800</xdr:rowOff>
    </xdr:to>
    <xdr:sp macro="" textlink="">
      <xdr:nvSpPr>
        <xdr:cNvPr id="5600709" name="Line 296">
          <a:extLst>
            <a:ext uri="{FF2B5EF4-FFF2-40B4-BE49-F238E27FC236}">
              <a16:creationId xmlns:a16="http://schemas.microsoft.com/office/drawing/2014/main" id="{00000000-0008-0000-0700-0000C5755500}"/>
            </a:ext>
          </a:extLst>
        </xdr:cNvPr>
        <xdr:cNvSpPr>
          <a:spLocks noChangeShapeType="1"/>
        </xdr:cNvSpPr>
      </xdr:nvSpPr>
      <xdr:spPr bwMode="auto">
        <a:xfrm>
          <a:off x="7264400" y="15316200"/>
          <a:ext cx="0" cy="2413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84</xdr:row>
      <xdr:rowOff>101600</xdr:rowOff>
    </xdr:from>
    <xdr:to>
      <xdr:col>6</xdr:col>
      <xdr:colOff>914400</xdr:colOff>
      <xdr:row>84</xdr:row>
      <xdr:rowOff>101600</xdr:rowOff>
    </xdr:to>
    <xdr:sp macro="" textlink="">
      <xdr:nvSpPr>
        <xdr:cNvPr id="5600710" name="Line 297">
          <a:extLst>
            <a:ext uri="{FF2B5EF4-FFF2-40B4-BE49-F238E27FC236}">
              <a16:creationId xmlns:a16="http://schemas.microsoft.com/office/drawing/2014/main" id="{00000000-0008-0000-0700-0000C6755500}"/>
            </a:ext>
          </a:extLst>
        </xdr:cNvPr>
        <xdr:cNvSpPr>
          <a:spLocks noChangeShapeType="1"/>
        </xdr:cNvSpPr>
      </xdr:nvSpPr>
      <xdr:spPr bwMode="auto">
        <a:xfrm>
          <a:off x="4673600" y="142494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89</xdr:row>
      <xdr:rowOff>76200</xdr:rowOff>
    </xdr:from>
    <xdr:to>
      <xdr:col>6</xdr:col>
      <xdr:colOff>749300</xdr:colOff>
      <xdr:row>89</xdr:row>
      <xdr:rowOff>76200</xdr:rowOff>
    </xdr:to>
    <xdr:sp macro="" textlink="">
      <xdr:nvSpPr>
        <xdr:cNvPr id="5600711" name="Line 298">
          <a:extLst>
            <a:ext uri="{FF2B5EF4-FFF2-40B4-BE49-F238E27FC236}">
              <a16:creationId xmlns:a16="http://schemas.microsoft.com/office/drawing/2014/main" id="{00000000-0008-0000-0700-0000C7755500}"/>
            </a:ext>
          </a:extLst>
        </xdr:cNvPr>
        <xdr:cNvSpPr>
          <a:spLocks noChangeShapeType="1"/>
        </xdr:cNvSpPr>
      </xdr:nvSpPr>
      <xdr:spPr bwMode="auto">
        <a:xfrm>
          <a:off x="4673600" y="15074900"/>
          <a:ext cx="74930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93</xdr:row>
      <xdr:rowOff>25400</xdr:rowOff>
    </xdr:from>
    <xdr:to>
      <xdr:col>6</xdr:col>
      <xdr:colOff>1066800</xdr:colOff>
      <xdr:row>93</xdr:row>
      <xdr:rowOff>25400</xdr:rowOff>
    </xdr:to>
    <xdr:sp macro="" textlink="">
      <xdr:nvSpPr>
        <xdr:cNvPr id="5600712" name="Line 299">
          <a:extLst>
            <a:ext uri="{FF2B5EF4-FFF2-40B4-BE49-F238E27FC236}">
              <a16:creationId xmlns:a16="http://schemas.microsoft.com/office/drawing/2014/main" id="{00000000-0008-0000-0700-0000C8755500}"/>
            </a:ext>
          </a:extLst>
        </xdr:cNvPr>
        <xdr:cNvSpPr>
          <a:spLocks noChangeShapeType="1"/>
        </xdr:cNvSpPr>
      </xdr:nvSpPr>
      <xdr:spPr bwMode="auto">
        <a:xfrm>
          <a:off x="4673600" y="15697200"/>
          <a:ext cx="106680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96</xdr:row>
      <xdr:rowOff>76200</xdr:rowOff>
    </xdr:from>
    <xdr:to>
      <xdr:col>6</xdr:col>
      <xdr:colOff>520700</xdr:colOff>
      <xdr:row>96</xdr:row>
      <xdr:rowOff>76200</xdr:rowOff>
    </xdr:to>
    <xdr:sp macro="" textlink="">
      <xdr:nvSpPr>
        <xdr:cNvPr id="5600713" name="Line 300">
          <a:extLst>
            <a:ext uri="{FF2B5EF4-FFF2-40B4-BE49-F238E27FC236}">
              <a16:creationId xmlns:a16="http://schemas.microsoft.com/office/drawing/2014/main" id="{00000000-0008-0000-0700-0000C9755500}"/>
            </a:ext>
          </a:extLst>
        </xdr:cNvPr>
        <xdr:cNvSpPr>
          <a:spLocks noChangeShapeType="1"/>
        </xdr:cNvSpPr>
      </xdr:nvSpPr>
      <xdr:spPr bwMode="auto">
        <a:xfrm>
          <a:off x="4673600" y="16256000"/>
          <a:ext cx="520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165100</xdr:colOff>
      <xdr:row>103</xdr:row>
      <xdr:rowOff>0</xdr:rowOff>
    </xdr:from>
    <xdr:to>
      <xdr:col>7</xdr:col>
      <xdr:colOff>165100</xdr:colOff>
      <xdr:row>104</xdr:row>
      <xdr:rowOff>12700</xdr:rowOff>
    </xdr:to>
    <xdr:sp macro="" textlink="">
      <xdr:nvSpPr>
        <xdr:cNvPr id="5600714" name="Line 301">
          <a:extLst>
            <a:ext uri="{FF2B5EF4-FFF2-40B4-BE49-F238E27FC236}">
              <a16:creationId xmlns:a16="http://schemas.microsoft.com/office/drawing/2014/main" id="{00000000-0008-0000-0700-0000CA755500}"/>
            </a:ext>
          </a:extLst>
        </xdr:cNvPr>
        <xdr:cNvSpPr>
          <a:spLocks noChangeShapeType="1"/>
        </xdr:cNvSpPr>
      </xdr:nvSpPr>
      <xdr:spPr bwMode="auto">
        <a:xfrm>
          <a:off x="6870700" y="17373600"/>
          <a:ext cx="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81</xdr:row>
      <xdr:rowOff>76200</xdr:rowOff>
    </xdr:from>
    <xdr:to>
      <xdr:col>6</xdr:col>
      <xdr:colOff>165100</xdr:colOff>
      <xdr:row>81</xdr:row>
      <xdr:rowOff>76200</xdr:rowOff>
    </xdr:to>
    <xdr:sp macro="" textlink="">
      <xdr:nvSpPr>
        <xdr:cNvPr id="5600715" name="Line 302">
          <a:extLst>
            <a:ext uri="{FF2B5EF4-FFF2-40B4-BE49-F238E27FC236}">
              <a16:creationId xmlns:a16="http://schemas.microsoft.com/office/drawing/2014/main" id="{00000000-0008-0000-0700-0000CB755500}"/>
            </a:ext>
          </a:extLst>
        </xdr:cNvPr>
        <xdr:cNvSpPr>
          <a:spLocks noChangeShapeType="1"/>
        </xdr:cNvSpPr>
      </xdr:nvSpPr>
      <xdr:spPr bwMode="auto">
        <a:xfrm>
          <a:off x="4673600" y="13703300"/>
          <a:ext cx="165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1943100</xdr:colOff>
      <xdr:row>83</xdr:row>
      <xdr:rowOff>88900</xdr:rowOff>
    </xdr:from>
    <xdr:to>
      <xdr:col>9</xdr:col>
      <xdr:colOff>0</xdr:colOff>
      <xdr:row>83</xdr:row>
      <xdr:rowOff>88900</xdr:rowOff>
    </xdr:to>
    <xdr:sp macro="" textlink="">
      <xdr:nvSpPr>
        <xdr:cNvPr id="5600716" name="Line 303">
          <a:extLst>
            <a:ext uri="{FF2B5EF4-FFF2-40B4-BE49-F238E27FC236}">
              <a16:creationId xmlns:a16="http://schemas.microsoft.com/office/drawing/2014/main" id="{00000000-0008-0000-0700-0000CC755500}"/>
            </a:ext>
          </a:extLst>
        </xdr:cNvPr>
        <xdr:cNvSpPr>
          <a:spLocks noChangeShapeType="1"/>
        </xdr:cNvSpPr>
      </xdr:nvSpPr>
      <xdr:spPr bwMode="auto">
        <a:xfrm flipV="1">
          <a:off x="6616700" y="14058900"/>
          <a:ext cx="11049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203200</xdr:colOff>
      <xdr:row>85</xdr:row>
      <xdr:rowOff>76200</xdr:rowOff>
    </xdr:from>
    <xdr:to>
      <xdr:col>9</xdr:col>
      <xdr:colOff>0</xdr:colOff>
      <xdr:row>85</xdr:row>
      <xdr:rowOff>76200</xdr:rowOff>
    </xdr:to>
    <xdr:sp macro="" textlink="">
      <xdr:nvSpPr>
        <xdr:cNvPr id="5600717" name="Line 304">
          <a:extLst>
            <a:ext uri="{FF2B5EF4-FFF2-40B4-BE49-F238E27FC236}">
              <a16:creationId xmlns:a16="http://schemas.microsoft.com/office/drawing/2014/main" id="{00000000-0008-0000-0700-0000CD755500}"/>
            </a:ext>
          </a:extLst>
        </xdr:cNvPr>
        <xdr:cNvSpPr>
          <a:spLocks noChangeShapeType="1"/>
        </xdr:cNvSpPr>
      </xdr:nvSpPr>
      <xdr:spPr bwMode="auto">
        <a:xfrm flipV="1">
          <a:off x="6908800" y="14401800"/>
          <a:ext cx="8128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50800</xdr:colOff>
      <xdr:row>87</xdr:row>
      <xdr:rowOff>139700</xdr:rowOff>
    </xdr:from>
    <xdr:to>
      <xdr:col>9</xdr:col>
      <xdr:colOff>0</xdr:colOff>
      <xdr:row>87</xdr:row>
      <xdr:rowOff>139700</xdr:rowOff>
    </xdr:to>
    <xdr:sp macro="" textlink="">
      <xdr:nvSpPr>
        <xdr:cNvPr id="5600718" name="Line 305">
          <a:extLst>
            <a:ext uri="{FF2B5EF4-FFF2-40B4-BE49-F238E27FC236}">
              <a16:creationId xmlns:a16="http://schemas.microsoft.com/office/drawing/2014/main" id="{00000000-0008-0000-0700-0000CE755500}"/>
            </a:ext>
          </a:extLst>
        </xdr:cNvPr>
        <xdr:cNvSpPr>
          <a:spLocks noChangeShapeType="1"/>
        </xdr:cNvSpPr>
      </xdr:nvSpPr>
      <xdr:spPr bwMode="auto">
        <a:xfrm flipV="1">
          <a:off x="7264400" y="14795500"/>
          <a:ext cx="4572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89</xdr:row>
      <xdr:rowOff>88900</xdr:rowOff>
    </xdr:from>
    <xdr:to>
      <xdr:col>9</xdr:col>
      <xdr:colOff>0</xdr:colOff>
      <xdr:row>89</xdr:row>
      <xdr:rowOff>88900</xdr:rowOff>
    </xdr:to>
    <xdr:sp macro="" textlink="">
      <xdr:nvSpPr>
        <xdr:cNvPr id="5600719" name="Line 307">
          <a:extLst>
            <a:ext uri="{FF2B5EF4-FFF2-40B4-BE49-F238E27FC236}">
              <a16:creationId xmlns:a16="http://schemas.microsoft.com/office/drawing/2014/main" id="{00000000-0008-0000-0700-0000CF755500}"/>
            </a:ext>
          </a:extLst>
        </xdr:cNvPr>
        <xdr:cNvSpPr>
          <a:spLocks noChangeShapeType="1"/>
        </xdr:cNvSpPr>
      </xdr:nvSpPr>
      <xdr:spPr bwMode="auto">
        <a:xfrm flipV="1">
          <a:off x="7721600" y="15087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50800</xdr:colOff>
      <xdr:row>91</xdr:row>
      <xdr:rowOff>76200</xdr:rowOff>
    </xdr:from>
    <xdr:to>
      <xdr:col>9</xdr:col>
      <xdr:colOff>12700</xdr:colOff>
      <xdr:row>91</xdr:row>
      <xdr:rowOff>76200</xdr:rowOff>
    </xdr:to>
    <xdr:sp macro="" textlink="">
      <xdr:nvSpPr>
        <xdr:cNvPr id="5600720" name="Line 308">
          <a:extLst>
            <a:ext uri="{FF2B5EF4-FFF2-40B4-BE49-F238E27FC236}">
              <a16:creationId xmlns:a16="http://schemas.microsoft.com/office/drawing/2014/main" id="{00000000-0008-0000-0700-0000D0755500}"/>
            </a:ext>
          </a:extLst>
        </xdr:cNvPr>
        <xdr:cNvSpPr>
          <a:spLocks noChangeShapeType="1"/>
        </xdr:cNvSpPr>
      </xdr:nvSpPr>
      <xdr:spPr bwMode="auto">
        <a:xfrm flipH="1" flipV="1">
          <a:off x="7264400" y="15417800"/>
          <a:ext cx="4699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none" w="sm" len="sm"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96</xdr:row>
      <xdr:rowOff>76200</xdr:rowOff>
    </xdr:from>
    <xdr:to>
      <xdr:col>9</xdr:col>
      <xdr:colOff>0</xdr:colOff>
      <xdr:row>96</xdr:row>
      <xdr:rowOff>76200</xdr:rowOff>
    </xdr:to>
    <xdr:sp macro="" textlink="">
      <xdr:nvSpPr>
        <xdr:cNvPr id="5600721" name="Line 309">
          <a:extLst>
            <a:ext uri="{FF2B5EF4-FFF2-40B4-BE49-F238E27FC236}">
              <a16:creationId xmlns:a16="http://schemas.microsoft.com/office/drawing/2014/main" id="{00000000-0008-0000-0700-0000D1755500}"/>
            </a:ext>
          </a:extLst>
        </xdr:cNvPr>
        <xdr:cNvSpPr>
          <a:spLocks noChangeShapeType="1"/>
        </xdr:cNvSpPr>
      </xdr:nvSpPr>
      <xdr:spPr bwMode="auto">
        <a:xfrm>
          <a:off x="7721600" y="16256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100</xdr:row>
      <xdr:rowOff>88900</xdr:rowOff>
    </xdr:from>
    <xdr:to>
      <xdr:col>9</xdr:col>
      <xdr:colOff>0</xdr:colOff>
      <xdr:row>100</xdr:row>
      <xdr:rowOff>88900</xdr:rowOff>
    </xdr:to>
    <xdr:sp macro="" textlink="">
      <xdr:nvSpPr>
        <xdr:cNvPr id="5600722" name="Line 310">
          <a:extLst>
            <a:ext uri="{FF2B5EF4-FFF2-40B4-BE49-F238E27FC236}">
              <a16:creationId xmlns:a16="http://schemas.microsoft.com/office/drawing/2014/main" id="{00000000-0008-0000-0700-0000D2755500}"/>
            </a:ext>
          </a:extLst>
        </xdr:cNvPr>
        <xdr:cNvSpPr>
          <a:spLocks noChangeShapeType="1"/>
        </xdr:cNvSpPr>
      </xdr:nvSpPr>
      <xdr:spPr bwMode="auto">
        <a:xfrm>
          <a:off x="7721600" y="16954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241300</xdr:colOff>
      <xdr:row>89</xdr:row>
      <xdr:rowOff>88900</xdr:rowOff>
    </xdr:from>
    <xdr:to>
      <xdr:col>8</xdr:col>
      <xdr:colOff>508000</xdr:colOff>
      <xdr:row>89</xdr:row>
      <xdr:rowOff>88900</xdr:rowOff>
    </xdr:to>
    <xdr:sp macro="" textlink="">
      <xdr:nvSpPr>
        <xdr:cNvPr id="5600723" name="Line 278">
          <a:extLst>
            <a:ext uri="{FF2B5EF4-FFF2-40B4-BE49-F238E27FC236}">
              <a16:creationId xmlns:a16="http://schemas.microsoft.com/office/drawing/2014/main" id="{00000000-0008-0000-0700-0000D3755500}"/>
            </a:ext>
          </a:extLst>
        </xdr:cNvPr>
        <xdr:cNvSpPr>
          <a:spLocks noChangeShapeType="1"/>
        </xdr:cNvSpPr>
      </xdr:nvSpPr>
      <xdr:spPr bwMode="auto">
        <a:xfrm>
          <a:off x="7454900" y="15087600"/>
          <a:ext cx="2667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76200</xdr:colOff>
      <xdr:row>1</xdr:row>
      <xdr:rowOff>12700</xdr:rowOff>
    </xdr:from>
    <xdr:to>
      <xdr:col>19</xdr:col>
      <xdr:colOff>0</xdr:colOff>
      <xdr:row>31</xdr:row>
      <xdr:rowOff>101600</xdr:rowOff>
    </xdr:to>
    <xdr:grpSp>
      <xdr:nvGrpSpPr>
        <xdr:cNvPr id="5600724" name="Group 232">
          <a:extLst>
            <a:ext uri="{FF2B5EF4-FFF2-40B4-BE49-F238E27FC236}">
              <a16:creationId xmlns:a16="http://schemas.microsoft.com/office/drawing/2014/main" id="{00000000-0008-0000-0700-0000D4755500}"/>
            </a:ext>
          </a:extLst>
        </xdr:cNvPr>
        <xdr:cNvGrpSpPr>
          <a:grpSpLocks/>
        </xdr:cNvGrpSpPr>
      </xdr:nvGrpSpPr>
      <xdr:grpSpPr bwMode="auto">
        <a:xfrm>
          <a:off x="12982575" y="184150"/>
          <a:ext cx="2114550" cy="5127625"/>
          <a:chOff x="3421" y="5379"/>
          <a:chExt cx="2289" cy="5759"/>
        </a:xfrm>
      </xdr:grpSpPr>
      <xdr:grpSp>
        <xdr:nvGrpSpPr>
          <xdr:cNvPr id="5600763" name="Group 233">
            <a:extLst>
              <a:ext uri="{FF2B5EF4-FFF2-40B4-BE49-F238E27FC236}">
                <a16:creationId xmlns:a16="http://schemas.microsoft.com/office/drawing/2014/main" id="{00000000-0008-0000-0700-0000FB755500}"/>
              </a:ext>
            </a:extLst>
          </xdr:cNvPr>
          <xdr:cNvGrpSpPr>
            <a:grpSpLocks/>
          </xdr:cNvGrpSpPr>
        </xdr:nvGrpSpPr>
        <xdr:grpSpPr bwMode="auto">
          <a:xfrm>
            <a:off x="4047" y="5379"/>
            <a:ext cx="515" cy="4096"/>
            <a:chOff x="4047" y="5379"/>
            <a:chExt cx="515" cy="4096"/>
          </a:xfrm>
        </xdr:grpSpPr>
        <xdr:sp macro="" textlink="">
          <xdr:nvSpPr>
            <xdr:cNvPr id="5600781" name="Arc 234">
              <a:extLst>
                <a:ext uri="{FF2B5EF4-FFF2-40B4-BE49-F238E27FC236}">
                  <a16:creationId xmlns:a16="http://schemas.microsoft.com/office/drawing/2014/main" id="{00000000-0008-0000-0700-00000D7655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5600782" name="Group 235">
              <a:extLst>
                <a:ext uri="{FF2B5EF4-FFF2-40B4-BE49-F238E27FC236}">
                  <a16:creationId xmlns:a16="http://schemas.microsoft.com/office/drawing/2014/main" id="{00000000-0008-0000-0700-00000E7655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600783" name="Line 236">
                <a:extLst>
                  <a:ext uri="{FF2B5EF4-FFF2-40B4-BE49-F238E27FC236}">
                    <a16:creationId xmlns:a16="http://schemas.microsoft.com/office/drawing/2014/main" id="{00000000-0008-0000-0700-00000F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84" name="Line 237">
                <a:extLst>
                  <a:ext uri="{FF2B5EF4-FFF2-40B4-BE49-F238E27FC236}">
                    <a16:creationId xmlns:a16="http://schemas.microsoft.com/office/drawing/2014/main" id="{00000000-0008-0000-0700-000010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85" name="Line 238">
                <a:extLst>
                  <a:ext uri="{FF2B5EF4-FFF2-40B4-BE49-F238E27FC236}">
                    <a16:creationId xmlns:a16="http://schemas.microsoft.com/office/drawing/2014/main" id="{00000000-0008-0000-0700-000011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86" name="Line 239">
                <a:extLst>
                  <a:ext uri="{FF2B5EF4-FFF2-40B4-BE49-F238E27FC236}">
                    <a16:creationId xmlns:a16="http://schemas.microsoft.com/office/drawing/2014/main" id="{00000000-0008-0000-0700-000012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87" name="Line 240">
                <a:extLst>
                  <a:ext uri="{FF2B5EF4-FFF2-40B4-BE49-F238E27FC236}">
                    <a16:creationId xmlns:a16="http://schemas.microsoft.com/office/drawing/2014/main" id="{00000000-0008-0000-0700-000013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grpSp>
        <xdr:nvGrpSpPr>
          <xdr:cNvPr id="5600764" name="Group 241">
            <a:extLst>
              <a:ext uri="{FF2B5EF4-FFF2-40B4-BE49-F238E27FC236}">
                <a16:creationId xmlns:a16="http://schemas.microsoft.com/office/drawing/2014/main" id="{00000000-0008-0000-0700-0000FC755500}"/>
              </a:ext>
            </a:extLst>
          </xdr:cNvPr>
          <xdr:cNvGrpSpPr>
            <a:grpSpLocks/>
          </xdr:cNvGrpSpPr>
        </xdr:nvGrpSpPr>
        <xdr:grpSpPr bwMode="auto">
          <a:xfrm flipH="1">
            <a:off x="4560" y="5379"/>
            <a:ext cx="515" cy="4096"/>
            <a:chOff x="4047" y="5379"/>
            <a:chExt cx="515" cy="4096"/>
          </a:xfrm>
        </xdr:grpSpPr>
        <xdr:sp macro="" textlink="">
          <xdr:nvSpPr>
            <xdr:cNvPr id="5600774" name="Arc 242">
              <a:extLst>
                <a:ext uri="{FF2B5EF4-FFF2-40B4-BE49-F238E27FC236}">
                  <a16:creationId xmlns:a16="http://schemas.microsoft.com/office/drawing/2014/main" id="{00000000-0008-0000-0700-0000067655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5600775" name="Group 243">
              <a:extLst>
                <a:ext uri="{FF2B5EF4-FFF2-40B4-BE49-F238E27FC236}">
                  <a16:creationId xmlns:a16="http://schemas.microsoft.com/office/drawing/2014/main" id="{00000000-0008-0000-0700-0000077655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600776" name="Line 244">
                <a:extLst>
                  <a:ext uri="{FF2B5EF4-FFF2-40B4-BE49-F238E27FC236}">
                    <a16:creationId xmlns:a16="http://schemas.microsoft.com/office/drawing/2014/main" id="{00000000-0008-0000-0700-000008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77" name="Line 245">
                <a:extLst>
                  <a:ext uri="{FF2B5EF4-FFF2-40B4-BE49-F238E27FC236}">
                    <a16:creationId xmlns:a16="http://schemas.microsoft.com/office/drawing/2014/main" id="{00000000-0008-0000-0700-000009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78" name="Line 246">
                <a:extLst>
                  <a:ext uri="{FF2B5EF4-FFF2-40B4-BE49-F238E27FC236}">
                    <a16:creationId xmlns:a16="http://schemas.microsoft.com/office/drawing/2014/main" id="{00000000-0008-0000-0700-00000A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79" name="Line 247">
                <a:extLst>
                  <a:ext uri="{FF2B5EF4-FFF2-40B4-BE49-F238E27FC236}">
                    <a16:creationId xmlns:a16="http://schemas.microsoft.com/office/drawing/2014/main" id="{00000000-0008-0000-0700-00000B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80" name="Line 248">
                <a:extLst>
                  <a:ext uri="{FF2B5EF4-FFF2-40B4-BE49-F238E27FC236}">
                    <a16:creationId xmlns:a16="http://schemas.microsoft.com/office/drawing/2014/main" id="{00000000-0008-0000-0700-00000C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5600765" name="Line 249">
            <a:extLst>
              <a:ext uri="{FF2B5EF4-FFF2-40B4-BE49-F238E27FC236}">
                <a16:creationId xmlns:a16="http://schemas.microsoft.com/office/drawing/2014/main" id="{00000000-0008-0000-0700-0000FD755500}"/>
              </a:ext>
            </a:extLst>
          </xdr:cNvPr>
          <xdr:cNvSpPr>
            <a:spLocks noChangeShapeType="1"/>
          </xdr:cNvSpPr>
        </xdr:nvSpPr>
        <xdr:spPr bwMode="auto">
          <a:xfrm>
            <a:off x="4332" y="9310"/>
            <a:ext cx="2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66" name="Line 250">
            <a:extLst>
              <a:ext uri="{FF2B5EF4-FFF2-40B4-BE49-F238E27FC236}">
                <a16:creationId xmlns:a16="http://schemas.microsoft.com/office/drawing/2014/main" id="{00000000-0008-0000-0700-0000FE755500}"/>
              </a:ext>
            </a:extLst>
          </xdr:cNvPr>
          <xdr:cNvSpPr>
            <a:spLocks noChangeShapeType="1"/>
          </xdr:cNvSpPr>
        </xdr:nvSpPr>
        <xdr:spPr bwMode="auto">
          <a:xfrm>
            <a:off x="4790" y="9310"/>
            <a:ext cx="0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67" name="Line 251">
            <a:extLst>
              <a:ext uri="{FF2B5EF4-FFF2-40B4-BE49-F238E27FC236}">
                <a16:creationId xmlns:a16="http://schemas.microsoft.com/office/drawing/2014/main" id="{00000000-0008-0000-0700-0000FF755500}"/>
              </a:ext>
            </a:extLst>
          </xdr:cNvPr>
          <xdr:cNvSpPr>
            <a:spLocks noChangeShapeType="1"/>
          </xdr:cNvSpPr>
        </xdr:nvSpPr>
        <xdr:spPr bwMode="auto">
          <a:xfrm>
            <a:off x="4330" y="10629"/>
            <a:ext cx="458" cy="0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68" name="Line 252">
            <a:extLst>
              <a:ext uri="{FF2B5EF4-FFF2-40B4-BE49-F238E27FC236}">
                <a16:creationId xmlns:a16="http://schemas.microsoft.com/office/drawing/2014/main" id="{00000000-0008-0000-0700-0000007655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709" y="10163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69" name="Line 253">
            <a:extLst>
              <a:ext uri="{FF2B5EF4-FFF2-40B4-BE49-F238E27FC236}">
                <a16:creationId xmlns:a16="http://schemas.microsoft.com/office/drawing/2014/main" id="{00000000-0008-0000-0700-000001765500}"/>
              </a:ext>
            </a:extLst>
          </xdr:cNvPr>
          <xdr:cNvSpPr>
            <a:spLocks noChangeShapeType="1"/>
          </xdr:cNvSpPr>
        </xdr:nvSpPr>
        <xdr:spPr bwMode="auto">
          <a:xfrm>
            <a:off x="4796" y="10419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70" name="Line 254">
            <a:extLst>
              <a:ext uri="{FF2B5EF4-FFF2-40B4-BE49-F238E27FC236}">
                <a16:creationId xmlns:a16="http://schemas.microsoft.com/office/drawing/2014/main" id="{00000000-0008-0000-0700-0000027655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804" y="8797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71" name="Line 255">
            <a:extLst>
              <a:ext uri="{FF2B5EF4-FFF2-40B4-BE49-F238E27FC236}">
                <a16:creationId xmlns:a16="http://schemas.microsoft.com/office/drawing/2014/main" id="{00000000-0008-0000-0700-0000037655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421" y="10178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72" name="Line 256">
            <a:extLst>
              <a:ext uri="{FF2B5EF4-FFF2-40B4-BE49-F238E27FC236}">
                <a16:creationId xmlns:a16="http://schemas.microsoft.com/office/drawing/2014/main" id="{00000000-0008-0000-0700-0000047655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421" y="10426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73" name="Line 257">
            <a:extLst>
              <a:ext uri="{FF2B5EF4-FFF2-40B4-BE49-F238E27FC236}">
                <a16:creationId xmlns:a16="http://schemas.microsoft.com/office/drawing/2014/main" id="{00000000-0008-0000-0700-0000057655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429" y="8804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17</xdr:col>
      <xdr:colOff>914400</xdr:colOff>
      <xdr:row>11</xdr:row>
      <xdr:rowOff>101600</xdr:rowOff>
    </xdr:from>
    <xdr:to>
      <xdr:col>18</xdr:col>
      <xdr:colOff>406400</xdr:colOff>
      <xdr:row>11</xdr:row>
      <xdr:rowOff>101600</xdr:rowOff>
    </xdr:to>
    <xdr:sp macro="" textlink="">
      <xdr:nvSpPr>
        <xdr:cNvPr id="5600725" name="Line 268">
          <a:extLst>
            <a:ext uri="{FF2B5EF4-FFF2-40B4-BE49-F238E27FC236}">
              <a16:creationId xmlns:a16="http://schemas.microsoft.com/office/drawing/2014/main" id="{00000000-0008-0000-0700-0000D5755500}"/>
            </a:ext>
          </a:extLst>
        </xdr:cNvPr>
        <xdr:cNvSpPr>
          <a:spLocks noChangeShapeType="1"/>
        </xdr:cNvSpPr>
      </xdr:nvSpPr>
      <xdr:spPr bwMode="auto">
        <a:xfrm flipV="1">
          <a:off x="15735300" y="2032000"/>
          <a:ext cx="73660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101600</xdr:colOff>
      <xdr:row>1</xdr:row>
      <xdr:rowOff>12700</xdr:rowOff>
    </xdr:from>
    <xdr:to>
      <xdr:col>19</xdr:col>
      <xdr:colOff>368300</xdr:colOff>
      <xdr:row>1</xdr:row>
      <xdr:rowOff>12700</xdr:rowOff>
    </xdr:to>
    <xdr:sp macro="" textlink="">
      <xdr:nvSpPr>
        <xdr:cNvPr id="5600726" name="Line 269">
          <a:extLst>
            <a:ext uri="{FF2B5EF4-FFF2-40B4-BE49-F238E27FC236}">
              <a16:creationId xmlns:a16="http://schemas.microsoft.com/office/drawing/2014/main" id="{00000000-0008-0000-0700-0000D6755500}"/>
            </a:ext>
          </a:extLst>
        </xdr:cNvPr>
        <xdr:cNvSpPr>
          <a:spLocks noChangeShapeType="1"/>
        </xdr:cNvSpPr>
      </xdr:nvSpPr>
      <xdr:spPr bwMode="auto">
        <a:xfrm flipV="1">
          <a:off x="14922500" y="190500"/>
          <a:ext cx="27559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1155700</xdr:colOff>
      <xdr:row>1</xdr:row>
      <xdr:rowOff>12700</xdr:rowOff>
    </xdr:from>
    <xdr:to>
      <xdr:col>18</xdr:col>
      <xdr:colOff>1155700</xdr:colOff>
      <xdr:row>28</xdr:row>
      <xdr:rowOff>139700</xdr:rowOff>
    </xdr:to>
    <xdr:sp macro="" textlink="">
      <xdr:nvSpPr>
        <xdr:cNvPr id="5600727" name="Line 270">
          <a:extLst>
            <a:ext uri="{FF2B5EF4-FFF2-40B4-BE49-F238E27FC236}">
              <a16:creationId xmlns:a16="http://schemas.microsoft.com/office/drawing/2014/main" id="{00000000-0008-0000-0700-0000D7755500}"/>
            </a:ext>
          </a:extLst>
        </xdr:cNvPr>
        <xdr:cNvSpPr>
          <a:spLocks noChangeShapeType="1"/>
        </xdr:cNvSpPr>
      </xdr:nvSpPr>
      <xdr:spPr bwMode="auto">
        <a:xfrm>
          <a:off x="17221200" y="190500"/>
          <a:ext cx="0" cy="47117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127000</xdr:colOff>
      <xdr:row>10</xdr:row>
      <xdr:rowOff>152400</xdr:rowOff>
    </xdr:from>
    <xdr:to>
      <xdr:col>18</xdr:col>
      <xdr:colOff>457200</xdr:colOff>
      <xdr:row>10</xdr:row>
      <xdr:rowOff>152400</xdr:rowOff>
    </xdr:to>
    <xdr:sp macro="" textlink="">
      <xdr:nvSpPr>
        <xdr:cNvPr id="5600728" name="Line 271">
          <a:extLst>
            <a:ext uri="{FF2B5EF4-FFF2-40B4-BE49-F238E27FC236}">
              <a16:creationId xmlns:a16="http://schemas.microsoft.com/office/drawing/2014/main" id="{00000000-0008-0000-0700-0000D8755500}"/>
            </a:ext>
          </a:extLst>
        </xdr:cNvPr>
        <xdr:cNvSpPr>
          <a:spLocks noChangeShapeType="1"/>
        </xdr:cNvSpPr>
      </xdr:nvSpPr>
      <xdr:spPr bwMode="auto">
        <a:xfrm>
          <a:off x="14947900" y="1905000"/>
          <a:ext cx="15748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165100</xdr:colOff>
      <xdr:row>0</xdr:row>
      <xdr:rowOff>165100</xdr:rowOff>
    </xdr:from>
    <xdr:to>
      <xdr:col>17</xdr:col>
      <xdr:colOff>165100</xdr:colOff>
      <xdr:row>10</xdr:row>
      <xdr:rowOff>139700</xdr:rowOff>
    </xdr:to>
    <xdr:sp macro="" textlink="">
      <xdr:nvSpPr>
        <xdr:cNvPr id="5600729" name="Line 272">
          <a:extLst>
            <a:ext uri="{FF2B5EF4-FFF2-40B4-BE49-F238E27FC236}">
              <a16:creationId xmlns:a16="http://schemas.microsoft.com/office/drawing/2014/main" id="{00000000-0008-0000-0700-0000D9755500}"/>
            </a:ext>
          </a:extLst>
        </xdr:cNvPr>
        <xdr:cNvSpPr>
          <a:spLocks noChangeShapeType="1"/>
        </xdr:cNvSpPr>
      </xdr:nvSpPr>
      <xdr:spPr bwMode="auto">
        <a:xfrm flipH="1">
          <a:off x="14986000" y="165100"/>
          <a:ext cx="0" cy="17272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254000</xdr:colOff>
      <xdr:row>31</xdr:row>
      <xdr:rowOff>101600</xdr:rowOff>
    </xdr:from>
    <xdr:to>
      <xdr:col>17</xdr:col>
      <xdr:colOff>88900</xdr:colOff>
      <xdr:row>31</xdr:row>
      <xdr:rowOff>101600</xdr:rowOff>
    </xdr:to>
    <xdr:sp macro="" textlink="">
      <xdr:nvSpPr>
        <xdr:cNvPr id="5600730" name="Line 277">
          <a:extLst>
            <a:ext uri="{FF2B5EF4-FFF2-40B4-BE49-F238E27FC236}">
              <a16:creationId xmlns:a16="http://schemas.microsoft.com/office/drawing/2014/main" id="{00000000-0008-0000-0700-0000DA755500}"/>
            </a:ext>
          </a:extLst>
        </xdr:cNvPr>
        <xdr:cNvSpPr>
          <a:spLocks noChangeShapeType="1"/>
        </xdr:cNvSpPr>
      </xdr:nvSpPr>
      <xdr:spPr bwMode="auto">
        <a:xfrm>
          <a:off x="14185900" y="5397500"/>
          <a:ext cx="7239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215900</xdr:colOff>
      <xdr:row>29</xdr:row>
      <xdr:rowOff>88900</xdr:rowOff>
    </xdr:from>
    <xdr:to>
      <xdr:col>18</xdr:col>
      <xdr:colOff>1130300</xdr:colOff>
      <xdr:row>29</xdr:row>
      <xdr:rowOff>88900</xdr:rowOff>
    </xdr:to>
    <xdr:sp macro="" textlink="">
      <xdr:nvSpPr>
        <xdr:cNvPr id="5600731" name="Line 280">
          <a:extLst>
            <a:ext uri="{FF2B5EF4-FFF2-40B4-BE49-F238E27FC236}">
              <a16:creationId xmlns:a16="http://schemas.microsoft.com/office/drawing/2014/main" id="{00000000-0008-0000-0700-0000DB755500}"/>
            </a:ext>
          </a:extLst>
        </xdr:cNvPr>
        <xdr:cNvSpPr>
          <a:spLocks noChangeShapeType="1"/>
        </xdr:cNvSpPr>
      </xdr:nvSpPr>
      <xdr:spPr bwMode="auto">
        <a:xfrm>
          <a:off x="16281400" y="5029200"/>
          <a:ext cx="9144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558800</xdr:colOff>
      <xdr:row>20</xdr:row>
      <xdr:rowOff>0</xdr:rowOff>
    </xdr:from>
    <xdr:to>
      <xdr:col>17</xdr:col>
      <xdr:colOff>558800</xdr:colOff>
      <xdr:row>28</xdr:row>
      <xdr:rowOff>127000</xdr:rowOff>
    </xdr:to>
    <xdr:sp macro="" textlink="">
      <xdr:nvSpPr>
        <xdr:cNvPr id="5600732" name="Line 281">
          <a:extLst>
            <a:ext uri="{FF2B5EF4-FFF2-40B4-BE49-F238E27FC236}">
              <a16:creationId xmlns:a16="http://schemas.microsoft.com/office/drawing/2014/main" id="{00000000-0008-0000-0700-0000DC755500}"/>
            </a:ext>
          </a:extLst>
        </xdr:cNvPr>
        <xdr:cNvSpPr>
          <a:spLocks noChangeShapeType="1"/>
        </xdr:cNvSpPr>
      </xdr:nvSpPr>
      <xdr:spPr bwMode="auto">
        <a:xfrm flipH="1">
          <a:off x="15379700" y="3429000"/>
          <a:ext cx="0" cy="14605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342900</xdr:colOff>
      <xdr:row>27</xdr:row>
      <xdr:rowOff>139700</xdr:rowOff>
    </xdr:from>
    <xdr:to>
      <xdr:col>16</xdr:col>
      <xdr:colOff>355600</xdr:colOff>
      <xdr:row>31</xdr:row>
      <xdr:rowOff>101600</xdr:rowOff>
    </xdr:to>
    <xdr:sp macro="" textlink="">
      <xdr:nvSpPr>
        <xdr:cNvPr id="5600733" name="Line 282">
          <a:extLst>
            <a:ext uri="{FF2B5EF4-FFF2-40B4-BE49-F238E27FC236}">
              <a16:creationId xmlns:a16="http://schemas.microsoft.com/office/drawing/2014/main" id="{00000000-0008-0000-0700-0000DD755500}"/>
            </a:ext>
          </a:extLst>
        </xdr:cNvPr>
        <xdr:cNvSpPr>
          <a:spLocks noChangeShapeType="1"/>
        </xdr:cNvSpPr>
      </xdr:nvSpPr>
      <xdr:spPr bwMode="auto">
        <a:xfrm flipH="1">
          <a:off x="14274800" y="4724400"/>
          <a:ext cx="12700" cy="6731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800100</xdr:colOff>
      <xdr:row>20</xdr:row>
      <xdr:rowOff>0</xdr:rowOff>
    </xdr:from>
    <xdr:to>
      <xdr:col>16</xdr:col>
      <xdr:colOff>800100</xdr:colOff>
      <xdr:row>27</xdr:row>
      <xdr:rowOff>139700</xdr:rowOff>
    </xdr:to>
    <xdr:sp macro="" textlink="">
      <xdr:nvSpPr>
        <xdr:cNvPr id="5600734" name="Line 283">
          <a:extLst>
            <a:ext uri="{FF2B5EF4-FFF2-40B4-BE49-F238E27FC236}">
              <a16:creationId xmlns:a16="http://schemas.microsoft.com/office/drawing/2014/main" id="{00000000-0008-0000-0700-0000DE755500}"/>
            </a:ext>
          </a:extLst>
        </xdr:cNvPr>
        <xdr:cNvSpPr>
          <a:spLocks noChangeShapeType="1"/>
        </xdr:cNvSpPr>
      </xdr:nvSpPr>
      <xdr:spPr bwMode="auto">
        <a:xfrm>
          <a:off x="14732000" y="3429000"/>
          <a:ext cx="0" cy="12954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76200</xdr:colOff>
      <xdr:row>31</xdr:row>
      <xdr:rowOff>101600</xdr:rowOff>
    </xdr:from>
    <xdr:to>
      <xdr:col>17</xdr:col>
      <xdr:colOff>76200</xdr:colOff>
      <xdr:row>32</xdr:row>
      <xdr:rowOff>0</xdr:rowOff>
    </xdr:to>
    <xdr:sp macro="" textlink="">
      <xdr:nvSpPr>
        <xdr:cNvPr id="5600735" name="Line 284">
          <a:extLst>
            <a:ext uri="{FF2B5EF4-FFF2-40B4-BE49-F238E27FC236}">
              <a16:creationId xmlns:a16="http://schemas.microsoft.com/office/drawing/2014/main" id="{00000000-0008-0000-0700-0000DF755500}"/>
            </a:ext>
          </a:extLst>
        </xdr:cNvPr>
        <xdr:cNvSpPr>
          <a:spLocks noChangeShapeType="1"/>
        </xdr:cNvSpPr>
      </xdr:nvSpPr>
      <xdr:spPr bwMode="auto">
        <a:xfrm flipV="1">
          <a:off x="14897100" y="5397500"/>
          <a:ext cx="0" cy="762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1041400</xdr:colOff>
      <xdr:row>29</xdr:row>
      <xdr:rowOff>88900</xdr:rowOff>
    </xdr:from>
    <xdr:to>
      <xdr:col>17</xdr:col>
      <xdr:colOff>1041400</xdr:colOff>
      <xdr:row>31</xdr:row>
      <xdr:rowOff>165100</xdr:rowOff>
    </xdr:to>
    <xdr:sp macro="" textlink="">
      <xdr:nvSpPr>
        <xdr:cNvPr id="5600736" name="Line 285">
          <a:extLst>
            <a:ext uri="{FF2B5EF4-FFF2-40B4-BE49-F238E27FC236}">
              <a16:creationId xmlns:a16="http://schemas.microsoft.com/office/drawing/2014/main" id="{00000000-0008-0000-0700-0000E0755500}"/>
            </a:ext>
          </a:extLst>
        </xdr:cNvPr>
        <xdr:cNvSpPr>
          <a:spLocks noChangeShapeType="1"/>
        </xdr:cNvSpPr>
      </xdr:nvSpPr>
      <xdr:spPr bwMode="auto">
        <a:xfrm flipH="1" flipV="1">
          <a:off x="15862300" y="5029200"/>
          <a:ext cx="0" cy="4318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101600</xdr:colOff>
      <xdr:row>31</xdr:row>
      <xdr:rowOff>127000</xdr:rowOff>
    </xdr:from>
    <xdr:to>
      <xdr:col>17</xdr:col>
      <xdr:colOff>1054100</xdr:colOff>
      <xdr:row>31</xdr:row>
      <xdr:rowOff>127000</xdr:rowOff>
    </xdr:to>
    <xdr:sp macro="" textlink="">
      <xdr:nvSpPr>
        <xdr:cNvPr id="5600737" name="Line 286">
          <a:extLst>
            <a:ext uri="{FF2B5EF4-FFF2-40B4-BE49-F238E27FC236}">
              <a16:creationId xmlns:a16="http://schemas.microsoft.com/office/drawing/2014/main" id="{00000000-0008-0000-0700-0000E1755500}"/>
            </a:ext>
          </a:extLst>
        </xdr:cNvPr>
        <xdr:cNvSpPr>
          <a:spLocks noChangeShapeType="1"/>
        </xdr:cNvSpPr>
      </xdr:nvSpPr>
      <xdr:spPr bwMode="auto">
        <a:xfrm flipV="1">
          <a:off x="14922500" y="5422900"/>
          <a:ext cx="95250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736600</xdr:colOff>
      <xdr:row>16</xdr:row>
      <xdr:rowOff>63500</xdr:rowOff>
    </xdr:from>
    <xdr:to>
      <xdr:col>18</xdr:col>
      <xdr:colOff>558800</xdr:colOff>
      <xdr:row>16</xdr:row>
      <xdr:rowOff>63500</xdr:rowOff>
    </xdr:to>
    <xdr:sp macro="" textlink="">
      <xdr:nvSpPr>
        <xdr:cNvPr id="5600738" name="Line 287">
          <a:extLst>
            <a:ext uri="{FF2B5EF4-FFF2-40B4-BE49-F238E27FC236}">
              <a16:creationId xmlns:a16="http://schemas.microsoft.com/office/drawing/2014/main" id="{00000000-0008-0000-0700-0000E2755500}"/>
            </a:ext>
          </a:extLst>
        </xdr:cNvPr>
        <xdr:cNvSpPr>
          <a:spLocks noChangeShapeType="1"/>
        </xdr:cNvSpPr>
      </xdr:nvSpPr>
      <xdr:spPr bwMode="auto">
        <a:xfrm flipV="1">
          <a:off x="15557500" y="2832100"/>
          <a:ext cx="106680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914400</xdr:colOff>
      <xdr:row>14</xdr:row>
      <xdr:rowOff>127000</xdr:rowOff>
    </xdr:from>
    <xdr:to>
      <xdr:col>19</xdr:col>
      <xdr:colOff>25400</xdr:colOff>
      <xdr:row>14</xdr:row>
      <xdr:rowOff>127000</xdr:rowOff>
    </xdr:to>
    <xdr:sp macro="" textlink="">
      <xdr:nvSpPr>
        <xdr:cNvPr id="5600739" name="Line 289">
          <a:extLst>
            <a:ext uri="{FF2B5EF4-FFF2-40B4-BE49-F238E27FC236}">
              <a16:creationId xmlns:a16="http://schemas.microsoft.com/office/drawing/2014/main" id="{00000000-0008-0000-0700-0000E3755500}"/>
            </a:ext>
          </a:extLst>
        </xdr:cNvPr>
        <xdr:cNvSpPr>
          <a:spLocks noChangeShapeType="1"/>
        </xdr:cNvSpPr>
      </xdr:nvSpPr>
      <xdr:spPr bwMode="auto">
        <a:xfrm>
          <a:off x="15735300" y="2565400"/>
          <a:ext cx="16002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749300</xdr:colOff>
      <xdr:row>15</xdr:row>
      <xdr:rowOff>127000</xdr:rowOff>
    </xdr:from>
    <xdr:to>
      <xdr:col>19</xdr:col>
      <xdr:colOff>50800</xdr:colOff>
      <xdr:row>15</xdr:row>
      <xdr:rowOff>127000</xdr:rowOff>
    </xdr:to>
    <xdr:sp macro="" textlink="">
      <xdr:nvSpPr>
        <xdr:cNvPr id="5600740" name="Line 290">
          <a:extLst>
            <a:ext uri="{FF2B5EF4-FFF2-40B4-BE49-F238E27FC236}">
              <a16:creationId xmlns:a16="http://schemas.microsoft.com/office/drawing/2014/main" id="{00000000-0008-0000-0700-0000E4755500}"/>
            </a:ext>
          </a:extLst>
        </xdr:cNvPr>
        <xdr:cNvSpPr>
          <a:spLocks noChangeShapeType="1"/>
        </xdr:cNvSpPr>
      </xdr:nvSpPr>
      <xdr:spPr bwMode="auto">
        <a:xfrm>
          <a:off x="15570200" y="2730500"/>
          <a:ext cx="17907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736600</xdr:colOff>
      <xdr:row>18</xdr:row>
      <xdr:rowOff>63500</xdr:rowOff>
    </xdr:from>
    <xdr:to>
      <xdr:col>19</xdr:col>
      <xdr:colOff>50800</xdr:colOff>
      <xdr:row>18</xdr:row>
      <xdr:rowOff>63500</xdr:rowOff>
    </xdr:to>
    <xdr:sp macro="" textlink="">
      <xdr:nvSpPr>
        <xdr:cNvPr id="5600741" name="Line 291">
          <a:extLst>
            <a:ext uri="{FF2B5EF4-FFF2-40B4-BE49-F238E27FC236}">
              <a16:creationId xmlns:a16="http://schemas.microsoft.com/office/drawing/2014/main" id="{00000000-0008-0000-0700-0000E5755500}"/>
            </a:ext>
          </a:extLst>
        </xdr:cNvPr>
        <xdr:cNvSpPr>
          <a:spLocks noChangeShapeType="1"/>
        </xdr:cNvSpPr>
      </xdr:nvSpPr>
      <xdr:spPr bwMode="auto">
        <a:xfrm>
          <a:off x="15557500" y="3162300"/>
          <a:ext cx="18034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1041400</xdr:colOff>
      <xdr:row>19</xdr:row>
      <xdr:rowOff>139700</xdr:rowOff>
    </xdr:from>
    <xdr:to>
      <xdr:col>19</xdr:col>
      <xdr:colOff>12700</xdr:colOff>
      <xdr:row>19</xdr:row>
      <xdr:rowOff>139700</xdr:rowOff>
    </xdr:to>
    <xdr:sp macro="" textlink="">
      <xdr:nvSpPr>
        <xdr:cNvPr id="5600742" name="Line 292">
          <a:extLst>
            <a:ext uri="{FF2B5EF4-FFF2-40B4-BE49-F238E27FC236}">
              <a16:creationId xmlns:a16="http://schemas.microsoft.com/office/drawing/2014/main" id="{00000000-0008-0000-0700-0000E6755500}"/>
            </a:ext>
          </a:extLst>
        </xdr:cNvPr>
        <xdr:cNvSpPr>
          <a:spLocks noChangeShapeType="1"/>
        </xdr:cNvSpPr>
      </xdr:nvSpPr>
      <xdr:spPr bwMode="auto">
        <a:xfrm>
          <a:off x="15862300" y="3403600"/>
          <a:ext cx="14605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1244600</xdr:colOff>
      <xdr:row>1</xdr:row>
      <xdr:rowOff>0</xdr:rowOff>
    </xdr:from>
    <xdr:to>
      <xdr:col>18</xdr:col>
      <xdr:colOff>0</xdr:colOff>
      <xdr:row>14</xdr:row>
      <xdr:rowOff>127000</xdr:rowOff>
    </xdr:to>
    <xdr:sp macro="" textlink="">
      <xdr:nvSpPr>
        <xdr:cNvPr id="5600743" name="Line 293">
          <a:extLst>
            <a:ext uri="{FF2B5EF4-FFF2-40B4-BE49-F238E27FC236}">
              <a16:creationId xmlns:a16="http://schemas.microsoft.com/office/drawing/2014/main" id="{00000000-0008-0000-0700-0000E7755500}"/>
            </a:ext>
          </a:extLst>
        </xdr:cNvPr>
        <xdr:cNvSpPr>
          <a:spLocks noChangeShapeType="1"/>
        </xdr:cNvSpPr>
      </xdr:nvSpPr>
      <xdr:spPr bwMode="auto">
        <a:xfrm flipH="1">
          <a:off x="16065500" y="177800"/>
          <a:ext cx="0" cy="23876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203200</xdr:colOff>
      <xdr:row>1</xdr:row>
      <xdr:rowOff>0</xdr:rowOff>
    </xdr:from>
    <xdr:to>
      <xdr:col>18</xdr:col>
      <xdr:colOff>203200</xdr:colOff>
      <xdr:row>18</xdr:row>
      <xdr:rowOff>63500</xdr:rowOff>
    </xdr:to>
    <xdr:sp macro="" textlink="">
      <xdr:nvSpPr>
        <xdr:cNvPr id="5600744" name="Line 294">
          <a:extLst>
            <a:ext uri="{FF2B5EF4-FFF2-40B4-BE49-F238E27FC236}">
              <a16:creationId xmlns:a16="http://schemas.microsoft.com/office/drawing/2014/main" id="{00000000-0008-0000-0700-0000E8755500}"/>
            </a:ext>
          </a:extLst>
        </xdr:cNvPr>
        <xdr:cNvSpPr>
          <a:spLocks noChangeShapeType="1"/>
        </xdr:cNvSpPr>
      </xdr:nvSpPr>
      <xdr:spPr bwMode="auto">
        <a:xfrm>
          <a:off x="16268700" y="177800"/>
          <a:ext cx="0" cy="29845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25400</xdr:colOff>
      <xdr:row>14</xdr:row>
      <xdr:rowOff>127000</xdr:rowOff>
    </xdr:from>
    <xdr:to>
      <xdr:col>19</xdr:col>
      <xdr:colOff>25400</xdr:colOff>
      <xdr:row>15</xdr:row>
      <xdr:rowOff>127000</xdr:rowOff>
    </xdr:to>
    <xdr:sp macro="" textlink="">
      <xdr:nvSpPr>
        <xdr:cNvPr id="5600745" name="Line 295">
          <a:extLst>
            <a:ext uri="{FF2B5EF4-FFF2-40B4-BE49-F238E27FC236}">
              <a16:creationId xmlns:a16="http://schemas.microsoft.com/office/drawing/2014/main" id="{00000000-0008-0000-0700-0000E9755500}"/>
            </a:ext>
          </a:extLst>
        </xdr:cNvPr>
        <xdr:cNvSpPr>
          <a:spLocks noChangeShapeType="1"/>
        </xdr:cNvSpPr>
      </xdr:nvSpPr>
      <xdr:spPr bwMode="auto">
        <a:xfrm>
          <a:off x="17335500" y="2565400"/>
          <a:ext cx="0" cy="16510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12700</xdr:colOff>
      <xdr:row>18</xdr:row>
      <xdr:rowOff>63500</xdr:rowOff>
    </xdr:from>
    <xdr:to>
      <xdr:col>19</xdr:col>
      <xdr:colOff>12700</xdr:colOff>
      <xdr:row>19</xdr:row>
      <xdr:rowOff>139700</xdr:rowOff>
    </xdr:to>
    <xdr:sp macro="" textlink="">
      <xdr:nvSpPr>
        <xdr:cNvPr id="5600746" name="Line 296">
          <a:extLst>
            <a:ext uri="{FF2B5EF4-FFF2-40B4-BE49-F238E27FC236}">
              <a16:creationId xmlns:a16="http://schemas.microsoft.com/office/drawing/2014/main" id="{00000000-0008-0000-0700-0000EA755500}"/>
            </a:ext>
          </a:extLst>
        </xdr:cNvPr>
        <xdr:cNvSpPr>
          <a:spLocks noChangeShapeType="1"/>
        </xdr:cNvSpPr>
      </xdr:nvSpPr>
      <xdr:spPr bwMode="auto">
        <a:xfrm>
          <a:off x="17322800" y="3162300"/>
          <a:ext cx="0" cy="2413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11</xdr:row>
      <xdr:rowOff>101600</xdr:rowOff>
    </xdr:from>
    <xdr:to>
      <xdr:col>17</xdr:col>
      <xdr:colOff>914400</xdr:colOff>
      <xdr:row>11</xdr:row>
      <xdr:rowOff>101600</xdr:rowOff>
    </xdr:to>
    <xdr:sp macro="" textlink="">
      <xdr:nvSpPr>
        <xdr:cNvPr id="5600747" name="Line 297">
          <a:extLst>
            <a:ext uri="{FF2B5EF4-FFF2-40B4-BE49-F238E27FC236}">
              <a16:creationId xmlns:a16="http://schemas.microsoft.com/office/drawing/2014/main" id="{00000000-0008-0000-0700-0000EB755500}"/>
            </a:ext>
          </a:extLst>
        </xdr:cNvPr>
        <xdr:cNvSpPr>
          <a:spLocks noChangeShapeType="1"/>
        </xdr:cNvSpPr>
      </xdr:nvSpPr>
      <xdr:spPr bwMode="auto">
        <a:xfrm>
          <a:off x="14820900" y="20320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16</xdr:row>
      <xdr:rowOff>63500</xdr:rowOff>
    </xdr:from>
    <xdr:to>
      <xdr:col>17</xdr:col>
      <xdr:colOff>749300</xdr:colOff>
      <xdr:row>16</xdr:row>
      <xdr:rowOff>63500</xdr:rowOff>
    </xdr:to>
    <xdr:sp macro="" textlink="">
      <xdr:nvSpPr>
        <xdr:cNvPr id="5600748" name="Line 298">
          <a:extLst>
            <a:ext uri="{FF2B5EF4-FFF2-40B4-BE49-F238E27FC236}">
              <a16:creationId xmlns:a16="http://schemas.microsoft.com/office/drawing/2014/main" id="{00000000-0008-0000-0700-0000EC755500}"/>
            </a:ext>
          </a:extLst>
        </xdr:cNvPr>
        <xdr:cNvSpPr>
          <a:spLocks noChangeShapeType="1"/>
        </xdr:cNvSpPr>
      </xdr:nvSpPr>
      <xdr:spPr bwMode="auto">
        <a:xfrm>
          <a:off x="14820900" y="2832100"/>
          <a:ext cx="74930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558800</xdr:colOff>
      <xdr:row>31</xdr:row>
      <xdr:rowOff>127000</xdr:rowOff>
    </xdr:from>
    <xdr:to>
      <xdr:col>17</xdr:col>
      <xdr:colOff>558800</xdr:colOff>
      <xdr:row>33</xdr:row>
      <xdr:rowOff>101600</xdr:rowOff>
    </xdr:to>
    <xdr:sp macro="" textlink="">
      <xdr:nvSpPr>
        <xdr:cNvPr id="5600749" name="Line 301">
          <a:extLst>
            <a:ext uri="{FF2B5EF4-FFF2-40B4-BE49-F238E27FC236}">
              <a16:creationId xmlns:a16="http://schemas.microsoft.com/office/drawing/2014/main" id="{00000000-0008-0000-0700-0000ED755500}"/>
            </a:ext>
          </a:extLst>
        </xdr:cNvPr>
        <xdr:cNvSpPr>
          <a:spLocks noChangeShapeType="1"/>
        </xdr:cNvSpPr>
      </xdr:nvSpPr>
      <xdr:spPr bwMode="auto">
        <a:xfrm flipH="1">
          <a:off x="15379700" y="5422900"/>
          <a:ext cx="0" cy="330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2</xdr:row>
      <xdr:rowOff>76200</xdr:rowOff>
    </xdr:from>
    <xdr:to>
      <xdr:col>17</xdr:col>
      <xdr:colOff>165100</xdr:colOff>
      <xdr:row>2</xdr:row>
      <xdr:rowOff>76200</xdr:rowOff>
    </xdr:to>
    <xdr:sp macro="" textlink="">
      <xdr:nvSpPr>
        <xdr:cNvPr id="5600750" name="Line 302">
          <a:extLst>
            <a:ext uri="{FF2B5EF4-FFF2-40B4-BE49-F238E27FC236}">
              <a16:creationId xmlns:a16="http://schemas.microsoft.com/office/drawing/2014/main" id="{00000000-0008-0000-0700-0000EE755500}"/>
            </a:ext>
          </a:extLst>
        </xdr:cNvPr>
        <xdr:cNvSpPr>
          <a:spLocks noChangeShapeType="1"/>
        </xdr:cNvSpPr>
      </xdr:nvSpPr>
      <xdr:spPr bwMode="auto">
        <a:xfrm>
          <a:off x="14820900" y="431800"/>
          <a:ext cx="165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1943100</xdr:colOff>
      <xdr:row>10</xdr:row>
      <xdr:rowOff>88900</xdr:rowOff>
    </xdr:from>
    <xdr:to>
      <xdr:col>20</xdr:col>
      <xdr:colOff>0</xdr:colOff>
      <xdr:row>10</xdr:row>
      <xdr:rowOff>88900</xdr:rowOff>
    </xdr:to>
    <xdr:sp macro="" textlink="">
      <xdr:nvSpPr>
        <xdr:cNvPr id="5600751" name="Line 303">
          <a:extLst>
            <a:ext uri="{FF2B5EF4-FFF2-40B4-BE49-F238E27FC236}">
              <a16:creationId xmlns:a16="http://schemas.microsoft.com/office/drawing/2014/main" id="{00000000-0008-0000-0700-0000EF755500}"/>
            </a:ext>
          </a:extLst>
        </xdr:cNvPr>
        <xdr:cNvSpPr>
          <a:spLocks noChangeShapeType="1"/>
        </xdr:cNvSpPr>
      </xdr:nvSpPr>
      <xdr:spPr bwMode="auto">
        <a:xfrm flipV="1">
          <a:off x="16065500" y="1841500"/>
          <a:ext cx="21336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203200</xdr:colOff>
      <xdr:row>12</xdr:row>
      <xdr:rowOff>76200</xdr:rowOff>
    </xdr:from>
    <xdr:to>
      <xdr:col>20</xdr:col>
      <xdr:colOff>0</xdr:colOff>
      <xdr:row>12</xdr:row>
      <xdr:rowOff>76200</xdr:rowOff>
    </xdr:to>
    <xdr:sp macro="" textlink="">
      <xdr:nvSpPr>
        <xdr:cNvPr id="5600752" name="Line 304">
          <a:extLst>
            <a:ext uri="{FF2B5EF4-FFF2-40B4-BE49-F238E27FC236}">
              <a16:creationId xmlns:a16="http://schemas.microsoft.com/office/drawing/2014/main" id="{00000000-0008-0000-0700-0000F0755500}"/>
            </a:ext>
          </a:extLst>
        </xdr:cNvPr>
        <xdr:cNvSpPr>
          <a:spLocks noChangeShapeType="1"/>
        </xdr:cNvSpPr>
      </xdr:nvSpPr>
      <xdr:spPr bwMode="auto">
        <a:xfrm flipV="1">
          <a:off x="16268700" y="2184400"/>
          <a:ext cx="19304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25400</xdr:colOff>
      <xdr:row>15</xdr:row>
      <xdr:rowOff>50800</xdr:rowOff>
    </xdr:from>
    <xdr:to>
      <xdr:col>19</xdr:col>
      <xdr:colOff>863600</xdr:colOff>
      <xdr:row>15</xdr:row>
      <xdr:rowOff>50800</xdr:rowOff>
    </xdr:to>
    <xdr:sp macro="" textlink="">
      <xdr:nvSpPr>
        <xdr:cNvPr id="5600753" name="Line 305">
          <a:extLst>
            <a:ext uri="{FF2B5EF4-FFF2-40B4-BE49-F238E27FC236}">
              <a16:creationId xmlns:a16="http://schemas.microsoft.com/office/drawing/2014/main" id="{00000000-0008-0000-0700-0000F1755500}"/>
            </a:ext>
          </a:extLst>
        </xdr:cNvPr>
        <xdr:cNvSpPr>
          <a:spLocks noChangeShapeType="1"/>
        </xdr:cNvSpPr>
      </xdr:nvSpPr>
      <xdr:spPr bwMode="auto">
        <a:xfrm flipV="1">
          <a:off x="17335500" y="2654300"/>
          <a:ext cx="8382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25400</xdr:colOff>
      <xdr:row>19</xdr:row>
      <xdr:rowOff>25400</xdr:rowOff>
    </xdr:from>
    <xdr:to>
      <xdr:col>19</xdr:col>
      <xdr:colOff>889000</xdr:colOff>
      <xdr:row>19</xdr:row>
      <xdr:rowOff>25400</xdr:rowOff>
    </xdr:to>
    <xdr:sp macro="" textlink="">
      <xdr:nvSpPr>
        <xdr:cNvPr id="5600754" name="Line 308">
          <a:extLst>
            <a:ext uri="{FF2B5EF4-FFF2-40B4-BE49-F238E27FC236}">
              <a16:creationId xmlns:a16="http://schemas.microsoft.com/office/drawing/2014/main" id="{00000000-0008-0000-0700-0000F2755500}"/>
            </a:ext>
          </a:extLst>
        </xdr:cNvPr>
        <xdr:cNvSpPr>
          <a:spLocks noChangeShapeType="1"/>
        </xdr:cNvSpPr>
      </xdr:nvSpPr>
      <xdr:spPr bwMode="auto">
        <a:xfrm flipH="1" flipV="1">
          <a:off x="17335500" y="3289300"/>
          <a:ext cx="8636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none" w="sm" len="sm"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889000</xdr:colOff>
      <xdr:row>28</xdr:row>
      <xdr:rowOff>88900</xdr:rowOff>
    </xdr:from>
    <xdr:to>
      <xdr:col>16</xdr:col>
      <xdr:colOff>355600</xdr:colOff>
      <xdr:row>28</xdr:row>
      <xdr:rowOff>88900</xdr:rowOff>
    </xdr:to>
    <xdr:sp macro="" textlink="">
      <xdr:nvSpPr>
        <xdr:cNvPr id="5600755" name="Line 310">
          <a:extLst>
            <a:ext uri="{FF2B5EF4-FFF2-40B4-BE49-F238E27FC236}">
              <a16:creationId xmlns:a16="http://schemas.microsoft.com/office/drawing/2014/main" id="{00000000-0008-0000-0700-0000F3755500}"/>
            </a:ext>
          </a:extLst>
        </xdr:cNvPr>
        <xdr:cNvSpPr>
          <a:spLocks noChangeShapeType="1"/>
        </xdr:cNvSpPr>
      </xdr:nvSpPr>
      <xdr:spPr bwMode="auto">
        <a:xfrm>
          <a:off x="13931900" y="4851400"/>
          <a:ext cx="355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254000</xdr:colOff>
      <xdr:row>27</xdr:row>
      <xdr:rowOff>127000</xdr:rowOff>
    </xdr:from>
    <xdr:to>
      <xdr:col>17</xdr:col>
      <xdr:colOff>76200</xdr:colOff>
      <xdr:row>27</xdr:row>
      <xdr:rowOff>127000</xdr:rowOff>
    </xdr:to>
    <xdr:sp macro="" textlink="">
      <xdr:nvSpPr>
        <xdr:cNvPr id="5600756" name="Line 277">
          <a:extLst>
            <a:ext uri="{FF2B5EF4-FFF2-40B4-BE49-F238E27FC236}">
              <a16:creationId xmlns:a16="http://schemas.microsoft.com/office/drawing/2014/main" id="{00000000-0008-0000-0700-0000F4755500}"/>
            </a:ext>
          </a:extLst>
        </xdr:cNvPr>
        <xdr:cNvSpPr>
          <a:spLocks noChangeShapeType="1"/>
        </xdr:cNvSpPr>
      </xdr:nvSpPr>
      <xdr:spPr bwMode="auto">
        <a:xfrm>
          <a:off x="14185900" y="4711700"/>
          <a:ext cx="7112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457200</xdr:colOff>
      <xdr:row>28</xdr:row>
      <xdr:rowOff>127000</xdr:rowOff>
    </xdr:from>
    <xdr:to>
      <xdr:col>19</xdr:col>
      <xdr:colOff>88900</xdr:colOff>
      <xdr:row>28</xdr:row>
      <xdr:rowOff>127000</xdr:rowOff>
    </xdr:to>
    <xdr:sp macro="" textlink="">
      <xdr:nvSpPr>
        <xdr:cNvPr id="5600757" name="Line 280">
          <a:extLst>
            <a:ext uri="{FF2B5EF4-FFF2-40B4-BE49-F238E27FC236}">
              <a16:creationId xmlns:a16="http://schemas.microsoft.com/office/drawing/2014/main" id="{00000000-0008-0000-0700-0000F5755500}"/>
            </a:ext>
          </a:extLst>
        </xdr:cNvPr>
        <xdr:cNvSpPr>
          <a:spLocks noChangeShapeType="1"/>
        </xdr:cNvSpPr>
      </xdr:nvSpPr>
      <xdr:spPr bwMode="auto">
        <a:xfrm flipV="1">
          <a:off x="15278100" y="4889500"/>
          <a:ext cx="21209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177800</xdr:colOff>
      <xdr:row>30</xdr:row>
      <xdr:rowOff>50800</xdr:rowOff>
    </xdr:from>
    <xdr:to>
      <xdr:col>18</xdr:col>
      <xdr:colOff>1016000</xdr:colOff>
      <xdr:row>30</xdr:row>
      <xdr:rowOff>50800</xdr:rowOff>
    </xdr:to>
    <xdr:sp macro="" textlink="">
      <xdr:nvSpPr>
        <xdr:cNvPr id="5600758" name="Line 280">
          <a:extLst>
            <a:ext uri="{FF2B5EF4-FFF2-40B4-BE49-F238E27FC236}">
              <a16:creationId xmlns:a16="http://schemas.microsoft.com/office/drawing/2014/main" id="{00000000-0008-0000-0700-0000F6755500}"/>
            </a:ext>
          </a:extLst>
        </xdr:cNvPr>
        <xdr:cNvSpPr>
          <a:spLocks noChangeShapeType="1"/>
        </xdr:cNvSpPr>
      </xdr:nvSpPr>
      <xdr:spPr bwMode="auto">
        <a:xfrm>
          <a:off x="16243300" y="5168900"/>
          <a:ext cx="8382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1143000</xdr:colOff>
      <xdr:row>20</xdr:row>
      <xdr:rowOff>0</xdr:rowOff>
    </xdr:from>
    <xdr:to>
      <xdr:col>18</xdr:col>
      <xdr:colOff>177800</xdr:colOff>
      <xdr:row>30</xdr:row>
      <xdr:rowOff>50800</xdr:rowOff>
    </xdr:to>
    <xdr:sp macro="" textlink="">
      <xdr:nvSpPr>
        <xdr:cNvPr id="5600759" name="Rectangle 139">
          <a:extLst>
            <a:ext uri="{FF2B5EF4-FFF2-40B4-BE49-F238E27FC236}">
              <a16:creationId xmlns:a16="http://schemas.microsoft.com/office/drawing/2014/main" id="{00000000-0008-0000-0700-0000F7755500}"/>
            </a:ext>
          </a:extLst>
        </xdr:cNvPr>
        <xdr:cNvSpPr>
          <a:spLocks noChangeArrowheads="1"/>
        </xdr:cNvSpPr>
      </xdr:nvSpPr>
      <xdr:spPr bwMode="auto">
        <a:xfrm>
          <a:off x="15963900" y="3429000"/>
          <a:ext cx="279400" cy="1739900"/>
        </a:xfrm>
        <a:prstGeom prst="rect">
          <a:avLst/>
        </a:prstGeom>
        <a:noFill/>
        <a:ln w="9525" algn="ctr">
          <a:solidFill>
            <a:srgbClr val="00B0F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1016000</xdr:colOff>
      <xdr:row>1</xdr:row>
      <xdr:rowOff>12700</xdr:rowOff>
    </xdr:from>
    <xdr:to>
      <xdr:col>18</xdr:col>
      <xdr:colOff>1016000</xdr:colOff>
      <xdr:row>29</xdr:row>
      <xdr:rowOff>76200</xdr:rowOff>
    </xdr:to>
    <xdr:sp macro="" textlink="">
      <xdr:nvSpPr>
        <xdr:cNvPr id="5600760" name="Line 270">
          <a:extLst>
            <a:ext uri="{FF2B5EF4-FFF2-40B4-BE49-F238E27FC236}">
              <a16:creationId xmlns:a16="http://schemas.microsoft.com/office/drawing/2014/main" id="{00000000-0008-0000-0700-0000F8755500}"/>
            </a:ext>
          </a:extLst>
        </xdr:cNvPr>
        <xdr:cNvSpPr>
          <a:spLocks noChangeShapeType="1"/>
        </xdr:cNvSpPr>
      </xdr:nvSpPr>
      <xdr:spPr bwMode="auto">
        <a:xfrm flipH="1">
          <a:off x="17081500" y="190500"/>
          <a:ext cx="0" cy="48260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12700</xdr:colOff>
      <xdr:row>33</xdr:row>
      <xdr:rowOff>101600</xdr:rowOff>
    </xdr:from>
    <xdr:to>
      <xdr:col>17</xdr:col>
      <xdr:colOff>571500</xdr:colOff>
      <xdr:row>33</xdr:row>
      <xdr:rowOff>101600</xdr:rowOff>
    </xdr:to>
    <xdr:sp macro="" textlink="">
      <xdr:nvSpPr>
        <xdr:cNvPr id="5600761" name="Line 301">
          <a:extLst>
            <a:ext uri="{FF2B5EF4-FFF2-40B4-BE49-F238E27FC236}">
              <a16:creationId xmlns:a16="http://schemas.microsoft.com/office/drawing/2014/main" id="{00000000-0008-0000-0700-0000F9755500}"/>
            </a:ext>
          </a:extLst>
        </xdr:cNvPr>
        <xdr:cNvSpPr>
          <a:spLocks noChangeShapeType="1"/>
        </xdr:cNvSpPr>
      </xdr:nvSpPr>
      <xdr:spPr bwMode="auto">
        <a:xfrm>
          <a:off x="14833600" y="5753100"/>
          <a:ext cx="558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863600</xdr:colOff>
      <xdr:row>1</xdr:row>
      <xdr:rowOff>25400</xdr:rowOff>
    </xdr:from>
    <xdr:to>
      <xdr:col>18</xdr:col>
      <xdr:colOff>863600</xdr:colOff>
      <xdr:row>30</xdr:row>
      <xdr:rowOff>38100</xdr:rowOff>
    </xdr:to>
    <xdr:sp macro="" textlink="">
      <xdr:nvSpPr>
        <xdr:cNvPr id="5600762" name="Line 270">
          <a:extLst>
            <a:ext uri="{FF2B5EF4-FFF2-40B4-BE49-F238E27FC236}">
              <a16:creationId xmlns:a16="http://schemas.microsoft.com/office/drawing/2014/main" id="{00000000-0008-0000-0700-0000FA755500}"/>
            </a:ext>
          </a:extLst>
        </xdr:cNvPr>
        <xdr:cNvSpPr>
          <a:spLocks noChangeShapeType="1"/>
        </xdr:cNvSpPr>
      </xdr:nvSpPr>
      <xdr:spPr bwMode="auto">
        <a:xfrm>
          <a:off x="16929100" y="203200"/>
          <a:ext cx="0" cy="49530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6" Type="http://schemas.openxmlformats.org/officeDocument/2006/relationships/comments" Target="../comments1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3" Type="http://schemas.openxmlformats.org/officeDocument/2006/relationships/oleObject" Target="../embeddings/oleObject1.bin"/><Relationship Id="rId7" Type="http://schemas.openxmlformats.org/officeDocument/2006/relationships/ctrlProp" Target="../ctrlProps/ctrlProp1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10" Type="http://schemas.openxmlformats.org/officeDocument/2006/relationships/comments" Target="../comments2.xml"/><Relationship Id="rId4" Type="http://schemas.openxmlformats.org/officeDocument/2006/relationships/image" Target="../media/image6.emf"/><Relationship Id="rId9" Type="http://schemas.openxmlformats.org/officeDocument/2006/relationships/ctrlProp" Target="../ctrlProps/ctrlProp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7.emf"/><Relationship Id="rId21" Type="http://schemas.openxmlformats.org/officeDocument/2006/relationships/oleObject" Target="../embeddings/oleObject10.bin"/><Relationship Id="rId42" Type="http://schemas.openxmlformats.org/officeDocument/2006/relationships/image" Target="../media/image25.emf"/><Relationship Id="rId47" Type="http://schemas.openxmlformats.org/officeDocument/2006/relationships/oleObject" Target="../embeddings/oleObject23.bin"/><Relationship Id="rId63" Type="http://schemas.openxmlformats.org/officeDocument/2006/relationships/oleObject" Target="../embeddings/oleObject31.bin"/><Relationship Id="rId68" Type="http://schemas.openxmlformats.org/officeDocument/2006/relationships/image" Target="../media/image38.emf"/><Relationship Id="rId2" Type="http://schemas.openxmlformats.org/officeDocument/2006/relationships/hyperlink" Target="http://www.planete-sciences.org/espace/basedoc/" TargetMode="External"/><Relationship Id="rId16" Type="http://schemas.openxmlformats.org/officeDocument/2006/relationships/image" Target="../media/image12.emf"/><Relationship Id="rId29" Type="http://schemas.openxmlformats.org/officeDocument/2006/relationships/oleObject" Target="../embeddings/oleObject14.bin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16.emf"/><Relationship Id="rId32" Type="http://schemas.openxmlformats.org/officeDocument/2006/relationships/image" Target="../media/image20.emf"/><Relationship Id="rId37" Type="http://schemas.openxmlformats.org/officeDocument/2006/relationships/oleObject" Target="../embeddings/oleObject18.bin"/><Relationship Id="rId40" Type="http://schemas.openxmlformats.org/officeDocument/2006/relationships/image" Target="../media/image24.emf"/><Relationship Id="rId45" Type="http://schemas.openxmlformats.org/officeDocument/2006/relationships/oleObject" Target="../embeddings/oleObject22.bin"/><Relationship Id="rId53" Type="http://schemas.openxmlformats.org/officeDocument/2006/relationships/oleObject" Target="../embeddings/oleObject26.bin"/><Relationship Id="rId58" Type="http://schemas.openxmlformats.org/officeDocument/2006/relationships/image" Target="../media/image33.emf"/><Relationship Id="rId66" Type="http://schemas.openxmlformats.org/officeDocument/2006/relationships/image" Target="../media/image37.emf"/><Relationship Id="rId74" Type="http://schemas.openxmlformats.org/officeDocument/2006/relationships/image" Target="../media/image41.emf"/><Relationship Id="rId5" Type="http://schemas.openxmlformats.org/officeDocument/2006/relationships/oleObject" Target="../embeddings/oleObject2.bin"/><Relationship Id="rId61" Type="http://schemas.openxmlformats.org/officeDocument/2006/relationships/oleObject" Target="../embeddings/oleObject30.bin"/><Relationship Id="rId19" Type="http://schemas.openxmlformats.org/officeDocument/2006/relationships/oleObject" Target="../embeddings/oleObject9.bin"/><Relationship Id="rId14" Type="http://schemas.openxmlformats.org/officeDocument/2006/relationships/image" Target="../media/image11.emf"/><Relationship Id="rId22" Type="http://schemas.openxmlformats.org/officeDocument/2006/relationships/image" Target="../media/image15.emf"/><Relationship Id="rId27" Type="http://schemas.openxmlformats.org/officeDocument/2006/relationships/oleObject" Target="../embeddings/oleObject13.bin"/><Relationship Id="rId30" Type="http://schemas.openxmlformats.org/officeDocument/2006/relationships/image" Target="../media/image19.emf"/><Relationship Id="rId35" Type="http://schemas.openxmlformats.org/officeDocument/2006/relationships/oleObject" Target="../embeddings/oleObject17.bin"/><Relationship Id="rId43" Type="http://schemas.openxmlformats.org/officeDocument/2006/relationships/oleObject" Target="../embeddings/oleObject21.bin"/><Relationship Id="rId48" Type="http://schemas.openxmlformats.org/officeDocument/2006/relationships/image" Target="../media/image28.emf"/><Relationship Id="rId56" Type="http://schemas.openxmlformats.org/officeDocument/2006/relationships/image" Target="../media/image32.emf"/><Relationship Id="rId64" Type="http://schemas.openxmlformats.org/officeDocument/2006/relationships/image" Target="../media/image36.emf"/><Relationship Id="rId69" Type="http://schemas.openxmlformats.org/officeDocument/2006/relationships/oleObject" Target="../embeddings/oleObject34.bin"/><Relationship Id="rId8" Type="http://schemas.openxmlformats.org/officeDocument/2006/relationships/image" Target="../media/image8.emf"/><Relationship Id="rId51" Type="http://schemas.openxmlformats.org/officeDocument/2006/relationships/oleObject" Target="../embeddings/oleObject25.bin"/><Relationship Id="rId72" Type="http://schemas.openxmlformats.org/officeDocument/2006/relationships/image" Target="../media/image40.emf"/><Relationship Id="rId3" Type="http://schemas.openxmlformats.org/officeDocument/2006/relationships/drawing" Target="../drawings/drawing5.xml"/><Relationship Id="rId12" Type="http://schemas.openxmlformats.org/officeDocument/2006/relationships/image" Target="../media/image10.e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33" Type="http://schemas.openxmlformats.org/officeDocument/2006/relationships/oleObject" Target="../embeddings/oleObject16.bin"/><Relationship Id="rId38" Type="http://schemas.openxmlformats.org/officeDocument/2006/relationships/image" Target="../media/image23.emf"/><Relationship Id="rId46" Type="http://schemas.openxmlformats.org/officeDocument/2006/relationships/image" Target="../media/image27.emf"/><Relationship Id="rId59" Type="http://schemas.openxmlformats.org/officeDocument/2006/relationships/oleObject" Target="../embeddings/oleObject29.bin"/><Relationship Id="rId67" Type="http://schemas.openxmlformats.org/officeDocument/2006/relationships/oleObject" Target="../embeddings/oleObject33.bin"/><Relationship Id="rId20" Type="http://schemas.openxmlformats.org/officeDocument/2006/relationships/image" Target="../media/image14.emf"/><Relationship Id="rId41" Type="http://schemas.openxmlformats.org/officeDocument/2006/relationships/oleObject" Target="../embeddings/oleObject20.bin"/><Relationship Id="rId54" Type="http://schemas.openxmlformats.org/officeDocument/2006/relationships/image" Target="../media/image31.emf"/><Relationship Id="rId62" Type="http://schemas.openxmlformats.org/officeDocument/2006/relationships/image" Target="../media/image35.emf"/><Relationship Id="rId70" Type="http://schemas.openxmlformats.org/officeDocument/2006/relationships/image" Target="../media/image39.emf"/><Relationship Id="rId75" Type="http://schemas.openxmlformats.org/officeDocument/2006/relationships/oleObject" Target="../embeddings/oleObject37.bin"/><Relationship Id="rId1" Type="http://schemas.openxmlformats.org/officeDocument/2006/relationships/hyperlink" Target="http://en.wikipedia.org/wiki/Template:Numerical_integrators" TargetMode="External"/><Relationship Id="rId6" Type="http://schemas.openxmlformats.org/officeDocument/2006/relationships/image" Target="../media/image7.emf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8.emf"/><Relationship Id="rId36" Type="http://schemas.openxmlformats.org/officeDocument/2006/relationships/image" Target="../media/image22.emf"/><Relationship Id="rId49" Type="http://schemas.openxmlformats.org/officeDocument/2006/relationships/oleObject" Target="../embeddings/oleObject24.bin"/><Relationship Id="rId57" Type="http://schemas.openxmlformats.org/officeDocument/2006/relationships/oleObject" Target="../embeddings/oleObject28.bin"/><Relationship Id="rId10" Type="http://schemas.openxmlformats.org/officeDocument/2006/relationships/image" Target="../media/image9.emf"/><Relationship Id="rId31" Type="http://schemas.openxmlformats.org/officeDocument/2006/relationships/oleObject" Target="../embeddings/oleObject15.bin"/><Relationship Id="rId44" Type="http://schemas.openxmlformats.org/officeDocument/2006/relationships/image" Target="../media/image26.emf"/><Relationship Id="rId52" Type="http://schemas.openxmlformats.org/officeDocument/2006/relationships/image" Target="../media/image30.emf"/><Relationship Id="rId60" Type="http://schemas.openxmlformats.org/officeDocument/2006/relationships/image" Target="../media/image34.emf"/><Relationship Id="rId65" Type="http://schemas.openxmlformats.org/officeDocument/2006/relationships/oleObject" Target="../embeddings/oleObject32.bin"/><Relationship Id="rId73" Type="http://schemas.openxmlformats.org/officeDocument/2006/relationships/oleObject" Target="../embeddings/oleObject36.bin"/><Relationship Id="rId4" Type="http://schemas.openxmlformats.org/officeDocument/2006/relationships/vmlDrawing" Target="../drawings/vmlDrawing3.vml"/><Relationship Id="rId9" Type="http://schemas.openxmlformats.org/officeDocument/2006/relationships/oleObject" Target="../embeddings/oleObject4.bin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13.emf"/><Relationship Id="rId39" Type="http://schemas.openxmlformats.org/officeDocument/2006/relationships/oleObject" Target="../embeddings/oleObject19.bin"/><Relationship Id="rId34" Type="http://schemas.openxmlformats.org/officeDocument/2006/relationships/image" Target="../media/image21.emf"/><Relationship Id="rId50" Type="http://schemas.openxmlformats.org/officeDocument/2006/relationships/image" Target="../media/image29.emf"/><Relationship Id="rId55" Type="http://schemas.openxmlformats.org/officeDocument/2006/relationships/oleObject" Target="../embeddings/oleObject27.bin"/><Relationship Id="rId76" Type="http://schemas.openxmlformats.org/officeDocument/2006/relationships/image" Target="../media/image42.emf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3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8.bin"/><Relationship Id="rId7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20.xml"/><Relationship Id="rId5" Type="http://schemas.openxmlformats.org/officeDocument/2006/relationships/ctrlProp" Target="../ctrlProps/ctrlProp19.xml"/><Relationship Id="rId4" Type="http://schemas.openxmlformats.org/officeDocument/2006/relationships/image" Target="../media/image43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reativecommons.org/licenses/by-sa/3.0/" TargetMode="External"/><Relationship Id="rId2" Type="http://schemas.openxmlformats.org/officeDocument/2006/relationships/hyperlink" Target="mailto:espace@planete-sciences.org" TargetMode="External"/><Relationship Id="rId1" Type="http://schemas.openxmlformats.org/officeDocument/2006/relationships/hyperlink" Target="http://www.planete-sciences.org/espace/basedoc/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EE12-8C19-9F4B-B63B-E6B4AC5B4D7E}">
  <sheetPr codeName="Feuil2">
    <pageSetUpPr fitToPage="1"/>
  </sheetPr>
  <dimension ref="A1:W361"/>
  <sheetViews>
    <sheetView showGridLines="0" tabSelected="1" zoomScale="130" zoomScaleNormal="130" zoomScaleSheetLayoutView="100" workbookViewId="0">
      <selection activeCell="C8" sqref="C8:D8"/>
    </sheetView>
  </sheetViews>
  <sheetFormatPr baseColWidth="10" defaultColWidth="11.42578125" defaultRowHeight="12.75" x14ac:dyDescent="0.2"/>
  <cols>
    <col min="1" max="1" width="2.140625" style="24" customWidth="1"/>
    <col min="2" max="2" width="16.42578125" style="24" customWidth="1"/>
    <col min="3" max="3" width="12.85546875" style="31" customWidth="1"/>
    <col min="4" max="4" width="12.85546875" style="24" customWidth="1"/>
    <col min="5" max="5" width="4.140625" style="89" customWidth="1"/>
    <col min="6" max="6" width="10.140625" style="26" bestFit="1" customWidth="1"/>
    <col min="7" max="7" width="10" style="26" bestFit="1" customWidth="1"/>
    <col min="8" max="9" width="8.5703125" style="26" customWidth="1"/>
    <col min="10" max="10" width="5.42578125" style="24" customWidth="1"/>
    <col min="11" max="11" width="2.140625" style="24" customWidth="1"/>
    <col min="12" max="12" width="17" style="24" customWidth="1"/>
    <col min="13" max="13" width="8.5703125" style="24" customWidth="1"/>
    <col min="14" max="15" width="4.42578125" style="24" customWidth="1"/>
    <col min="16" max="16" width="8.5703125" style="24" customWidth="1"/>
    <col min="17" max="18" width="2.140625" style="24" customWidth="1"/>
    <col min="19" max="16384" width="11.42578125" style="24"/>
  </cols>
  <sheetData>
    <row r="1" spans="1:20" ht="12.75" customHeight="1" x14ac:dyDescent="0.2">
      <c r="A1" s="19"/>
      <c r="B1" s="20"/>
      <c r="C1" s="21"/>
      <c r="D1" s="20"/>
      <c r="E1" s="88"/>
      <c r="F1" s="22"/>
      <c r="G1" s="22"/>
      <c r="H1" s="22"/>
      <c r="I1" s="22"/>
      <c r="J1" s="20"/>
      <c r="K1" s="20"/>
      <c r="L1" s="20"/>
      <c r="M1" s="20"/>
      <c r="N1" s="20"/>
      <c r="O1" s="20"/>
      <c r="P1" s="20"/>
      <c r="Q1" s="23"/>
    </row>
    <row r="2" spans="1:20" ht="12.75" customHeight="1" x14ac:dyDescent="0.2">
      <c r="A2" s="25"/>
      <c r="C2" s="554" t="s">
        <v>56</v>
      </c>
      <c r="D2" s="554"/>
      <c r="L2" s="147" t="str">
        <f>"Language/Langue"</f>
        <v>Language/Langue</v>
      </c>
      <c r="M2" s="570" t="s">
        <v>1</v>
      </c>
      <c r="N2" s="570"/>
      <c r="O2" s="570"/>
      <c r="P2" s="571"/>
      <c r="Q2" s="27"/>
    </row>
    <row r="3" spans="1:20" ht="12.75" customHeight="1" x14ac:dyDescent="0.2">
      <c r="A3" s="25"/>
      <c r="C3" s="554"/>
      <c r="D3" s="554"/>
      <c r="L3" s="578"/>
      <c r="M3" s="578"/>
      <c r="N3" s="45"/>
      <c r="Q3" s="27"/>
    </row>
    <row r="4" spans="1:20" ht="12.75" customHeight="1" x14ac:dyDescent="0.2">
      <c r="A4" s="25"/>
      <c r="C4" s="555" t="str">
        <f>IF(Lang="Français","Stabilité de fusée à ailerons",IF(Lang="English","Stability for rocket with fins",""))</f>
        <v>Stabilité de fusée à ailerons</v>
      </c>
      <c r="D4" s="555"/>
      <c r="L4" s="33"/>
      <c r="M4" s="570" t="s">
        <v>552</v>
      </c>
      <c r="N4" s="570"/>
      <c r="O4" s="570"/>
      <c r="P4" s="571"/>
      <c r="Q4" s="27"/>
    </row>
    <row r="5" spans="1:20" ht="12.75" customHeight="1" x14ac:dyDescent="0.25">
      <c r="A5" s="25"/>
      <c r="B5" s="28"/>
      <c r="C5" s="535"/>
      <c r="D5" s="535"/>
      <c r="L5" s="33"/>
      <c r="M5" s="576" t="s">
        <v>159</v>
      </c>
      <c r="N5" s="577"/>
      <c r="O5" s="581" t="s">
        <v>160</v>
      </c>
      <c r="P5" s="581"/>
      <c r="Q5" s="29"/>
    </row>
    <row r="6" spans="1:20" ht="12.75" customHeight="1" thickBot="1" x14ac:dyDescent="0.25">
      <c r="A6" s="25"/>
      <c r="B6" s="87"/>
      <c r="C6" s="548" t="str">
        <f>IF(Lang="Français","Remplir les cases jaunes",IF(Lang="English","Fill-in yellow cells only",""))</f>
        <v>Remplir les cases jaunes</v>
      </c>
      <c r="D6" s="548"/>
      <c r="L6" s="139" t="str">
        <f>IF(Lang="Français","Longueur      'L'",IF(Lang="English","Length      'L'",""))</f>
        <v>Longueur      'L'</v>
      </c>
      <c r="M6" s="549">
        <v>150</v>
      </c>
      <c r="N6" s="550"/>
      <c r="O6" s="567">
        <v>50</v>
      </c>
      <c r="P6" s="567"/>
      <c r="Q6" s="29"/>
    </row>
    <row r="7" spans="1:20" ht="12.75" customHeight="1" thickTop="1" thickBot="1" x14ac:dyDescent="0.25">
      <c r="A7" s="25"/>
      <c r="B7" s="31"/>
      <c r="C7" s="557" t="str">
        <f>IF(Lang="Français","Fusée",IF(Lang="English","Rocket",""))</f>
        <v>Fusée</v>
      </c>
      <c r="D7" s="558"/>
      <c r="L7" s="139" t="str">
        <f>IF(Lang="Français","Diamètre     'D1'",IF(Lang="English","Diameter 'D1'",""))</f>
        <v>Diamètre     'D1'</v>
      </c>
      <c r="M7" s="549">
        <f>D_og</f>
        <v>84</v>
      </c>
      <c r="N7" s="550"/>
      <c r="O7" s="567">
        <f>D_ref</f>
        <v>84</v>
      </c>
      <c r="P7" s="567"/>
      <c r="Q7" s="29"/>
    </row>
    <row r="8" spans="1:20" ht="12.75" customHeight="1" thickTop="1" x14ac:dyDescent="0.2">
      <c r="A8" s="25"/>
      <c r="B8" s="138" t="str">
        <f>IF(Lang="Français","Nom",IF(Lang="English","Name",""))</f>
        <v>Nom</v>
      </c>
      <c r="C8" s="561" t="s">
        <v>555</v>
      </c>
      <c r="D8" s="561"/>
      <c r="E8" s="90"/>
      <c r="K8" s="33"/>
      <c r="L8" s="139" t="str">
        <f>IF(Lang="Français","Diamètre     'D2'",IF(Lang="English","Diameter 'D2'",""))</f>
        <v>Diamètre     'D2'</v>
      </c>
      <c r="M8" s="549">
        <f>D_ref</f>
        <v>84</v>
      </c>
      <c r="N8" s="550"/>
      <c r="O8" s="567">
        <v>84</v>
      </c>
      <c r="P8" s="567"/>
      <c r="Q8" s="29"/>
    </row>
    <row r="9" spans="1:20" ht="12.75" customHeight="1" x14ac:dyDescent="0.2">
      <c r="A9" s="25"/>
      <c r="B9" s="138" t="s">
        <v>4</v>
      </c>
      <c r="C9" s="562" t="s">
        <v>553</v>
      </c>
      <c r="D9" s="562"/>
      <c r="E9" s="90"/>
      <c r="K9" s="33"/>
      <c r="L9" s="139" t="str">
        <f>IF(Lang="Français","Implantation 'x'",IF(Lang="English","Basement 'x'",""))</f>
        <v>Implantation 'x'</v>
      </c>
      <c r="M9" s="549">
        <v>0</v>
      </c>
      <c r="N9" s="550"/>
      <c r="O9" s="567">
        <f>Long_tot-l_r</f>
        <v>850</v>
      </c>
      <c r="P9" s="567"/>
      <c r="Q9" s="29"/>
    </row>
    <row r="10" spans="1:20" ht="12.75" customHeight="1" x14ac:dyDescent="0.2">
      <c r="A10" s="25"/>
      <c r="B10" s="139" t="s">
        <v>57</v>
      </c>
      <c r="C10" s="559" t="s">
        <v>554</v>
      </c>
      <c r="D10" s="560"/>
      <c r="E10" s="90"/>
      <c r="K10" s="33"/>
      <c r="Q10" s="29"/>
    </row>
    <row r="11" spans="1:20" ht="12.75" customHeight="1" x14ac:dyDescent="0.2">
      <c r="A11" s="25"/>
      <c r="B11" s="139" t="str">
        <f>IF(Lang="Français","Masse",IF(Lang="English","Weight",""))</f>
        <v>Masse</v>
      </c>
      <c r="C11" s="222">
        <v>2000</v>
      </c>
      <c r="D11" s="34" t="s">
        <v>427</v>
      </c>
      <c r="E11" s="90"/>
      <c r="K11" s="33"/>
      <c r="L11" s="107"/>
      <c r="M11" s="224" t="str">
        <f>IF(Lang="Français","Propu plein",IF(Lang="English","Loaded Motor",""))</f>
        <v>Propu plein</v>
      </c>
      <c r="N11" s="579" t="str">
        <f>IF(Lang="Français","Propu vide",IF(Lang="English","Empty Motor",""))</f>
        <v>Propu vide</v>
      </c>
      <c r="O11" s="580"/>
      <c r="P11" s="224" t="str">
        <f>IF(Lang="Français","Sans propu",IF(Lang="English","Without M",""))</f>
        <v>Sans propu</v>
      </c>
      <c r="Q11" s="29"/>
      <c r="S11" s="385"/>
      <c r="T11" s="386" t="str">
        <f>IF(Lang="Français","Propulseur",IF(Lang="English","Motor",""))</f>
        <v>Propulseur</v>
      </c>
    </row>
    <row r="12" spans="1:20" ht="12.75" customHeight="1" x14ac:dyDescent="0.2">
      <c r="A12" s="25"/>
      <c r="B12" s="139" t="str">
        <f>IF(Lang="Français","Centre de Masse",IF(Lang="English","Center of Mass",""))</f>
        <v>Centre de Masse</v>
      </c>
      <c r="C12" s="35">
        <v>500</v>
      </c>
      <c r="D12" s="34" t="s">
        <v>427</v>
      </c>
      <c r="L12" s="108" t="str">
        <f>IF(Lang="Français","Masse propu",IF(Lang="English","Motor Mass",""))</f>
        <v>Masse propu</v>
      </c>
      <c r="M12" s="109">
        <f ca="1">MpropuPlein</f>
        <v>0.15989999999999999</v>
      </c>
      <c r="N12" s="574">
        <f ca="1">MpropuVide</f>
        <v>8.43E-2</v>
      </c>
      <c r="O12" s="575"/>
      <c r="P12" s="110" t="s">
        <v>14</v>
      </c>
      <c r="Q12" s="29"/>
      <c r="S12" s="386" t="str">
        <f>IF(Lang="Français","Haut",IF(Lang="English","Top",""))</f>
        <v>Haut</v>
      </c>
      <c r="T12" s="387">
        <f ca="1">XpropuRef-Long_propu</f>
        <v>622</v>
      </c>
    </row>
    <row r="13" spans="1:20" ht="12.75" customHeight="1" x14ac:dyDescent="0.2">
      <c r="A13" s="25"/>
      <c r="B13" s="139" t="str">
        <f>IF(Lang="Français","Longueur totale",IF(Lang="English","Total length",""))</f>
        <v>Longueur totale</v>
      </c>
      <c r="C13" s="549">
        <v>900</v>
      </c>
      <c r="D13" s="550"/>
      <c r="L13" s="108" t="str">
        <f>IF(Lang="Français","CdM propu",IF(Lang="English","Motor CoM",""))</f>
        <v>CdM propu</v>
      </c>
      <c r="M13" s="111">
        <f ca="1">XpropuPlein</f>
        <v>114</v>
      </c>
      <c r="N13" s="572">
        <f ca="1">XpropuVide</f>
        <v>114</v>
      </c>
      <c r="O13" s="573"/>
      <c r="P13" s="110" t="s">
        <v>14</v>
      </c>
      <c r="Q13" s="29"/>
      <c r="S13" s="386" t="str">
        <f>IF(Lang="Français","Longueur",IF(Lang="English","Length",""))</f>
        <v>Longueur</v>
      </c>
      <c r="T13" s="387">
        <f ca="1">Long_propu</f>
        <v>228</v>
      </c>
    </row>
    <row r="14" spans="1:20" ht="12.75" customHeight="1" x14ac:dyDescent="0.2">
      <c r="A14" s="25"/>
      <c r="B14" s="139" t="str">
        <f>IF(Lang="Français","Diamètre Réf.",IF(Lang="English","Ref. Diameter",""))</f>
        <v>Diamètre Réf.</v>
      </c>
      <c r="C14" s="549">
        <v>84</v>
      </c>
      <c r="D14" s="550"/>
      <c r="L14" s="108" t="str">
        <f>IF(Lang="Français","Masse fusée",IF(Lang="English","Rocket Mass",""))</f>
        <v>Masse fusée</v>
      </c>
      <c r="M14" s="112">
        <f ca="1">MasseSans+MpropuPlein</f>
        <v>2.1598999999999999</v>
      </c>
      <c r="N14" s="563">
        <f ca="1">MasseSans+MpropuVide</f>
        <v>2.0842999999999998</v>
      </c>
      <c r="O14" s="564"/>
      <c r="P14" s="109">
        <f>IF(OR(D11="sans propu",D11="without motor"),C11/1000,IF(OR(D11="avec propu vide",D11="with empty motor"),C11/1000-MpropuVide,IF(OR(D11="avec propu plein",D11="with loaded motor"),C11/1000-MpropuPlein,"Erreur")))</f>
        <v>2</v>
      </c>
      <c r="Q14" s="29"/>
      <c r="S14" s="386" t="str">
        <f>IF(Lang="Français","Bas",IF(Lang="English","Base",""))</f>
        <v>Bas</v>
      </c>
      <c r="T14" s="387">
        <f>XpropuRef</f>
        <v>850</v>
      </c>
    </row>
    <row r="15" spans="1:20" ht="12.75" customHeight="1" thickBot="1" x14ac:dyDescent="0.25">
      <c r="A15" s="25"/>
      <c r="D15" s="31"/>
      <c r="L15" s="175" t="str">
        <f>IF(Lang="Français","CdM fusée",IF(Lang="English","Rocket CoM",""))</f>
        <v>CdM fusée</v>
      </c>
      <c r="M15" s="176">
        <f ca="1">(XcgSans*MasseSans+(XpropuRef-Long_propu+XpropuPlein)*MpropuPlein)/MassePlein</f>
        <v>517.47136441501925</v>
      </c>
      <c r="N15" s="565">
        <f ca="1">(XcgSans*MasseSans+(XpropuRef-Long_propu+XpropuVide)*MpropuVide)/MasseVide</f>
        <v>509.54507508516048</v>
      </c>
      <c r="O15" s="566"/>
      <c r="P15" s="113">
        <f>IF(OR(D12="sans propu",D12="without motor"),C12,IF(OR(D12="avec propu vide",D12="with empty motor"),(C12*MasseVide-(XpropuRef-Long_propu+XpropuVide)*MpropuVide)/MasseSans,IF(OR(D12="avec propu plein",D12="with loaded motor"),(C12*MassePlein-(XpropuRef-Long_propu+XpropuPlein)*MpropuPlein)/MasseSans,"Erreur")))</f>
        <v>500</v>
      </c>
      <c r="Q15" s="29"/>
    </row>
    <row r="16" spans="1:20" ht="12.75" customHeight="1" thickTop="1" thickBot="1" x14ac:dyDescent="0.25">
      <c r="A16" s="25"/>
      <c r="C16" s="537" t="str">
        <f>IF(Lang="Français","Propulseur",IF(Lang="English","Motor",""))</f>
        <v>Propulseur</v>
      </c>
      <c r="D16" s="538"/>
      <c r="L16" s="94"/>
      <c r="M16" s="94"/>
      <c r="N16" s="94"/>
      <c r="O16" s="94"/>
      <c r="P16" s="94"/>
      <c r="Q16" s="29"/>
      <c r="S16" s="385"/>
      <c r="T16" s="386" t="str">
        <f>IF(RIGHT(Type_masquage,1)=",",IF(Lang="Français","Ailerons","Fins"),IF(Lang="Français","Ailerons bas","Lower Fins"))</f>
        <v>Ailerons bas</v>
      </c>
    </row>
    <row r="17" spans="1:20" ht="12.75" customHeight="1" thickTop="1" x14ac:dyDescent="0.2">
      <c r="A17" s="25"/>
      <c r="B17" s="139" t="s">
        <v>57</v>
      </c>
      <c r="C17" s="539" t="s">
        <v>547</v>
      </c>
      <c r="D17" s="540"/>
      <c r="L17" s="114"/>
      <c r="M17" s="589" t="s">
        <v>58</v>
      </c>
      <c r="N17" s="590"/>
      <c r="O17" s="582" t="s">
        <v>68</v>
      </c>
      <c r="P17" s="582"/>
      <c r="Q17" s="29"/>
      <c r="S17" s="386" t="str">
        <f>IF(Lang="Français","Haut","Top")</f>
        <v>Haut</v>
      </c>
      <c r="T17" s="387">
        <f>X_ail-m_ail</f>
        <v>720</v>
      </c>
    </row>
    <row r="18" spans="1:20" ht="12.75" customHeight="1" x14ac:dyDescent="0.2">
      <c r="A18" s="25"/>
      <c r="B18" s="139" t="str">
        <f>IF(Lang="Français","Position du bas",IF(Lang="English","Basement",""))</f>
        <v>Position du bas</v>
      </c>
      <c r="C18" s="567">
        <f>Long_tot-50</f>
        <v>850</v>
      </c>
      <c r="D18" s="567"/>
      <c r="K18" s="37"/>
      <c r="L18" s="108" t="str">
        <f>IF(Lang="Français","Coiffe",IF(Lang="English","Nose Cone",""))</f>
        <v>Coiffe</v>
      </c>
      <c r="M18" s="542">
        <f>IF(LEFT(Forme_ogive,5)="Parab",1/2*Long_ogive,IF(LEFT(Forme_ogive,4)="Ogiv",7/15*Long_ogive,IF(LEFT(Forme_ogive,3)="Con",2/3*Long_ogive)))</f>
        <v>133.33333333333331</v>
      </c>
      <c r="N18" s="543"/>
      <c r="O18" s="541">
        <f>2*POWER(D_og/D_ref, 2)</f>
        <v>2</v>
      </c>
      <c r="P18" s="541"/>
      <c r="Q18" s="29"/>
      <c r="S18" s="386" t="str">
        <f>IF(Lang="Français","Emplanture","Root edge")</f>
        <v>Emplanture</v>
      </c>
      <c r="T18" s="387">
        <f>m_ail</f>
        <v>130</v>
      </c>
    </row>
    <row r="19" spans="1:20" ht="12.75" customHeight="1" thickBot="1" x14ac:dyDescent="0.25">
      <c r="A19" s="25"/>
      <c r="B19" s="428" t="str">
        <f>IF(Propu="Cariacou","Cariacou :"," ")</f>
        <v xml:space="preserve"> </v>
      </c>
      <c r="C19" s="553" t="str">
        <f>IF(Propu="Cariacou",IF(Lang="Français","Campagne nationale",IF(Lang="English","National campagn only","")),"")</f>
        <v/>
      </c>
      <c r="D19" s="553"/>
      <c r="L19" s="108" t="str">
        <f>IF(Lang="Français","Ailerons",IF(Lang="English","Fins",""))</f>
        <v>Ailerons</v>
      </c>
      <c r="M19" s="542">
        <f>(XCpa*Cnail-0.5*XCpi*Cni)/Cnai</f>
        <v>804.25</v>
      </c>
      <c r="N19" s="543"/>
      <c r="O19" s="544">
        <f>Cnail-Cni/2</f>
        <v>12.04334530817559</v>
      </c>
      <c r="P19" s="545"/>
      <c r="Q19" s="29"/>
      <c r="S19" s="386" t="str">
        <f>IF(Lang="Français","Bas","Base")</f>
        <v>Bas</v>
      </c>
      <c r="T19" s="387">
        <f>X_ail</f>
        <v>850</v>
      </c>
    </row>
    <row r="20" spans="1:20" ht="12.75" customHeight="1" thickTop="1" thickBot="1" x14ac:dyDescent="0.25">
      <c r="A20" s="25"/>
      <c r="B20" s="30"/>
      <c r="C20" s="546" t="str">
        <f>IF(Lang="Français","Coiffe",IF(Lang="English","Nose Cone",""))</f>
        <v>Coiffe</v>
      </c>
      <c r="D20" s="547"/>
      <c r="L20" s="108" t="str">
        <f>IF(Lang="Français","Ail bas entier",IF(Lang="English","Total Lower Fins",""))</f>
        <v>Ail bas entier</v>
      </c>
      <c r="M20" s="542">
        <f>X_ail-m_ail+p_ail*(m_ail+2*n_ail)/(3*(m_ail+n_ail))+(m_ail+n_ail-m_ail*n_ail/(m_ail+n_ail))/6</f>
        <v>804.25</v>
      </c>
      <c r="N20" s="543"/>
      <c r="O20" s="541">
        <f>4*Q_ail*POWER((E_ail/D_ref),2)*(1+D_ail/(2*E_ail+D_ail))/(1+SQRT(1+POWER(2*f_ail/(m_ail+n_ail),2)))</f>
        <v>12.04334530817559</v>
      </c>
      <c r="P20" s="541"/>
      <c r="Q20" s="29"/>
    </row>
    <row r="21" spans="1:20" ht="12.75" customHeight="1" thickTop="1" x14ac:dyDescent="0.2">
      <c r="A21" s="25"/>
      <c r="B21" s="139" t="str">
        <f>IF(Lang="Français","Forme",IF(Lang="English","Shape",""))</f>
        <v>Forme</v>
      </c>
      <c r="C21" s="568" t="s">
        <v>551</v>
      </c>
      <c r="D21" s="569"/>
      <c r="L21" s="108" t="str">
        <f>IF(Lang="Français","Ailerons haut",IF(Lang="English","Upper Fins",""))</f>
        <v>Ailerons haut</v>
      </c>
      <c r="M21" s="542">
        <f>IF(LEFT(Type_masquage,1)="M",0, X_can-m_can+p_can*(m_can+2*n_can)/(3*(m_can+n_can))+(m_can+n_can-m_can*n_can/(m_can+n_can))/6)</f>
        <v>0</v>
      </c>
      <c r="N21" s="543"/>
      <c r="O21" s="541">
        <f>IF(LEFT(Type_masquage,1)="M",0, 4*Q_can*POWER((E_can/D_ref),2)*(1+D_can/(2*E_can+D_can))/(1+SQRT(1+POWER(2*f_can/(m_can+n_can),2))))</f>
        <v>0</v>
      </c>
      <c r="P21" s="541"/>
      <c r="Q21" s="29"/>
    </row>
    <row r="22" spans="1:20" ht="12.75" customHeight="1" x14ac:dyDescent="0.2">
      <c r="A22" s="25"/>
      <c r="B22" s="139" t="str">
        <f>IF(Lang="Français","Hauteur",IF(Lang="English","Heigth",""))</f>
        <v>Hauteur</v>
      </c>
      <c r="C22" s="549">
        <v>200</v>
      </c>
      <c r="D22" s="550"/>
      <c r="L22" s="108" t="str">
        <f>IF(Lang="Français","Partie masquée",IF(Lang="English","Interation zone",""))</f>
        <v>Partie masquée</v>
      </c>
      <c r="M22" s="556">
        <f>IF(LEFT(Type_masquage,1)="B", X_int-m_int+p_int*(m_int+2*n_int)/(3*(m_int+n_int))+(m_int+n_int-m_int*n_int/(m_int+n_int))/6, 0 )</f>
        <v>0</v>
      </c>
      <c r="N22" s="556"/>
      <c r="O22" s="544">
        <f>IF(LEFT(Type_masquage,1)="B", 4*Q_int*POWER((E_int/D_ref),2)*(1+D_int/(2*E_int+D_int))/(1+SQRT(1+POWER(2*f_int/(m_int+n_int),2))), 0 )</f>
        <v>0</v>
      </c>
      <c r="P22" s="545"/>
      <c r="Q22" s="29"/>
    </row>
    <row r="23" spans="1:20" ht="12.75" customHeight="1" x14ac:dyDescent="0.2">
      <c r="A23" s="25"/>
      <c r="B23" s="139" t="str">
        <f>IF(Lang="Français","Diamètre",IF(Lang="English","Diameter",""))</f>
        <v>Diamètre</v>
      </c>
      <c r="C23" s="549">
        <v>84</v>
      </c>
      <c r="D23" s="550"/>
      <c r="L23" s="108" t="s">
        <v>159</v>
      </c>
      <c r="M23" s="542">
        <f>IF(OR(RIGHT(Nb_diam,1)=",",D2j=0),0, X_j+l_j/3*(1+1/(1+D1j/D2j)) )</f>
        <v>75</v>
      </c>
      <c r="N23" s="543"/>
      <c r="O23" s="541">
        <f>IF(OR(RIGHT(Nb_diam,1)=",",D2j=0),0,2*(POWER(D2j/D_ref,2)-POWER(D1j/D_ref,2)))</f>
        <v>0</v>
      </c>
      <c r="P23" s="541"/>
      <c r="Q23" s="29"/>
    </row>
    <row r="24" spans="1:20" ht="12.75" customHeight="1" thickBot="1" x14ac:dyDescent="0.25">
      <c r="A24" s="25"/>
      <c r="L24" s="108" t="s">
        <v>160</v>
      </c>
      <c r="M24" s="542">
        <f>IF( OR(RIGHT(Nb_diam,1)=",",D2r=0), 0, X_r+l_r/3*(1+1/(1+D1r/D2r)) )</f>
        <v>875</v>
      </c>
      <c r="N24" s="543"/>
      <c r="O24" s="541">
        <f>IF( OR(RIGHT(Nb_diam,1)=",",D2r=0), 0, 2*(POWER(D2r/D_ref,2)-POWER(D1r/D_ref,2)) )</f>
        <v>0</v>
      </c>
      <c r="P24" s="541"/>
      <c r="Q24" s="29"/>
    </row>
    <row r="25" spans="1:20" ht="12.75" customHeight="1" thickTop="1" thickBot="1" x14ac:dyDescent="0.25">
      <c r="A25" s="25"/>
      <c r="B25" s="30"/>
      <c r="C25" s="178" t="str">
        <f>IF(LEFT(Type_masquage,1)="M",IF(Lang="Français","Ailerons","Fins"),IF(Lang="Français","Ailerons bas","Lower Fins"))</f>
        <v>Ailerons</v>
      </c>
      <c r="D25" s="179" t="str">
        <f>IF(Lang="Français","Ailerons haut",IF(Lang="English","Upper Fins",""))</f>
        <v>Ailerons haut</v>
      </c>
      <c r="E25" s="180" t="s">
        <v>154</v>
      </c>
      <c r="L25" s="38"/>
      <c r="M25" s="38"/>
      <c r="N25" s="38"/>
      <c r="Q25" s="29"/>
      <c r="R25" s="38"/>
      <c r="S25" s="388" t="str">
        <f ca="1">IF(AND(Portee_balistique&gt;200,LEFT(Propu,2)="p2"),IF(Lang="Français","Fusée trop lègère !","Rocket too light"),"")</f>
        <v/>
      </c>
    </row>
    <row r="26" spans="1:20" ht="12.75" customHeight="1" thickTop="1" x14ac:dyDescent="0.2">
      <c r="A26" s="25"/>
      <c r="B26" s="30"/>
      <c r="C26" s="551" t="s">
        <v>428</v>
      </c>
      <c r="D26" s="552"/>
      <c r="F26" s="39">
        <f ca="1">TODAY()</f>
        <v>45775</v>
      </c>
      <c r="G26" s="137" t="s">
        <v>65</v>
      </c>
      <c r="H26" s="536" t="str">
        <f>IF(Lang="Français","Résultats",IF(Lang="English","Results",""))</f>
        <v>Résultats</v>
      </c>
      <c r="I26" s="536"/>
      <c r="J26" s="137" t="s">
        <v>66</v>
      </c>
      <c r="K26" s="32"/>
      <c r="L26" s="38"/>
      <c r="M26" s="38"/>
      <c r="N26" s="38"/>
      <c r="Q26" s="29"/>
      <c r="R26" s="38"/>
      <c r="S26" s="388" t="str">
        <f ca="1">IF(AND(Vsortie_de_rampe&lt;18, OR(LEFT(Type_fusee,1)=",",LEFT(Type_fusee,4)="Mini",LEFT(Type_fusee,1)="R")),IF(Lang="Français","Fusée trop lourde ou rampe trop courte !","Rocket too heavy or launch pad too small!"),"")</f>
        <v/>
      </c>
    </row>
    <row r="27" spans="1:20" ht="12.75" customHeight="1" x14ac:dyDescent="0.2">
      <c r="A27" s="25"/>
      <c r="B27" s="526" t="str">
        <f>IF(Lang="Français"," Emplanture  'm'",IF(Lang="English"," Root edge  'm'",""))</f>
        <v xml:space="preserve"> Emplanture  'm'</v>
      </c>
      <c r="C27" s="177">
        <v>130</v>
      </c>
      <c r="D27" s="177">
        <v>178</v>
      </c>
      <c r="E27" s="146">
        <f>m_ail</f>
        <v>130</v>
      </c>
      <c r="F27" s="105" t="s">
        <v>67</v>
      </c>
      <c r="G27" s="104">
        <f>IF(RIGHT(Type_fusee,1)=".",10, IF(OR(LEFT(Type_fusee,1)="R",LEFT(Type_fusee,1)=",",LEFT(Type_fusee,4)="Mini"),10, IF(LEFT(Type_fusee,5)="Micro",10, IF(RIGHT(Type_fusee,1)=" ",1))))</f>
        <v>10</v>
      </c>
      <c r="H27" s="587">
        <f>Long_tot/D_ref</f>
        <v>10.714285714285714</v>
      </c>
      <c r="I27" s="588"/>
      <c r="J27" s="104">
        <f>IF(RIGHT(Type_fusee,1)=".",35, IF(OR(LEFT(Type_fusee,1)="R",LEFT(Type_fusee,1)=",",LEFT(Type_fusee,4)="Mini"),20, IF(LEFT(Type_fusee,5)="Micro",30, IF(RIGHT(Type_fusee,1)=" ",100))))</f>
        <v>20</v>
      </c>
      <c r="K27" s="32"/>
      <c r="L27" s="38"/>
      <c r="M27" s="38"/>
      <c r="N27" s="38"/>
      <c r="Q27" s="29"/>
      <c r="R27" s="38"/>
      <c r="S27" s="388" t="str">
        <f>IF(Finesse&lt;CritFinessemin, IF(Lang="Français","Fusée trop courte !","Rocket too short!"), "" ) &amp; IF(Finesse&gt;CritFinessemax, IF(Lang="Français","Fusée trop longue !","Rocket too long!"), "" )</f>
        <v/>
      </c>
    </row>
    <row r="28" spans="1:20" ht="12.75" customHeight="1" x14ac:dyDescent="0.2">
      <c r="A28" s="25"/>
      <c r="B28" s="526" t="str">
        <f>IF(Lang="Français"," Saumon       'n'",IF(Lang="English"," Tip edge    'n'",""))</f>
        <v xml:space="preserve"> Saumon       'n'</v>
      </c>
      <c r="C28" s="35">
        <v>70</v>
      </c>
      <c r="D28" s="35">
        <v>80</v>
      </c>
      <c r="E28" s="146">
        <f>n_ail+(m_ail-n_ail)*(1-E_int/E_ail)</f>
        <v>70</v>
      </c>
      <c r="F28" s="105" t="str">
        <f>IF(Lang="Français","Portance","Lift")</f>
        <v>Portance</v>
      </c>
      <c r="G28" s="104">
        <f>IF(RIGHT(Type_fusee,1)=".",15,IF(OR(LEFT(Type_fusee,1)="R",LEFT(Type_fusee,1)=",",LEFT(Type_fusee,4)="Mini"),15, IF(LEFT(Type_fusee,5)="Micro",15, IF(RIGHT(Type_fusee,1)=" ",15))))</f>
        <v>15</v>
      </c>
      <c r="H28" s="510">
        <f>Cnai+Cnc+Cno+Cnj+Cnr</f>
        <v>14.04334530817559</v>
      </c>
      <c r="I28" s="510">
        <f>Cnail+Cnc+Cno+Cnj+Cnr</f>
        <v>14.04334530817559</v>
      </c>
      <c r="J28" s="104">
        <f>IF(RIGHT(Type_fusee,1)=".",40, IF(OR(LEFT(Type_fusee,1)="R",LEFT(Type_fusee,1)=",",LEFT(Type_fusee,4)="Mini"),30, IF(LEFT(Type_fusee,5)="Micro",30, IF(RIGHT(Type_fusee,1)=" ",30))))</f>
        <v>30</v>
      </c>
      <c r="K28" s="32"/>
      <c r="L28" s="38"/>
      <c r="M28" s="38"/>
      <c r="N28" s="38"/>
      <c r="Q28" s="29"/>
      <c r="R28" s="38"/>
      <c r="S28" s="388" t="str">
        <f>IF(Cn&lt;CritCnmin, IF(Lang="Français","Ailerons trop petits !","Fins too small!"), "" ) &amp; IF(Cn&gt;CritCnmax, IF(Lang="Français","Ailerons trop grands !","Fins too big!"), "" )</f>
        <v>Ailerons trop petits !</v>
      </c>
    </row>
    <row r="29" spans="1:20" ht="12.75" customHeight="1" x14ac:dyDescent="0.2">
      <c r="A29" s="25"/>
      <c r="B29" s="526" t="str">
        <f>IF(Lang="Français"," Flèche          'p'"," Offset         'p'")</f>
        <v xml:space="preserve"> Flèche          'p'</v>
      </c>
      <c r="C29" s="35">
        <v>130</v>
      </c>
      <c r="D29" s="35">
        <v>140</v>
      </c>
      <c r="E29" s="146">
        <f>p_ail*E_int/E_ail</f>
        <v>130</v>
      </c>
      <c r="F29" s="517" t="str">
        <f>IF(Lang="Français","MargeStat.","StatMargin")</f>
        <v>MargeStat.</v>
      </c>
      <c r="G29" s="512">
        <f>IF(RIGHT(Type_fusee,1)=".",2, IF(OR(LEFT(Type_fusee,1)="R",LEFT(Type_fusee,1)=",",LEFT(Type_fusee,4)="Mini"),1.5, IF(LEFT(Type_fusee,5)="Micro",1, IF(RIGHT(Type_fusee,1)=" ",1))))</f>
        <v>1.5</v>
      </c>
      <c r="H29" s="97">
        <f ca="1">(XCp-XcgPlein)/D_ref</f>
        <v>2.2765384212591728</v>
      </c>
      <c r="I29" s="98">
        <f ca="1">(XCp0-XcgVide)/D_ref</f>
        <v>2.3708990085193964</v>
      </c>
      <c r="J29" s="512">
        <f>IF(RIGHT(Type_fusee,1)=".",6, IF(OR(LEFT(Type_fusee,1)="R",LEFT(Type_fusee,1)=",",LEFT(Type_fusee,4)="Mini"),6, IF(LEFT(Type_fusee,5)="Micro",3, IF(RIGHT(Type_fusee,1)=" ",3))))</f>
        <v>6</v>
      </c>
      <c r="K29" s="32"/>
      <c r="Q29" s="29"/>
      <c r="R29" s="38"/>
      <c r="S29" s="388" t="str">
        <f ca="1">IF(MS_min&lt;CritMsmin, IF(Lang="Français","Abaisser les ailerons ou rehausser le CdM !","Lower the fins or move up the center of mass!"), "" ) &amp; IF(MS_max&gt;CritMsmax, IF(Lang="Français","Rehausser les ailerons ou abaisser le CdM !","Move up the fins or lower the center of mass!"), "" )</f>
        <v/>
      </c>
    </row>
    <row r="30" spans="1:20" ht="12.75" customHeight="1" x14ac:dyDescent="0.2">
      <c r="A30" s="25"/>
      <c r="B30" s="526" t="str">
        <f>IF(Lang="Français"," Envergure     'E'",IF(Lang="English"," Span          'E'",""))</f>
        <v xml:space="preserve"> Envergure     'E'</v>
      </c>
      <c r="C30" s="35">
        <v>110</v>
      </c>
      <c r="D30" s="35">
        <v>100</v>
      </c>
      <c r="E30" s="146">
        <f>IF(D_can/2+E_can&lt;=D_ail/2,0, IF(D_can/2+E_can&gt;=D_ail/2+E_ail,E_ail,  D_can/2+E_can - D_ail/2  ) )</f>
        <v>110</v>
      </c>
      <c r="F30" s="518" t="str">
        <f>IF(Lang="Français","Couple","Torque")</f>
        <v>Couple</v>
      </c>
      <c r="G30" s="513">
        <f>IF(RIGHT(Type_fusee,1)=".",40, IF(OR(LEFT(Type_fusee,1)="R",LEFT(Type_fusee,1)=",",LEFT(Type_fusee,4)="Mini"),30, IF(LEFT(Type_fusee,5)="Micro",15, IF(RIGHT(Type_fusee,1)=" ",15))))</f>
        <v>30</v>
      </c>
      <c r="H30" s="99">
        <f ca="1">MS_min*Cn</f>
        <v>31.970215157071472</v>
      </c>
      <c r="I30" s="96">
        <f ca="1">MS_max*Cn0</f>
        <v>33.295353467449026</v>
      </c>
      <c r="J30" s="513">
        <f>IF(RIGHT(Type_fusee,1)=".",100, IF(OR(LEFT(Type_fusee,1)="R",LEFT(Type_fusee,1)=",",LEFT(Type_fusee,4)="Mini"),100, IF(LEFT(Type_fusee,5)="Micro",100, IF(RIGHT(Type_fusee,1)=" ",90))))</f>
        <v>100</v>
      </c>
      <c r="K30" s="32"/>
      <c r="Q30" s="29"/>
      <c r="R30" s="38"/>
      <c r="S30" s="388" t="str">
        <f ca="1">IF(MS_Cn_min&lt;CritMsCnmin, IF(Lang="Français","Ailerons trop petits ou trop haut /CdM !","Fins too small or too high /CoM!"), "" ) &amp; IF(MS_Cn_max&gt;CritMsCnmax, IF(Lang="Français","Ailerons trop grands ou trop bas  /CdM !","Fins too big or too low / CoM!"), "" )</f>
        <v/>
      </c>
    </row>
    <row r="31" spans="1:20" ht="12.75" customHeight="1" x14ac:dyDescent="0.2">
      <c r="A31" s="25"/>
      <c r="B31" s="527" t="str">
        <f>IF(Lang="Français"," Epaisseur     'ep'",IF(Lang="English"," Thickness  'ep'",""))</f>
        <v xml:space="preserve"> Epaisseur     'ep'</v>
      </c>
      <c r="C31" s="35">
        <v>4</v>
      </c>
      <c r="D31" s="35">
        <v>3</v>
      </c>
      <c r="E31" s="146">
        <f>ep_ail</f>
        <v>4</v>
      </c>
      <c r="F31" s="106" t="s">
        <v>58</v>
      </c>
      <c r="G31" s="103"/>
      <c r="H31" s="511">
        <f>(Cnai*XCpai+Cnc*XCpc+Cnj*XCpj+Cnr*XCpr+Cno*XCpo)/(Cnai+Cnc+Cnr+Cnj+Cno)</f>
        <v>708.70059180078977</v>
      </c>
      <c r="I31" s="511">
        <f>(Cnail*XCpa+Cnc*XCpc+Cnj*XCpj+Cnr*XCpr+Cno*XCpo)/(Cnail+Cnc+Cnr+Cnj+Cno)</f>
        <v>708.70059180078977</v>
      </c>
      <c r="J31" s="102"/>
      <c r="K31" s="32"/>
      <c r="Q31" s="29"/>
      <c r="R31" s="38"/>
      <c r="S31" s="388"/>
    </row>
    <row r="32" spans="1:20" ht="12.75" customHeight="1" x14ac:dyDescent="0.2">
      <c r="A32" s="25"/>
      <c r="B32" s="526" t="str">
        <f>IF(Lang="Français"," Nombre            ",IF(Lang="English"," Number of fins",""))</f>
        <v xml:space="preserve"> Nombre            </v>
      </c>
      <c r="C32" s="36">
        <v>4</v>
      </c>
      <c r="D32" s="36">
        <v>4</v>
      </c>
      <c r="E32" s="146">
        <f>IF(Q_ail=Q_can,Q_ail,FALSE)</f>
        <v>4</v>
      </c>
      <c r="F32" s="106" t="s">
        <v>69</v>
      </c>
      <c r="G32" s="103"/>
      <c r="H32" s="100">
        <f ca="1">(XCp-XcgPlein)/Long_tot*100</f>
        <v>21.247691931752279</v>
      </c>
      <c r="I32" s="101">
        <f ca="1">(XCp-XcgVide)/Long_tot*100</f>
        <v>22.128390746181033</v>
      </c>
      <c r="J32" s="102"/>
      <c r="K32" s="32"/>
      <c r="Q32" s="29"/>
      <c r="R32" s="38"/>
    </row>
    <row r="33" spans="1:23" ht="12.75" customHeight="1" x14ac:dyDescent="0.2">
      <c r="A33" s="25"/>
      <c r="B33" s="526" t="str">
        <f>IF(Lang="Français"," Position du bas",IF(Lang="English"," Basement",""))</f>
        <v xml:space="preserve"> Position du bas</v>
      </c>
      <c r="C33" s="35">
        <f>Long_tot-50</f>
        <v>850</v>
      </c>
      <c r="D33" s="35">
        <v>1000</v>
      </c>
      <c r="E33" s="146">
        <f>X_ail</f>
        <v>850</v>
      </c>
      <c r="G33" s="24"/>
      <c r="H33" s="583" t="str">
        <f ca="1">IF(AND(CritCnmin&lt;Cn,Cn0&lt;CritCnmax,CritMsmin&lt;MS_min,MS_max&lt;CritMsmax,CritMsCnmin&lt;MS_Cn_min,MS_Cn_max&lt;CritMsCnmax),"STABLE",IF(OR(Cn&lt;CritCnmin,MS_min&lt;CritMsmin,MS_Cn_min&lt;CritMsCnmin),"INSTABLE",IF(Lang="Français","SURSTABLE","OVERSTABLE")))</f>
        <v>INSTABLE</v>
      </c>
      <c r="I33" s="584"/>
      <c r="J33" s="31"/>
      <c r="K33" s="32"/>
      <c r="Q33" s="29"/>
      <c r="R33" s="38"/>
    </row>
    <row r="34" spans="1:23" ht="12.75" customHeight="1" x14ac:dyDescent="0.2">
      <c r="A34" s="25"/>
      <c r="B34" s="526" t="str">
        <f>IF(Lang="Français"," Diamètre         ",IF(Lang="English"," Diameter at Fins",""))</f>
        <v xml:space="preserve"> Diamètre         </v>
      </c>
      <c r="C34" s="35">
        <v>64</v>
      </c>
      <c r="D34" s="35">
        <v>120</v>
      </c>
      <c r="E34" s="146">
        <f>D_ail</f>
        <v>64</v>
      </c>
      <c r="G34" s="24"/>
      <c r="H34" s="585"/>
      <c r="I34" s="586"/>
      <c r="K34" s="32"/>
      <c r="Q34" s="29"/>
      <c r="R34" s="38"/>
    </row>
    <row r="35" spans="1:23" ht="12.75" customHeight="1" x14ac:dyDescent="0.2">
      <c r="A35" s="25"/>
      <c r="B35" s="526" t="str">
        <f>IF(Lang="Français"," Ligne mi-corde f",IF(Lang="English"," Mid-chord line f",""))</f>
        <v xml:space="preserve"> Ligne mi-corde f</v>
      </c>
      <c r="C35" s="145">
        <f>SQRT(POWER(p_ail+n_ail/2-m_ail/2,2)+POWER(E_ail,2))</f>
        <v>148.66068747318505</v>
      </c>
      <c r="D35" s="145">
        <f>SQRT(POWER(p_can+n_can/2-m_can/2,2)+POWER(E_can,2))</f>
        <v>135.20724832641184</v>
      </c>
      <c r="E35" s="146">
        <f>SQRT(POWER(p_int+n_int/2-m_int/2,2)+POWER(E_int,2))</f>
        <v>148.66068747318505</v>
      </c>
      <c r="K35" s="32"/>
      <c r="Q35" s="29"/>
      <c r="R35" s="38"/>
      <c r="W35" s="24" t="str">
        <f>RIGHT(Type_fusee,1="R")</f>
        <v/>
      </c>
    </row>
    <row r="36" spans="1:23" ht="12.75" customHeight="1" thickBot="1" x14ac:dyDescent="0.25">
      <c r="A36" s="40"/>
      <c r="B36" s="182" t="str">
        <f>IF(Lang="Français","Commentaire libre :",IF(Lang="English","Free comment:",""))</f>
        <v>Commentaire libre :</v>
      </c>
      <c r="C36" s="41"/>
      <c r="D36" s="42"/>
      <c r="E36" s="91"/>
      <c r="F36" s="67"/>
      <c r="G36" s="67"/>
      <c r="H36" s="67"/>
      <c r="I36" s="67"/>
      <c r="J36" s="42"/>
      <c r="K36" s="42"/>
      <c r="L36" s="389" t="s">
        <v>273</v>
      </c>
      <c r="M36" s="392" t="str">
        <f>IF(ROUND(SUM(Propu!5:1218),0)=306466,"propu OK","propu NOK")</f>
        <v>propu OK</v>
      </c>
      <c r="N36" s="391" t="str">
        <f>IF(Lang="Français","fichier initial","Initial file")</f>
        <v>fichier initial</v>
      </c>
      <c r="O36" s="392"/>
      <c r="P36" s="390"/>
      <c r="Q36" s="291" t="s">
        <v>550</v>
      </c>
      <c r="R36" s="38"/>
    </row>
    <row r="37" spans="1:23" ht="12.75" customHeight="1" x14ac:dyDescent="0.2">
      <c r="R37" s="43"/>
    </row>
    <row r="38" spans="1:23" x14ac:dyDescent="0.2">
      <c r="L38" s="226" t="str">
        <f>IF(Lang="Français","Maintenant que votre fusée est stable, vérifiez sa trajectoire via la feuille","Now your rocket is stable, check its trajectory on sheet")</f>
        <v>Maintenant que votre fusée est stable, vérifiez sa trajectoire via la feuille</v>
      </c>
      <c r="M38" s="483" t="s">
        <v>183</v>
      </c>
    </row>
    <row r="39" spans="1:23" x14ac:dyDescent="0.2">
      <c r="H39" s="87"/>
      <c r="O39" s="26"/>
      <c r="P39" s="26"/>
    </row>
    <row r="40" spans="1:23" x14ac:dyDescent="0.2">
      <c r="F40" s="24"/>
      <c r="H40" s="43"/>
      <c r="I40" s="44"/>
      <c r="J40" s="43"/>
      <c r="N40" s="43"/>
      <c r="Q40" s="43"/>
      <c r="S40" s="508"/>
    </row>
    <row r="41" spans="1:23" x14ac:dyDescent="0.2">
      <c r="F41" s="24"/>
      <c r="G41" s="505"/>
      <c r="H41" s="506"/>
      <c r="I41" s="44"/>
      <c r="J41" s="43"/>
      <c r="N41" s="43"/>
      <c r="Q41" s="43"/>
      <c r="R41" s="43"/>
    </row>
    <row r="42" spans="1:23" x14ac:dyDescent="0.2">
      <c r="F42" s="24"/>
      <c r="H42" s="43"/>
      <c r="I42" s="44"/>
      <c r="J42" s="43"/>
      <c r="N42" s="43"/>
      <c r="Q42" s="43"/>
      <c r="R42" s="43"/>
    </row>
    <row r="43" spans="1:23" x14ac:dyDescent="0.2">
      <c r="F43" s="24"/>
      <c r="H43" s="43"/>
      <c r="I43" s="44"/>
      <c r="J43" s="43"/>
      <c r="N43" s="43"/>
      <c r="Q43" s="43"/>
      <c r="R43" s="43"/>
    </row>
    <row r="44" spans="1:23" x14ac:dyDescent="0.2">
      <c r="F44" s="24"/>
      <c r="H44" s="43"/>
      <c r="I44" s="44"/>
      <c r="J44" s="43"/>
      <c r="N44" s="43"/>
      <c r="Q44" s="43"/>
      <c r="R44" s="43"/>
    </row>
    <row r="45" spans="1:23" x14ac:dyDescent="0.2">
      <c r="F45" s="24"/>
      <c r="H45" s="43"/>
      <c r="I45" s="44"/>
      <c r="J45" s="43"/>
      <c r="N45" s="43"/>
      <c r="Q45" s="43"/>
      <c r="R45" s="43"/>
    </row>
    <row r="46" spans="1:23" x14ac:dyDescent="0.2">
      <c r="F46" s="24"/>
      <c r="H46" s="43"/>
      <c r="I46" s="44"/>
      <c r="J46" s="43"/>
      <c r="L46" s="43"/>
      <c r="M46" s="43"/>
      <c r="N46" s="43"/>
      <c r="Q46" s="43"/>
      <c r="R46" s="43"/>
    </row>
    <row r="47" spans="1:23" x14ac:dyDescent="0.2">
      <c r="F47" s="24"/>
      <c r="H47" s="43"/>
      <c r="I47" s="44"/>
      <c r="J47" s="43"/>
      <c r="L47" s="43"/>
      <c r="M47" s="43"/>
      <c r="N47" s="43"/>
      <c r="Q47" s="43"/>
      <c r="R47" s="43"/>
    </row>
    <row r="48" spans="1:23" x14ac:dyDescent="0.2">
      <c r="F48" s="24"/>
      <c r="H48" s="43"/>
      <c r="I48" s="44"/>
      <c r="J48" s="43"/>
      <c r="L48" s="43"/>
      <c r="M48" s="43"/>
      <c r="N48" s="43"/>
      <c r="Q48" s="43"/>
      <c r="R48" s="43"/>
    </row>
    <row r="49" spans="2:18" x14ac:dyDescent="0.2">
      <c r="F49" s="24"/>
      <c r="H49" s="43"/>
      <c r="I49" s="44"/>
      <c r="J49" s="43"/>
      <c r="L49" s="43"/>
      <c r="M49" s="43"/>
      <c r="N49" s="43"/>
      <c r="Q49" s="43"/>
      <c r="R49" s="43"/>
    </row>
    <row r="50" spans="2:18" x14ac:dyDescent="0.2">
      <c r="F50" s="24"/>
      <c r="H50" s="43"/>
      <c r="I50" s="44"/>
      <c r="J50" s="43"/>
      <c r="L50" s="43"/>
      <c r="M50" s="43"/>
      <c r="N50" s="43"/>
      <c r="Q50" s="43"/>
      <c r="R50" s="43"/>
    </row>
    <row r="51" spans="2:18" x14ac:dyDescent="0.2">
      <c r="F51" s="24"/>
      <c r="H51" s="43"/>
      <c r="I51" s="44"/>
      <c r="J51" s="43"/>
      <c r="L51" s="43"/>
      <c r="M51" s="43"/>
      <c r="N51" s="43"/>
      <c r="Q51" s="43"/>
      <c r="R51" s="43"/>
    </row>
    <row r="52" spans="2:18" x14ac:dyDescent="0.2">
      <c r="H52" s="43"/>
      <c r="I52" s="44"/>
      <c r="J52" s="43"/>
      <c r="L52" s="43"/>
      <c r="M52" s="43"/>
      <c r="N52" s="43"/>
      <c r="Q52" s="43"/>
      <c r="R52" s="43"/>
    </row>
    <row r="53" spans="2:18" x14ac:dyDescent="0.2">
      <c r="H53" s="43"/>
      <c r="I53" s="44"/>
      <c r="J53" s="43"/>
      <c r="L53" s="43"/>
      <c r="M53" s="43"/>
      <c r="N53" s="43"/>
      <c r="Q53" s="43"/>
      <c r="R53" s="43"/>
    </row>
    <row r="54" spans="2:18" x14ac:dyDescent="0.2">
      <c r="H54" s="43"/>
      <c r="I54" s="44"/>
      <c r="J54" s="43"/>
      <c r="L54" s="43"/>
      <c r="M54" s="43"/>
      <c r="N54" s="43"/>
      <c r="Q54" s="43"/>
      <c r="R54" s="43"/>
    </row>
    <row r="55" spans="2:18" x14ac:dyDescent="0.2">
      <c r="H55" s="43"/>
      <c r="I55" s="44"/>
      <c r="J55" s="43"/>
      <c r="L55" s="43"/>
      <c r="M55" s="43"/>
      <c r="N55" s="43"/>
      <c r="Q55" s="43"/>
      <c r="R55" s="43"/>
    </row>
    <row r="56" spans="2:18" x14ac:dyDescent="0.2">
      <c r="C56" s="24"/>
      <c r="H56" s="43"/>
      <c r="I56" s="44"/>
      <c r="J56" s="43"/>
      <c r="L56" s="43"/>
      <c r="M56" s="43"/>
      <c r="N56" s="43"/>
      <c r="Q56" s="43"/>
      <c r="R56" s="43"/>
    </row>
    <row r="57" spans="2:18" x14ac:dyDescent="0.2">
      <c r="H57" s="43"/>
      <c r="I57" s="44"/>
      <c r="J57" s="43"/>
      <c r="L57" s="43"/>
      <c r="M57" s="43"/>
      <c r="N57" s="43"/>
      <c r="Q57" s="43"/>
      <c r="R57" s="43"/>
    </row>
    <row r="58" spans="2:18" x14ac:dyDescent="0.2">
      <c r="B58" s="31"/>
      <c r="H58" s="43"/>
      <c r="I58" s="44"/>
      <c r="J58" s="43"/>
      <c r="L58" s="43"/>
      <c r="M58" s="43"/>
      <c r="N58" s="43"/>
      <c r="Q58" s="43"/>
      <c r="R58" s="43"/>
    </row>
    <row r="59" spans="2:18" x14ac:dyDescent="0.2">
      <c r="B59" s="31"/>
      <c r="H59" s="43"/>
      <c r="I59" s="44"/>
      <c r="J59" s="43"/>
      <c r="L59" s="43"/>
      <c r="M59" s="43"/>
      <c r="N59" s="43"/>
      <c r="Q59" s="43"/>
      <c r="R59" s="43"/>
    </row>
    <row r="60" spans="2:18" x14ac:dyDescent="0.2">
      <c r="B60" s="31"/>
      <c r="H60" s="43"/>
      <c r="I60" s="44"/>
      <c r="J60" s="43"/>
      <c r="L60" s="43"/>
      <c r="M60" s="43"/>
      <c r="N60" s="43"/>
      <c r="Q60" s="43"/>
      <c r="R60" s="43"/>
    </row>
    <row r="61" spans="2:18" x14ac:dyDescent="0.2">
      <c r="B61" s="31"/>
      <c r="H61" s="43"/>
      <c r="I61" s="44"/>
      <c r="J61" s="43"/>
      <c r="L61" s="43"/>
      <c r="M61" s="43"/>
      <c r="N61" s="43"/>
      <c r="Q61" s="43"/>
      <c r="R61" s="43"/>
    </row>
    <row r="62" spans="2:18" x14ac:dyDescent="0.2">
      <c r="B62" s="31"/>
      <c r="H62" s="43"/>
      <c r="I62" s="44"/>
      <c r="J62" s="43"/>
      <c r="L62" s="43"/>
      <c r="M62" s="43"/>
      <c r="N62" s="43"/>
      <c r="Q62" s="43"/>
      <c r="R62" s="43"/>
    </row>
    <row r="63" spans="2:18" x14ac:dyDescent="0.2">
      <c r="B63" s="31"/>
      <c r="H63" s="43"/>
      <c r="I63" s="44"/>
      <c r="J63" s="43"/>
      <c r="L63" s="43"/>
      <c r="M63" s="43"/>
      <c r="N63" s="43"/>
      <c r="Q63" s="43"/>
      <c r="R63" s="43"/>
    </row>
    <row r="64" spans="2:18" x14ac:dyDescent="0.2">
      <c r="B64" s="31"/>
      <c r="H64" s="43"/>
      <c r="I64" s="44"/>
      <c r="J64" s="43"/>
      <c r="L64" s="43"/>
      <c r="M64" s="43"/>
      <c r="N64" s="43"/>
      <c r="Q64" s="43"/>
      <c r="R64" s="43"/>
    </row>
    <row r="65" spans="2:18" x14ac:dyDescent="0.2">
      <c r="B65" s="31"/>
      <c r="H65" s="43"/>
      <c r="I65" s="44"/>
      <c r="J65" s="43"/>
      <c r="L65" s="43"/>
      <c r="M65" s="43"/>
      <c r="N65" s="43"/>
      <c r="Q65" s="43"/>
      <c r="R65" s="43"/>
    </row>
    <row r="66" spans="2:18" x14ac:dyDescent="0.2">
      <c r="B66" s="31"/>
      <c r="H66" s="43"/>
      <c r="I66" s="44"/>
      <c r="J66" s="43"/>
      <c r="L66" s="43"/>
      <c r="M66" s="43"/>
      <c r="N66" s="43"/>
      <c r="Q66" s="43"/>
      <c r="R66" s="43"/>
    </row>
    <row r="67" spans="2:18" x14ac:dyDescent="0.2">
      <c r="C67" s="24"/>
      <c r="H67" s="43"/>
      <c r="I67" s="44"/>
      <c r="J67" s="43"/>
      <c r="L67" s="43"/>
      <c r="M67" s="43"/>
      <c r="N67" s="43"/>
      <c r="Q67" s="43"/>
      <c r="R67" s="43"/>
    </row>
    <row r="68" spans="2:18" x14ac:dyDescent="0.2">
      <c r="C68" s="24"/>
      <c r="H68" s="43"/>
      <c r="I68" s="44"/>
      <c r="J68" s="43"/>
      <c r="L68" s="43"/>
      <c r="M68" s="43"/>
      <c r="N68" s="43"/>
      <c r="Q68" s="43"/>
      <c r="R68" s="43"/>
    </row>
    <row r="69" spans="2:18" x14ac:dyDescent="0.2">
      <c r="C69" s="24"/>
      <c r="H69" s="43"/>
      <c r="I69" s="44"/>
      <c r="J69" s="43"/>
      <c r="L69" s="43"/>
      <c r="M69" s="43"/>
      <c r="N69" s="43"/>
      <c r="Q69" s="43"/>
      <c r="R69" s="43"/>
    </row>
    <row r="70" spans="2:18" x14ac:dyDescent="0.2">
      <c r="C70" s="24"/>
      <c r="H70" s="43"/>
      <c r="I70" s="44"/>
      <c r="J70" s="43"/>
      <c r="L70" s="43"/>
      <c r="M70" s="43"/>
      <c r="N70" s="43"/>
      <c r="Q70" s="43"/>
      <c r="R70" s="43"/>
    </row>
    <row r="71" spans="2:18" x14ac:dyDescent="0.2">
      <c r="C71" s="24"/>
      <c r="H71" s="43"/>
      <c r="I71" s="44"/>
      <c r="J71" s="43"/>
      <c r="L71" s="43"/>
      <c r="M71" s="43"/>
      <c r="N71" s="43"/>
      <c r="Q71" s="43"/>
      <c r="R71" s="43"/>
    </row>
    <row r="72" spans="2:18" x14ac:dyDescent="0.2">
      <c r="C72" s="24"/>
      <c r="H72" s="43"/>
      <c r="I72" s="44"/>
      <c r="J72" s="43"/>
      <c r="L72" s="43"/>
      <c r="M72" s="43"/>
      <c r="N72" s="43"/>
      <c r="Q72" s="43"/>
      <c r="R72" s="43"/>
    </row>
    <row r="73" spans="2:18" x14ac:dyDescent="0.2">
      <c r="C73" s="24"/>
      <c r="H73" s="43"/>
      <c r="I73" s="44"/>
      <c r="J73" s="43"/>
      <c r="L73" s="43"/>
      <c r="M73" s="43"/>
      <c r="N73" s="43"/>
      <c r="Q73" s="43"/>
      <c r="R73" s="43"/>
    </row>
    <row r="74" spans="2:18" x14ac:dyDescent="0.2">
      <c r="C74" s="24"/>
      <c r="H74" s="43"/>
      <c r="I74" s="44"/>
      <c r="J74" s="43"/>
      <c r="L74" s="43"/>
      <c r="M74" s="43"/>
      <c r="N74" s="43"/>
      <c r="Q74" s="43"/>
      <c r="R74" s="43"/>
    </row>
    <row r="75" spans="2:18" x14ac:dyDescent="0.2">
      <c r="C75" s="24"/>
      <c r="H75" s="43"/>
      <c r="I75" s="44"/>
      <c r="J75" s="43"/>
      <c r="L75" s="43"/>
      <c r="M75" s="43"/>
      <c r="N75" s="43"/>
      <c r="Q75" s="43"/>
      <c r="R75" s="43"/>
    </row>
    <row r="76" spans="2:18" x14ac:dyDescent="0.2">
      <c r="C76" s="24"/>
      <c r="H76" s="43"/>
      <c r="I76" s="44"/>
      <c r="J76" s="43"/>
      <c r="L76" s="43"/>
      <c r="M76" s="43"/>
      <c r="N76" s="43"/>
      <c r="Q76" s="43"/>
      <c r="R76" s="43"/>
    </row>
    <row r="77" spans="2:18" x14ac:dyDescent="0.2">
      <c r="C77" s="24"/>
      <c r="H77" s="43"/>
      <c r="I77" s="44"/>
      <c r="J77" s="43"/>
      <c r="L77" s="43"/>
      <c r="M77" s="43"/>
      <c r="N77" s="43"/>
      <c r="Q77" s="43"/>
      <c r="R77" s="43"/>
    </row>
    <row r="78" spans="2:18" x14ac:dyDescent="0.2">
      <c r="C78" s="24"/>
      <c r="H78" s="43"/>
      <c r="I78" s="44"/>
      <c r="J78" s="43"/>
      <c r="L78" s="43"/>
      <c r="M78" s="43"/>
      <c r="N78" s="43"/>
      <c r="Q78" s="43"/>
      <c r="R78" s="43"/>
    </row>
    <row r="79" spans="2:18" x14ac:dyDescent="0.2">
      <c r="C79" s="24"/>
      <c r="H79" s="43"/>
      <c r="I79" s="44"/>
      <c r="J79" s="43"/>
      <c r="L79" s="43"/>
      <c r="M79" s="43"/>
      <c r="N79" s="43"/>
      <c r="Q79" s="43"/>
      <c r="R79" s="43"/>
    </row>
    <row r="80" spans="2:18" x14ac:dyDescent="0.2">
      <c r="C80" s="24"/>
      <c r="H80" s="43"/>
      <c r="I80" s="44"/>
      <c r="J80" s="43"/>
      <c r="L80" s="43"/>
      <c r="M80" s="43"/>
      <c r="N80" s="43"/>
      <c r="Q80" s="43"/>
      <c r="R80" s="43"/>
    </row>
    <row r="81" spans="2:18" x14ac:dyDescent="0.2">
      <c r="C81" s="24"/>
      <c r="H81" s="43"/>
      <c r="I81" s="44"/>
      <c r="J81" s="43"/>
      <c r="L81" s="43"/>
      <c r="M81" s="43"/>
      <c r="N81" s="43"/>
      <c r="Q81" s="43"/>
      <c r="R81" s="43"/>
    </row>
    <row r="82" spans="2:18" x14ac:dyDescent="0.2">
      <c r="C82" s="24"/>
      <c r="H82" s="43"/>
      <c r="I82" s="44"/>
      <c r="J82" s="43"/>
      <c r="L82" s="43"/>
      <c r="M82" s="43"/>
      <c r="N82" s="43"/>
      <c r="Q82" s="43"/>
      <c r="R82" s="43"/>
    </row>
    <row r="83" spans="2:18" x14ac:dyDescent="0.2">
      <c r="C83" s="24"/>
      <c r="H83" s="43"/>
      <c r="I83" s="44"/>
      <c r="J83" s="43"/>
      <c r="L83" s="43"/>
      <c r="M83" s="43"/>
      <c r="N83" s="43"/>
      <c r="Q83" s="43"/>
      <c r="R83" s="43"/>
    </row>
    <row r="84" spans="2:18" x14ac:dyDescent="0.2">
      <c r="C84" s="24"/>
      <c r="H84" s="43"/>
      <c r="I84" s="44"/>
      <c r="J84" s="43"/>
      <c r="L84" s="43"/>
      <c r="M84" s="43"/>
      <c r="N84" s="43"/>
      <c r="Q84" s="43"/>
      <c r="R84" s="43"/>
    </row>
    <row r="85" spans="2:18" x14ac:dyDescent="0.2">
      <c r="C85" s="24"/>
      <c r="H85" s="43"/>
      <c r="I85" s="44"/>
      <c r="J85" s="43"/>
      <c r="L85" s="43"/>
      <c r="M85" s="43"/>
      <c r="N85" s="43"/>
      <c r="Q85" s="43"/>
      <c r="R85" s="43"/>
    </row>
    <row r="86" spans="2:18" x14ac:dyDescent="0.2">
      <c r="C86" s="24"/>
      <c r="H86" s="43"/>
      <c r="I86" s="44"/>
      <c r="J86" s="43"/>
      <c r="L86" s="43"/>
      <c r="M86" s="43"/>
      <c r="N86" s="43"/>
      <c r="Q86" s="43"/>
      <c r="R86" s="43"/>
    </row>
    <row r="87" spans="2:18" x14ac:dyDescent="0.2">
      <c r="C87" s="24"/>
      <c r="H87" s="43"/>
      <c r="I87" s="44"/>
      <c r="J87" s="43"/>
      <c r="L87" s="43"/>
      <c r="M87" s="43"/>
      <c r="N87" s="43"/>
      <c r="Q87" s="43"/>
      <c r="R87" s="43"/>
    </row>
    <row r="88" spans="2:18" x14ac:dyDescent="0.2">
      <c r="C88" s="24"/>
      <c r="H88" s="43"/>
      <c r="I88" s="44"/>
      <c r="J88" s="43"/>
      <c r="L88" s="43"/>
      <c r="M88" s="43"/>
      <c r="N88" s="43"/>
      <c r="Q88" s="43"/>
      <c r="R88" s="43"/>
    </row>
    <row r="89" spans="2:18" x14ac:dyDescent="0.2">
      <c r="C89" s="24"/>
      <c r="H89" s="43"/>
      <c r="I89" s="44"/>
      <c r="J89" s="43"/>
      <c r="L89" s="43"/>
      <c r="M89" s="43"/>
      <c r="N89" s="43"/>
      <c r="Q89" s="43"/>
      <c r="R89" s="43"/>
    </row>
    <row r="90" spans="2:18" x14ac:dyDescent="0.2">
      <c r="C90" s="24"/>
      <c r="H90" s="43"/>
      <c r="I90" s="44"/>
      <c r="J90" s="43"/>
      <c r="L90" s="43"/>
      <c r="M90" s="43"/>
      <c r="N90" s="43"/>
      <c r="Q90" s="43"/>
      <c r="R90" s="43"/>
    </row>
    <row r="91" spans="2:18" x14ac:dyDescent="0.2">
      <c r="B91" s="24" t="str">
        <f>IF(Lang="Français","Textes pour les listes déroulantes et graphiques :",IF(Lang="English","Texts for drop-down lists &amp; graphics :",""))</f>
        <v>Textes pour les listes déroulantes et graphiques :</v>
      </c>
      <c r="H91" s="43"/>
      <c r="I91" s="44"/>
      <c r="J91" s="43"/>
      <c r="L91" s="43"/>
      <c r="M91" s="43"/>
      <c r="N91" s="43"/>
      <c r="Q91" s="43"/>
      <c r="R91" s="43"/>
    </row>
    <row r="92" spans="2:18" x14ac:dyDescent="0.2">
      <c r="H92" s="43"/>
      <c r="I92" s="44"/>
      <c r="J92" s="43"/>
      <c r="L92" s="43"/>
      <c r="M92" s="43"/>
      <c r="N92" s="43"/>
      <c r="Q92" s="43"/>
      <c r="R92" s="43"/>
    </row>
    <row r="93" spans="2:18" x14ac:dyDescent="0.2">
      <c r="B93" s="26" t="s">
        <v>1</v>
      </c>
      <c r="H93" s="43"/>
      <c r="I93" s="44"/>
      <c r="J93" s="43"/>
      <c r="L93" s="43"/>
      <c r="M93" s="43"/>
      <c r="N93" s="43"/>
      <c r="Q93" s="43"/>
      <c r="R93" s="43"/>
    </row>
    <row r="94" spans="2:18" x14ac:dyDescent="0.2">
      <c r="B94" s="26" t="s">
        <v>70</v>
      </c>
      <c r="H94" s="43"/>
      <c r="I94" s="44"/>
      <c r="J94" s="43"/>
      <c r="L94" s="43"/>
      <c r="M94" s="43"/>
      <c r="N94" s="43"/>
      <c r="Q94" s="43"/>
      <c r="R94" s="43"/>
    </row>
    <row r="95" spans="2:18" x14ac:dyDescent="0.2">
      <c r="B95" s="26"/>
      <c r="H95" s="43"/>
      <c r="I95" s="44"/>
      <c r="J95" s="43"/>
      <c r="L95" s="43"/>
      <c r="M95" s="43"/>
      <c r="N95" s="43"/>
      <c r="Q95" s="43"/>
      <c r="R95" s="43"/>
    </row>
    <row r="96" spans="2:18" x14ac:dyDescent="0.2">
      <c r="B96" s="26" t="str">
        <f>IF(Lang="Français","Fusée à eau  ",IF(Lang="English","Water-rocket  ",""))</f>
        <v xml:space="preserve">Fusée à eau  </v>
      </c>
      <c r="H96" s="43"/>
      <c r="I96" s="44"/>
      <c r="J96" s="43"/>
      <c r="L96" s="43"/>
      <c r="M96" s="43"/>
      <c r="N96" s="43"/>
      <c r="Q96" s="43"/>
      <c r="R96" s="43"/>
    </row>
    <row r="97" spans="2:18" x14ac:dyDescent="0.2">
      <c r="B97" s="26" t="str">
        <f>IF(Lang="Français","Microfusée",IF(Lang="English","Micro-rocket",""))</f>
        <v>Microfusée</v>
      </c>
      <c r="H97" s="43"/>
      <c r="I97" s="44"/>
      <c r="J97" s="43"/>
      <c r="L97" s="43"/>
      <c r="M97" s="43"/>
      <c r="N97" s="43"/>
      <c r="Q97" s="43"/>
      <c r="R97" s="43"/>
    </row>
    <row r="98" spans="2:18" x14ac:dyDescent="0.2">
      <c r="B98" s="26" t="str">
        <f>IF(Lang="Français","Minifusée",IF(Lang="English","Mini-rocket",""))</f>
        <v>Minifusée</v>
      </c>
      <c r="H98" s="43"/>
      <c r="I98" s="44"/>
      <c r="J98" s="43"/>
      <c r="L98" s="43"/>
      <c r="M98" s="43"/>
      <c r="N98" s="43"/>
      <c r="Q98" s="43"/>
      <c r="R98" s="43"/>
    </row>
    <row r="99" spans="2:18" x14ac:dyDescent="0.2">
      <c r="B99" s="26" t="s">
        <v>401</v>
      </c>
      <c r="H99" s="43"/>
      <c r="I99" s="44"/>
      <c r="J99" s="43"/>
      <c r="L99" s="43"/>
      <c r="M99" s="43"/>
      <c r="N99" s="43"/>
      <c r="Q99" s="43"/>
      <c r="R99" s="43"/>
    </row>
    <row r="100" spans="2:18" x14ac:dyDescent="0.2">
      <c r="B100" s="26" t="str">
        <f>IF(Lang="Français","Fusée expérimentale.",IF(Lang="English","Experimental Rocket.",""))</f>
        <v>Fusée expérimentale.</v>
      </c>
      <c r="H100" s="43"/>
      <c r="I100" s="44"/>
      <c r="J100" s="43"/>
      <c r="L100" s="43"/>
      <c r="M100" s="43"/>
      <c r="N100" s="43"/>
      <c r="Q100" s="43"/>
      <c r="R100" s="43"/>
    </row>
    <row r="101" spans="2:18" x14ac:dyDescent="0.2">
      <c r="B101" s="26" t="s">
        <v>402</v>
      </c>
      <c r="H101" s="43"/>
      <c r="I101" s="44"/>
      <c r="J101" s="43"/>
      <c r="L101" s="43"/>
      <c r="M101" s="43"/>
      <c r="N101" s="43"/>
      <c r="Q101" s="43"/>
      <c r="R101" s="43"/>
    </row>
    <row r="102" spans="2:18" x14ac:dyDescent="0.2">
      <c r="B102" s="26"/>
      <c r="H102" s="43"/>
      <c r="I102" s="44"/>
      <c r="J102" s="43"/>
      <c r="L102" s="43"/>
      <c r="M102" s="43"/>
      <c r="N102" s="43"/>
      <c r="Q102" s="43"/>
      <c r="R102" s="43"/>
    </row>
    <row r="103" spans="2:18" x14ac:dyDescent="0.2">
      <c r="B103" s="26" t="str">
        <f>IF(Lang="Français","sans propu",IF(Lang="English","without motor",""))</f>
        <v>sans propu</v>
      </c>
      <c r="H103" s="43"/>
      <c r="I103" s="44"/>
      <c r="J103" s="43"/>
      <c r="L103" s="43"/>
      <c r="M103" s="43"/>
      <c r="N103" s="43"/>
      <c r="Q103" s="43"/>
      <c r="R103" s="43"/>
    </row>
    <row r="104" spans="2:18" x14ac:dyDescent="0.2">
      <c r="B104" s="26" t="str">
        <f>IF(Lang="Français","avec propu vide",IF(Lang="English","with empty motor",""))</f>
        <v>avec propu vide</v>
      </c>
      <c r="H104" s="43"/>
      <c r="I104" s="44"/>
      <c r="J104" s="43"/>
      <c r="L104" s="43"/>
      <c r="M104" s="43"/>
      <c r="N104" s="43"/>
      <c r="Q104" s="43"/>
      <c r="R104" s="43"/>
    </row>
    <row r="105" spans="2:18" x14ac:dyDescent="0.2">
      <c r="B105" s="26" t="str">
        <f>IF(Lang="Français","avec propu plein",IF(Lang="English","with loaded motor",""))</f>
        <v>avec propu plein</v>
      </c>
      <c r="H105" s="43"/>
      <c r="I105" s="44"/>
      <c r="J105" s="43"/>
      <c r="L105" s="43"/>
      <c r="M105" s="43"/>
      <c r="N105" s="43"/>
      <c r="Q105" s="43"/>
      <c r="R105" s="43"/>
    </row>
    <row r="106" spans="2:18" x14ac:dyDescent="0.2">
      <c r="B106" s="26"/>
      <c r="H106" s="43"/>
      <c r="I106" s="44"/>
      <c r="J106" s="43"/>
      <c r="L106" s="43"/>
      <c r="M106" s="43"/>
      <c r="N106" s="43"/>
      <c r="Q106" s="43"/>
      <c r="R106" s="43"/>
    </row>
    <row r="107" spans="2:18" x14ac:dyDescent="0.2">
      <c r="B107" s="26" t="str">
        <f>IF(Lang="Français","Parabolique (arrondie)",IF(Lang="English","Parabola (rounded)",""))</f>
        <v>Parabolique (arrondie)</v>
      </c>
      <c r="H107" s="43"/>
      <c r="I107" s="44"/>
      <c r="J107" s="43"/>
      <c r="L107" s="43"/>
      <c r="M107" s="43"/>
      <c r="N107" s="43"/>
      <c r="Q107" s="43"/>
      <c r="R107" s="43"/>
    </row>
    <row r="108" spans="2:18" x14ac:dyDescent="0.2">
      <c r="B108" s="26" t="str">
        <f>IF(Lang="Français","Ogivale (pointue)",IF(Lang="English","Ogive (sharp)",""))</f>
        <v>Ogivale (pointue)</v>
      </c>
      <c r="H108" s="43"/>
      <c r="I108" s="44"/>
      <c r="J108" s="43"/>
      <c r="L108" s="43"/>
      <c r="M108" s="43"/>
      <c r="N108" s="43"/>
      <c r="Q108" s="43"/>
      <c r="R108" s="43"/>
    </row>
    <row r="109" spans="2:18" x14ac:dyDescent="0.2">
      <c r="B109" s="26" t="str">
        <f>IF(Lang="Français","Conique (droite)",IF(Lang="English","Cone (straight)",""))</f>
        <v>Conique (droite)</v>
      </c>
      <c r="H109" s="43"/>
      <c r="I109" s="44"/>
      <c r="J109" s="43"/>
      <c r="L109" s="43"/>
      <c r="M109" s="43"/>
      <c r="N109" s="43"/>
      <c r="Q109" s="43"/>
      <c r="R109" s="43"/>
    </row>
    <row r="110" spans="2:18" x14ac:dyDescent="0.2">
      <c r="B110" s="38"/>
      <c r="H110" s="43"/>
      <c r="I110" s="44"/>
      <c r="J110" s="43"/>
      <c r="L110" s="43"/>
      <c r="M110" s="43"/>
      <c r="N110" s="43"/>
      <c r="Q110" s="43"/>
      <c r="R110" s="43"/>
    </row>
    <row r="111" spans="2:18" x14ac:dyDescent="0.2">
      <c r="B111" s="38" t="s">
        <v>428</v>
      </c>
      <c r="H111" s="43"/>
      <c r="I111" s="44"/>
      <c r="J111" s="43"/>
      <c r="L111" s="43"/>
      <c r="M111" s="43"/>
      <c r="N111" s="43"/>
      <c r="Q111" s="43"/>
      <c r="R111" s="43"/>
    </row>
    <row r="112" spans="2:18" x14ac:dyDescent="0.2">
      <c r="B112" s="38" t="s">
        <v>429</v>
      </c>
      <c r="H112" s="43"/>
      <c r="I112" s="44"/>
      <c r="J112" s="43"/>
      <c r="L112" s="43"/>
      <c r="M112" s="43"/>
      <c r="N112" s="43"/>
      <c r="Q112" s="43"/>
      <c r="R112" s="43"/>
    </row>
    <row r="113" spans="2:18" x14ac:dyDescent="0.2">
      <c r="B113" s="38"/>
      <c r="H113" s="43"/>
      <c r="I113" s="44"/>
      <c r="J113" s="43"/>
      <c r="L113" s="43"/>
      <c r="M113" s="43"/>
      <c r="N113" s="43"/>
      <c r="Q113" s="43"/>
      <c r="R113" s="43"/>
    </row>
    <row r="114" spans="2:18" x14ac:dyDescent="0.2">
      <c r="B114" s="38" t="str">
        <f>IF(Lang="Français","Fusée mono-diamètre,",IF(Lang="English","Mono-diameter rocket,",""))</f>
        <v>Fusée mono-diamètre,</v>
      </c>
      <c r="H114" s="43"/>
      <c r="I114" s="44"/>
      <c r="J114" s="43"/>
      <c r="L114" s="43"/>
      <c r="M114" s="43"/>
      <c r="N114" s="43"/>
      <c r="Q114" s="43"/>
      <c r="R114" s="43"/>
    </row>
    <row r="115" spans="2:18" x14ac:dyDescent="0.2">
      <c r="B115" s="38" t="str">
        <f>IF(Lang="Français","Plusieurs diamètres.",IF(Lang="English","Many diameters rocket.",""))</f>
        <v>Plusieurs diamètres.</v>
      </c>
      <c r="H115" s="43"/>
      <c r="I115" s="44"/>
      <c r="J115" s="43"/>
      <c r="L115" s="43"/>
      <c r="M115" s="43"/>
      <c r="N115" s="43"/>
      <c r="Q115" s="43"/>
      <c r="R115" s="43"/>
    </row>
    <row r="116" spans="2:18" x14ac:dyDescent="0.2">
      <c r="B116" s="38"/>
      <c r="H116" s="43"/>
      <c r="I116" s="44"/>
      <c r="J116" s="43"/>
      <c r="L116" s="43"/>
      <c r="M116" s="43"/>
      <c r="N116" s="43"/>
      <c r="Q116" s="43"/>
      <c r="R116" s="43"/>
    </row>
    <row r="117" spans="2:18" x14ac:dyDescent="0.2">
      <c r="B117" s="223" t="str">
        <f>IF(Lang="Français","Diagramme des critères de stabilité","Stability criterions diagram")</f>
        <v>Diagramme des critères de stabilité</v>
      </c>
      <c r="H117" s="43"/>
      <c r="I117" s="44"/>
      <c r="J117" s="43"/>
      <c r="L117" s="43"/>
      <c r="M117" s="43"/>
      <c r="N117" s="43"/>
      <c r="Q117" s="43"/>
      <c r="R117" s="43"/>
    </row>
    <row r="118" spans="2:18" x14ac:dyDescent="0.2">
      <c r="B118" s="223" t="str">
        <f>IF(Lang="Français","Marge Statique (MS)","Static Margin")</f>
        <v>Marge Statique (MS)</v>
      </c>
      <c r="H118" s="43"/>
      <c r="I118" s="44"/>
      <c r="J118" s="43"/>
      <c r="L118" s="43"/>
      <c r="M118" s="43"/>
      <c r="N118" s="43"/>
      <c r="Q118" s="43"/>
      <c r="R118" s="43"/>
    </row>
    <row r="119" spans="2:18" x14ac:dyDescent="0.2">
      <c r="B119" s="223" t="str">
        <f>IF(Lang="Français","Portance Cnα","Lift Cnα")</f>
        <v>Portance Cnα</v>
      </c>
      <c r="H119" s="43"/>
      <c r="I119" s="44"/>
      <c r="J119" s="43"/>
      <c r="L119" s="43"/>
      <c r="M119" s="43"/>
      <c r="N119" s="43"/>
      <c r="Q119" s="43"/>
      <c r="R119" s="43"/>
    </row>
    <row r="120" spans="2:18" x14ac:dyDescent="0.2">
      <c r="B120" s="38"/>
      <c r="H120" s="43"/>
      <c r="I120" s="44"/>
      <c r="J120" s="43"/>
      <c r="L120" s="43"/>
      <c r="M120" s="43"/>
      <c r="N120" s="43"/>
      <c r="Q120" s="43"/>
      <c r="R120" s="43"/>
    </row>
    <row r="121" spans="2:18" x14ac:dyDescent="0.2">
      <c r="B121" s="24" t="str">
        <f>IF(Lang="Français","Données pour les graphiques :",IF(Lang="English","Data for plots:",""))</f>
        <v>Données pour les graphiques :</v>
      </c>
      <c r="H121" s="43"/>
      <c r="I121" s="44"/>
      <c r="J121" s="43"/>
      <c r="L121" s="43"/>
      <c r="M121" s="43"/>
      <c r="N121" s="43"/>
      <c r="Q121" s="43"/>
      <c r="R121" s="43"/>
    </row>
    <row r="122" spans="2:18" x14ac:dyDescent="0.2">
      <c r="H122" s="43"/>
      <c r="I122" s="44"/>
      <c r="J122" s="43"/>
      <c r="L122" s="43"/>
      <c r="M122" s="43"/>
      <c r="N122" s="43"/>
      <c r="Q122" s="43"/>
      <c r="R122" s="43"/>
    </row>
    <row r="123" spans="2:18" x14ac:dyDescent="0.2">
      <c r="B123" s="45"/>
      <c r="C123" s="45" t="s">
        <v>71</v>
      </c>
      <c r="D123" s="45" t="s">
        <v>72</v>
      </c>
      <c r="E123" s="92" t="s">
        <v>73</v>
      </c>
      <c r="K123" s="45"/>
      <c r="R123" s="43"/>
    </row>
    <row r="124" spans="2:18" x14ac:dyDescent="0.2">
      <c r="B124" s="45" t="s">
        <v>75</v>
      </c>
      <c r="C124" s="46">
        <f>-Long_ogive</f>
        <v>-200</v>
      </c>
      <c r="D124" s="46">
        <v>0</v>
      </c>
      <c r="E124" s="93">
        <f t="shared" ref="E124:E136" si="0">-D124</f>
        <v>0</v>
      </c>
      <c r="K124" s="46"/>
    </row>
    <row r="125" spans="2:18" x14ac:dyDescent="0.2">
      <c r="B125" s="45" t="s">
        <v>75</v>
      </c>
      <c r="C125" s="46">
        <f>-Long_ogive</f>
        <v>-200</v>
      </c>
      <c r="D125" s="46">
        <f>D_og/2</f>
        <v>42</v>
      </c>
      <c r="E125" s="93">
        <f t="shared" si="0"/>
        <v>-42</v>
      </c>
      <c r="K125" s="46"/>
    </row>
    <row r="126" spans="2:18" x14ac:dyDescent="0.2">
      <c r="B126" s="45" t="s">
        <v>76</v>
      </c>
      <c r="C126" s="46">
        <f>IF(AND(RIGHT(Nb_diam,1)=".",X_j), -X_j, C125 )</f>
        <v>-200</v>
      </c>
      <c r="D126" s="46">
        <f>IF(AND(RIGHT(Nb_diam,1)=".",X_j), D1j/2, D125 )</f>
        <v>42</v>
      </c>
      <c r="E126" s="93">
        <f t="shared" si="0"/>
        <v>-42</v>
      </c>
      <c r="K126" s="46"/>
    </row>
    <row r="127" spans="2:18" x14ac:dyDescent="0.2">
      <c r="B127" s="45" t="s">
        <v>77</v>
      </c>
      <c r="C127" s="46">
        <f>IF(AND(RIGHT(Nb_diam,1)=".",X_j), -X_j-l_j, C126 )</f>
        <v>-200</v>
      </c>
      <c r="D127" s="46">
        <f>IF(AND(RIGHT(Nb_diam,1)=".",X_j), D2j/2, D126 )</f>
        <v>42</v>
      </c>
      <c r="E127" s="93">
        <f t="shared" si="0"/>
        <v>-42</v>
      </c>
      <c r="K127" s="46"/>
    </row>
    <row r="128" spans="2:18" x14ac:dyDescent="0.2">
      <c r="B128" s="45" t="s">
        <v>78</v>
      </c>
      <c r="C128" s="46">
        <f>IF(AND(RIGHT(Nb_diam,1)=".",X_r), -X_r, C127 )</f>
        <v>-850</v>
      </c>
      <c r="D128" s="46">
        <f>IF(AND(RIGHT(Nb_diam,1)=".",X_r), D1r/2, D127 )</f>
        <v>42</v>
      </c>
      <c r="E128" s="93">
        <f t="shared" si="0"/>
        <v>-42</v>
      </c>
      <c r="K128" s="46"/>
    </row>
    <row r="129" spans="2:11" x14ac:dyDescent="0.2">
      <c r="B129" s="45" t="s">
        <v>79</v>
      </c>
      <c r="C129" s="46">
        <f>IF(AND(RIGHT(Nb_diam,1)=".",X_r), -X_r-l_r, C128 )</f>
        <v>-900</v>
      </c>
      <c r="D129" s="46">
        <f>IF(AND(RIGHT(Nb_diam,1)=".",X_r), D2r/2, D128 )</f>
        <v>42</v>
      </c>
      <c r="E129" s="93">
        <f t="shared" si="0"/>
        <v>-42</v>
      </c>
      <c r="K129" s="46"/>
    </row>
    <row r="130" spans="2:11" x14ac:dyDescent="0.2">
      <c r="B130" s="45" t="s">
        <v>80</v>
      </c>
      <c r="C130" s="46">
        <f>-Long_tot</f>
        <v>-900</v>
      </c>
      <c r="D130" s="46">
        <f>D129</f>
        <v>42</v>
      </c>
      <c r="E130" s="93">
        <f t="shared" si="0"/>
        <v>-42</v>
      </c>
      <c r="K130" s="46"/>
    </row>
    <row r="131" spans="2:11" x14ac:dyDescent="0.2">
      <c r="B131" s="45" t="s">
        <v>80</v>
      </c>
      <c r="C131" s="46">
        <f>-Long_tot</f>
        <v>-900</v>
      </c>
      <c r="D131" s="46">
        <v>0</v>
      </c>
      <c r="E131" s="93">
        <f t="shared" si="0"/>
        <v>0</v>
      </c>
      <c r="K131" s="46"/>
    </row>
    <row r="132" spans="2:11" x14ac:dyDescent="0.2">
      <c r="B132" s="183" t="s">
        <v>81</v>
      </c>
      <c r="C132" s="197">
        <f>-X_ail+m_ail</f>
        <v>-720</v>
      </c>
      <c r="D132" s="197">
        <f>D_ail/2</f>
        <v>32</v>
      </c>
      <c r="E132" s="198">
        <f t="shared" si="0"/>
        <v>-32</v>
      </c>
      <c r="K132" s="46"/>
    </row>
    <row r="133" spans="2:11" x14ac:dyDescent="0.2">
      <c r="B133" s="185" t="s">
        <v>82</v>
      </c>
      <c r="C133" s="46">
        <f>-X_ail+m_ail-p_ail</f>
        <v>-850</v>
      </c>
      <c r="D133" s="46">
        <f>D_ail/2+E_ail</f>
        <v>142</v>
      </c>
      <c r="E133" s="199">
        <f t="shared" si="0"/>
        <v>-142</v>
      </c>
      <c r="K133" s="46"/>
    </row>
    <row r="134" spans="2:11" x14ac:dyDescent="0.2">
      <c r="B134" s="185" t="s">
        <v>83</v>
      </c>
      <c r="C134" s="46">
        <f>-X_ail+m_ail-p_ail-n_ail</f>
        <v>-920</v>
      </c>
      <c r="D134" s="46">
        <f>D_ail/2+E_ail</f>
        <v>142</v>
      </c>
      <c r="E134" s="199">
        <f t="shared" si="0"/>
        <v>-142</v>
      </c>
      <c r="K134" s="46"/>
    </row>
    <row r="135" spans="2:11" x14ac:dyDescent="0.2">
      <c r="B135" s="185" t="s">
        <v>84</v>
      </c>
      <c r="C135" s="46">
        <f>-X_ail</f>
        <v>-850</v>
      </c>
      <c r="D135" s="46">
        <f>D_ail/2</f>
        <v>32</v>
      </c>
      <c r="E135" s="199">
        <f t="shared" si="0"/>
        <v>-32</v>
      </c>
      <c r="K135" s="46"/>
    </row>
    <row r="136" spans="2:11" x14ac:dyDescent="0.2">
      <c r="B136" s="187" t="s">
        <v>81</v>
      </c>
      <c r="C136" s="200">
        <f>-X_ail+m_ail</f>
        <v>-720</v>
      </c>
      <c r="D136" s="200">
        <f>D_ail/2</f>
        <v>32</v>
      </c>
      <c r="E136" s="201">
        <f t="shared" si="0"/>
        <v>-32</v>
      </c>
      <c r="K136" s="46"/>
    </row>
    <row r="137" spans="2:11" x14ac:dyDescent="0.2">
      <c r="B137" s="192" t="str">
        <f>IF(E_ail&gt;0,IF(Lang="Français","Envergure","Span"),"")</f>
        <v>Envergure</v>
      </c>
      <c r="C137" s="197">
        <f>MIN(-X_ail,-X_ail+m_ail-p_ail-n_ail)-Long_tot/30</f>
        <v>-950</v>
      </c>
      <c r="D137" s="207">
        <f>-D_ail/2-E_ail</f>
        <v>-142</v>
      </c>
      <c r="E137" s="93"/>
      <c r="K137" s="46"/>
    </row>
    <row r="138" spans="2:11" x14ac:dyDescent="0.2">
      <c r="B138" s="195" t="s">
        <v>169</v>
      </c>
      <c r="C138" s="46">
        <f>MIN(-X_ail,-X_ail+m_ail-p_ail-n_ail)-Long_tot/30</f>
        <v>-950</v>
      </c>
      <c r="D138" s="208">
        <f>-D_ail/2-E_ail/2</f>
        <v>-87</v>
      </c>
      <c r="E138" s="93"/>
      <c r="K138" s="46"/>
    </row>
    <row r="139" spans="2:11" x14ac:dyDescent="0.2">
      <c r="B139" s="212" t="s">
        <v>165</v>
      </c>
      <c r="C139" s="200">
        <f>MIN(-X_ail,-X_ail+m_ail-p_ail-n_ail)-Long_tot/30</f>
        <v>-950</v>
      </c>
      <c r="D139" s="209">
        <f>-D_ail/2</f>
        <v>-32</v>
      </c>
      <c r="E139" s="93"/>
      <c r="K139" s="46"/>
    </row>
    <row r="140" spans="2:11" x14ac:dyDescent="0.2">
      <c r="B140" s="192" t="str">
        <f>IF(Lang="Français","Emplanture","Root edge")</f>
        <v>Emplanture</v>
      </c>
      <c r="C140" s="197">
        <f>-X_ail+m_ail</f>
        <v>-720</v>
      </c>
      <c r="D140" s="207">
        <f>D_ail/2+E_ail+Long_tot/20</f>
        <v>187</v>
      </c>
      <c r="E140" s="93"/>
      <c r="K140" s="46"/>
    </row>
    <row r="141" spans="2:11" x14ac:dyDescent="0.2">
      <c r="B141" s="195" t="s">
        <v>171</v>
      </c>
      <c r="C141" s="46">
        <f>-X_ail+m_ail/2</f>
        <v>-785</v>
      </c>
      <c r="D141" s="208">
        <f>D_ail/2+E_ail+Long_tot/20</f>
        <v>187</v>
      </c>
      <c r="E141" s="93"/>
      <c r="K141" s="46"/>
    </row>
    <row r="142" spans="2:11" x14ac:dyDescent="0.2">
      <c r="B142" s="212" t="s">
        <v>172</v>
      </c>
      <c r="C142" s="200">
        <f>-X_ail</f>
        <v>-850</v>
      </c>
      <c r="D142" s="209">
        <f>D_ail/2+E_ail+Long_tot/20</f>
        <v>187</v>
      </c>
      <c r="E142" s="93"/>
      <c r="K142" s="46"/>
    </row>
    <row r="143" spans="2:11" x14ac:dyDescent="0.2">
      <c r="B143" s="192" t="str">
        <f>IF(p_ail&lt;&gt;0,IF(Lang="Français","Flèche","Offset"),"")</f>
        <v>Flèche</v>
      </c>
      <c r="C143" s="197">
        <f>-X_ail+m_ail</f>
        <v>-720</v>
      </c>
      <c r="D143" s="207">
        <f>-D_ail/2-E_ail-Long_tot/30</f>
        <v>-172</v>
      </c>
      <c r="E143" s="93"/>
      <c r="K143" s="46"/>
    </row>
    <row r="144" spans="2:11" x14ac:dyDescent="0.2">
      <c r="B144" s="195" t="s">
        <v>168</v>
      </c>
      <c r="C144" s="46">
        <f>-X_ail+m_ail-p_ail/2</f>
        <v>-785</v>
      </c>
      <c r="D144" s="208">
        <f>-D_ail/2-E_ail-Long_tot/30</f>
        <v>-172</v>
      </c>
      <c r="E144" s="93"/>
      <c r="K144" s="46"/>
    </row>
    <row r="145" spans="2:11" x14ac:dyDescent="0.2">
      <c r="B145" s="212" t="s">
        <v>166</v>
      </c>
      <c r="C145" s="200">
        <f>-X_ail+m_ail-p_ail</f>
        <v>-850</v>
      </c>
      <c r="D145" s="209">
        <f>-D_ail/2-E_ail-Long_tot/30</f>
        <v>-172</v>
      </c>
      <c r="E145" s="93"/>
      <c r="K145" s="46"/>
    </row>
    <row r="146" spans="2:11" x14ac:dyDescent="0.2">
      <c r="B146" s="192" t="str">
        <f>IF(n_ail&gt;0,IF(Lang="Français","Saumon","Tip edge"),"")</f>
        <v>Saumon</v>
      </c>
      <c r="C146" s="197">
        <f>-X_ail+m_ail-p_ail</f>
        <v>-850</v>
      </c>
      <c r="D146" s="207">
        <f>-D_ail/2-E_ail-Long_tot/20</f>
        <v>-187</v>
      </c>
      <c r="E146" s="93"/>
      <c r="K146" s="46"/>
    </row>
    <row r="147" spans="2:11" x14ac:dyDescent="0.2">
      <c r="B147" s="195" t="s">
        <v>170</v>
      </c>
      <c r="C147" s="46">
        <f>-X_ail+m_ail-p_ail-n_ail/2</f>
        <v>-885</v>
      </c>
      <c r="D147" s="208">
        <f>-D_ail/2-E_ail-Long_tot/20</f>
        <v>-187</v>
      </c>
      <c r="E147" s="93"/>
      <c r="K147" s="46"/>
    </row>
    <row r="148" spans="2:11" x14ac:dyDescent="0.2">
      <c r="B148" s="212" t="s">
        <v>167</v>
      </c>
      <c r="C148" s="200">
        <f>-X_ail+m_ail-p_ail-n_ail</f>
        <v>-920</v>
      </c>
      <c r="D148" s="209">
        <f>-D_ail/2-E_ail-Long_tot/20</f>
        <v>-187</v>
      </c>
      <c r="E148" s="93"/>
      <c r="K148" s="46"/>
    </row>
    <row r="149" spans="2:11" x14ac:dyDescent="0.2">
      <c r="B149" s="183" t="s">
        <v>85</v>
      </c>
      <c r="C149" s="197">
        <f ca="1">-XcgPlein</f>
        <v>-517.47136441501925</v>
      </c>
      <c r="D149" s="207">
        <v>0</v>
      </c>
      <c r="E149" s="93"/>
      <c r="K149" s="46"/>
    </row>
    <row r="150" spans="2:11" x14ac:dyDescent="0.2">
      <c r="B150" s="187" t="s">
        <v>86</v>
      </c>
      <c r="C150" s="200">
        <f ca="1">-XcgVide</f>
        <v>-509.54507508516048</v>
      </c>
      <c r="D150" s="209">
        <v>0</v>
      </c>
      <c r="E150" s="93"/>
      <c r="K150" s="46"/>
    </row>
    <row r="151" spans="2:11" x14ac:dyDescent="0.2">
      <c r="B151" s="183" t="s">
        <v>87</v>
      </c>
      <c r="C151" s="197">
        <f>-XCp</f>
        <v>-708.70059180078977</v>
      </c>
      <c r="D151" s="207">
        <v>0</v>
      </c>
      <c r="E151" s="93"/>
      <c r="K151" s="46"/>
    </row>
    <row r="152" spans="2:11" x14ac:dyDescent="0.2">
      <c r="B152" s="187" t="s">
        <v>87</v>
      </c>
      <c r="C152" s="200">
        <f>-XCp</f>
        <v>-708.70059180078977</v>
      </c>
      <c r="D152" s="209">
        <f>Cn*D_ref/CritCnmin</f>
        <v>78.642733725783302</v>
      </c>
      <c r="E152" s="93"/>
      <c r="K152" s="46"/>
    </row>
    <row r="153" spans="2:11" x14ac:dyDescent="0.2">
      <c r="B153" s="185" t="s">
        <v>426</v>
      </c>
      <c r="C153" s="46">
        <f>-XCp0</f>
        <v>-708.70059180078977</v>
      </c>
      <c r="D153" s="208">
        <f>Cn0*D_ref/CritCnmin</f>
        <v>78.642733725783302</v>
      </c>
      <c r="E153" s="93"/>
      <c r="K153" s="46"/>
    </row>
    <row r="154" spans="2:11" x14ac:dyDescent="0.2">
      <c r="B154" s="185" t="s">
        <v>426</v>
      </c>
      <c r="C154" s="46">
        <f>-XCp0</f>
        <v>-708.70059180078977</v>
      </c>
      <c r="D154" s="208">
        <v>0</v>
      </c>
      <c r="E154" s="93"/>
      <c r="K154" s="46"/>
    </row>
    <row r="155" spans="2:11" x14ac:dyDescent="0.2">
      <c r="B155" s="192" t="str">
        <f>IF(n_ail&gt;0,IF(Lang="Français","Marge Statique","Static Margin"),"")</f>
        <v>Marge Statique</v>
      </c>
      <c r="C155" s="197">
        <f ca="1">(-XcgPlein-XcgVide)/2</f>
        <v>-513.50821975008989</v>
      </c>
      <c r="D155" s="207">
        <f>-D_ail/2-E_ail-Long_tot/20</f>
        <v>-187</v>
      </c>
      <c r="E155" s="93"/>
      <c r="K155" s="46"/>
    </row>
    <row r="156" spans="2:11" x14ac:dyDescent="0.2">
      <c r="B156" s="195" t="s">
        <v>173</v>
      </c>
      <c r="C156" s="46">
        <f ca="1">(C155+C157)/2</f>
        <v>-611.10440577543977</v>
      </c>
      <c r="D156" s="208">
        <f>-D_ail/2-E_ail-Long_tot/20</f>
        <v>-187</v>
      </c>
      <c r="E156" s="93"/>
      <c r="K156" s="46"/>
    </row>
    <row r="157" spans="2:11" x14ac:dyDescent="0.2">
      <c r="B157" s="212" t="s">
        <v>174</v>
      </c>
      <c r="C157" s="200">
        <f>-XCp</f>
        <v>-708.70059180078977</v>
      </c>
      <c r="D157" s="209">
        <f>-D_ail/2-E_ail-Long_tot/20</f>
        <v>-187</v>
      </c>
      <c r="E157" s="93"/>
      <c r="K157" s="46"/>
    </row>
    <row r="158" spans="2:11" x14ac:dyDescent="0.2">
      <c r="B158" s="183" t="s">
        <v>88</v>
      </c>
      <c r="C158" s="197">
        <f>IF(LEFT(Type_masquage,1)="M",0,-X_can+m_can)</f>
        <v>0</v>
      </c>
      <c r="D158" s="197">
        <f>IF(LEFT(Type_masquage,1)="M",0,D_ail/2)</f>
        <v>0</v>
      </c>
      <c r="E158" s="198">
        <f t="shared" ref="E158:E167" si="1">-D158</f>
        <v>0</v>
      </c>
      <c r="K158" s="46"/>
    </row>
    <row r="159" spans="2:11" x14ac:dyDescent="0.2">
      <c r="B159" s="185" t="s">
        <v>89</v>
      </c>
      <c r="C159" s="46">
        <f>IF(LEFT(Type_masquage,1)="M",0,-X_can+m_can-p_can)</f>
        <v>0</v>
      </c>
      <c r="D159" s="46">
        <f>IF(LEFT(Type_masquage,1)="M",0,D_ail/2+E_can)</f>
        <v>0</v>
      </c>
      <c r="E159" s="199">
        <f t="shared" si="1"/>
        <v>0</v>
      </c>
      <c r="K159" s="46"/>
    </row>
    <row r="160" spans="2:11" x14ac:dyDescent="0.2">
      <c r="B160" s="185" t="s">
        <v>90</v>
      </c>
      <c r="C160" s="46">
        <f>IF(LEFT(Type_masquage,1)="M",0,-X_can+m_can-p_can-n_can)</f>
        <v>0</v>
      </c>
      <c r="D160" s="46">
        <f>IF(LEFT(Type_masquage,1)="M",0,D_ail/2+E_can)</f>
        <v>0</v>
      </c>
      <c r="E160" s="199">
        <f t="shared" si="1"/>
        <v>0</v>
      </c>
      <c r="K160" s="46"/>
    </row>
    <row r="161" spans="2:11" x14ac:dyDescent="0.2">
      <c r="B161" s="185" t="s">
        <v>91</v>
      </c>
      <c r="C161" s="46">
        <f>IF(LEFT(Type_masquage,1)="M",0,-X_can)</f>
        <v>0</v>
      </c>
      <c r="D161" s="46">
        <f>IF(LEFT(Type_masquage,1)="M",0,D_ail/2)</f>
        <v>0</v>
      </c>
      <c r="E161" s="199">
        <f t="shared" si="1"/>
        <v>0</v>
      </c>
      <c r="K161" s="46"/>
    </row>
    <row r="162" spans="2:11" x14ac:dyDescent="0.2">
      <c r="B162" s="187" t="s">
        <v>88</v>
      </c>
      <c r="C162" s="200">
        <f>IF(LEFT(Type_masquage,1)="M",0,-X_can+m_can)</f>
        <v>0</v>
      </c>
      <c r="D162" s="200">
        <f>IF(LEFT(Type_masquage,1)="M",0,D_ail/2)</f>
        <v>0</v>
      </c>
      <c r="E162" s="201">
        <f t="shared" si="1"/>
        <v>0</v>
      </c>
      <c r="K162" s="46"/>
    </row>
    <row r="163" spans="2:11" x14ac:dyDescent="0.2">
      <c r="B163" s="183" t="s">
        <v>92</v>
      </c>
      <c r="C163" s="197">
        <f>IF(LEFT(Type_masquage,1)="B",-X_int+m_int,0)</f>
        <v>0</v>
      </c>
      <c r="D163" s="197">
        <f>IF(LEFT(Type_masquage,1)="B",D_int/2,0)</f>
        <v>0</v>
      </c>
      <c r="E163" s="198">
        <f t="shared" si="1"/>
        <v>0</v>
      </c>
      <c r="K163" s="46"/>
    </row>
    <row r="164" spans="2:11" x14ac:dyDescent="0.2">
      <c r="B164" s="185" t="s">
        <v>93</v>
      </c>
      <c r="C164" s="46">
        <f>IF(LEFT(Type_masquage,1)="B",-X_int+m_int-p_int,0)</f>
        <v>0</v>
      </c>
      <c r="D164" s="46">
        <f>IF(LEFT(Type_masquage,1)="B",D_int/2+E_int,0)</f>
        <v>0</v>
      </c>
      <c r="E164" s="199">
        <f t="shared" si="1"/>
        <v>0</v>
      </c>
      <c r="K164" s="46"/>
    </row>
    <row r="165" spans="2:11" x14ac:dyDescent="0.2">
      <c r="B165" s="185" t="s">
        <v>94</v>
      </c>
      <c r="C165" s="46">
        <f>IF(LEFT(Type_masquage,1)="B",-X_int+m_int-p_int-n_int,0)</f>
        <v>0</v>
      </c>
      <c r="D165" s="46">
        <f>IF(LEFT(Type_masquage,1)="B",D_int/2+E_int,0)</f>
        <v>0</v>
      </c>
      <c r="E165" s="199">
        <f t="shared" si="1"/>
        <v>0</v>
      </c>
      <c r="K165" s="46"/>
    </row>
    <row r="166" spans="2:11" x14ac:dyDescent="0.2">
      <c r="B166" s="185" t="s">
        <v>95</v>
      </c>
      <c r="C166" s="46">
        <f>IF(LEFT(Type_masquage,1)="B",-X_int,0)</f>
        <v>0</v>
      </c>
      <c r="D166" s="46">
        <f>IF(LEFT(Type_masquage,1)="B",D_int/2,0)</f>
        <v>0</v>
      </c>
      <c r="E166" s="199">
        <f t="shared" si="1"/>
        <v>0</v>
      </c>
      <c r="K166" s="46"/>
    </row>
    <row r="167" spans="2:11" x14ac:dyDescent="0.2">
      <c r="B167" s="187" t="s">
        <v>92</v>
      </c>
      <c r="C167" s="200">
        <f>IF(LEFT(Type_masquage,1)="B",-X_int+m_int,0)</f>
        <v>0</v>
      </c>
      <c r="D167" s="200">
        <f>IF(LEFT(Type_masquage,1)="B",D_int/2,0)</f>
        <v>0</v>
      </c>
      <c r="E167" s="201">
        <f t="shared" si="1"/>
        <v>0</v>
      </c>
      <c r="K167" s="46"/>
    </row>
    <row r="168" spans="2:11" x14ac:dyDescent="0.2">
      <c r="B168" s="45" t="s">
        <v>96</v>
      </c>
      <c r="C168" s="46">
        <f>-MAX(Long_tot, X_ail-m_ail+p_ail+n_ail, (E_ail+D_ail/2)*3.2)*1.01</f>
        <v>-929.2</v>
      </c>
      <c r="D168" s="46">
        <f>MAX(E_ail+D_ail/2, Long_tot/3)</f>
        <v>300</v>
      </c>
      <c r="E168" s="93"/>
      <c r="K168" s="46"/>
    </row>
    <row r="169" spans="2:11" x14ac:dyDescent="0.2">
      <c r="B169" s="45" t="s">
        <v>96</v>
      </c>
      <c r="C169" s="46">
        <f>C168</f>
        <v>-929.2</v>
      </c>
      <c r="D169" s="46">
        <f>-D168</f>
        <v>-300</v>
      </c>
      <c r="E169" s="93"/>
      <c r="K169" s="46"/>
    </row>
    <row r="170" spans="2:11" x14ac:dyDescent="0.2">
      <c r="B170" s="183" t="s">
        <v>97</v>
      </c>
      <c r="C170" s="197">
        <f ca="1">-XpropuRef+Long_propu</f>
        <v>-622</v>
      </c>
      <c r="D170" s="207">
        <f ca="1">-Diam_propu/2</f>
        <v>-12</v>
      </c>
      <c r="E170" s="93"/>
      <c r="K170" s="46"/>
    </row>
    <row r="171" spans="2:11" x14ac:dyDescent="0.2">
      <c r="B171" s="185" t="s">
        <v>98</v>
      </c>
      <c r="C171" s="46">
        <f ca="1">-XpropuRef+Long_propu</f>
        <v>-622</v>
      </c>
      <c r="D171" s="208">
        <f ca="1">Diam_propu/2</f>
        <v>12</v>
      </c>
      <c r="E171" s="93"/>
      <c r="K171" s="46"/>
    </row>
    <row r="172" spans="2:11" x14ac:dyDescent="0.2">
      <c r="B172" s="185" t="s">
        <v>99</v>
      </c>
      <c r="C172" s="46">
        <f>-XpropuRef</f>
        <v>-850</v>
      </c>
      <c r="D172" s="208">
        <f ca="1">Diam_propu/2</f>
        <v>12</v>
      </c>
      <c r="E172" s="93"/>
      <c r="K172" s="46"/>
    </row>
    <row r="173" spans="2:11" x14ac:dyDescent="0.2">
      <c r="B173" s="185" t="s">
        <v>100</v>
      </c>
      <c r="C173" s="46">
        <f>-XpropuRef</f>
        <v>-850</v>
      </c>
      <c r="D173" s="208">
        <f ca="1">-Diam_propu/2</f>
        <v>-12</v>
      </c>
      <c r="E173" s="93"/>
      <c r="K173" s="46"/>
    </row>
    <row r="174" spans="2:11" x14ac:dyDescent="0.2">
      <c r="B174" s="187" t="s">
        <v>101</v>
      </c>
      <c r="C174" s="200">
        <f ca="1">-XpropuRef+Long_propu</f>
        <v>-622</v>
      </c>
      <c r="D174" s="209">
        <f ca="1">-Diam_propu/2</f>
        <v>-12</v>
      </c>
      <c r="E174" s="93"/>
      <c r="F174" s="192" t="s">
        <v>162</v>
      </c>
      <c r="G174" s="193" t="s">
        <v>163</v>
      </c>
      <c r="H174" s="194" t="s">
        <v>164</v>
      </c>
      <c r="K174" s="46"/>
    </row>
    <row r="175" spans="2:11" x14ac:dyDescent="0.2">
      <c r="B175" s="183" t="s">
        <v>74</v>
      </c>
      <c r="C175" s="197">
        <v>0</v>
      </c>
      <c r="D175" s="197">
        <v>0</v>
      </c>
      <c r="E175" s="198">
        <f t="shared" ref="E175:E180" si="2">-D175</f>
        <v>0</v>
      </c>
      <c r="F175" s="195">
        <v>0</v>
      </c>
      <c r="G175" s="45">
        <v>0</v>
      </c>
      <c r="H175" s="189">
        <v>0</v>
      </c>
      <c r="K175" s="46"/>
    </row>
    <row r="176" spans="2:11" x14ac:dyDescent="0.2">
      <c r="B176" s="185" t="s">
        <v>75</v>
      </c>
      <c r="C176" s="46">
        <f>-Long_ogive*0.1</f>
        <v>-20</v>
      </c>
      <c r="D176" s="46">
        <f>IF(LEFT(Forme_ogive,5)="Parab",H176,IF(LEFT(Forme_ogive,4)="Ogiv",G176,IF(LEFT(Forme_ogive,3)="Con",F176)))</f>
        <v>4.2</v>
      </c>
      <c r="E176" s="199">
        <f t="shared" si="2"/>
        <v>-4.2</v>
      </c>
      <c r="F176" s="185">
        <f>D_og/2*0.1</f>
        <v>4.2</v>
      </c>
      <c r="G176" s="45">
        <f>D_og/2*0.2</f>
        <v>8.4</v>
      </c>
      <c r="H176" s="189">
        <f>D_og/2*0.5</f>
        <v>21</v>
      </c>
      <c r="K176" s="46"/>
    </row>
    <row r="177" spans="2:11" x14ac:dyDescent="0.2">
      <c r="B177" s="185" t="s">
        <v>75</v>
      </c>
      <c r="C177" s="46">
        <f>-Long_ogive/4</f>
        <v>-50</v>
      </c>
      <c r="D177" s="46">
        <f>IF(LEFT(Forme_ogive,5)="Parab",H177,IF(LEFT(Forme_ogive,4)="Ogiv",G177,IF(LEFT(Forme_ogive,3)="Con",F177)))</f>
        <v>10.5</v>
      </c>
      <c r="E177" s="199">
        <f t="shared" si="2"/>
        <v>-10.5</v>
      </c>
      <c r="F177" s="185">
        <f>D_og/2*1/4</f>
        <v>10.5</v>
      </c>
      <c r="G177" s="45">
        <f>D_og/2/2</f>
        <v>21</v>
      </c>
      <c r="H177" s="189">
        <f>D_og/2*0.7</f>
        <v>29.4</v>
      </c>
      <c r="K177" s="46"/>
    </row>
    <row r="178" spans="2:11" x14ac:dyDescent="0.2">
      <c r="B178" s="185" t="s">
        <v>75</v>
      </c>
      <c r="C178" s="46">
        <f>-Long_ogive/2</f>
        <v>-100</v>
      </c>
      <c r="D178" s="46">
        <f>IF(LEFT(Forme_ogive,5)="Parab",H178,IF(LEFT(Forme_ogive,4)="Ogiv",G178,IF(LEFT(Forme_ogive,3)="Con",F178)))</f>
        <v>21</v>
      </c>
      <c r="E178" s="199">
        <f t="shared" si="2"/>
        <v>-21</v>
      </c>
      <c r="F178" s="185">
        <f>D_og/2/2</f>
        <v>21</v>
      </c>
      <c r="G178" s="45">
        <f>D_og/2*3/4</f>
        <v>31.5</v>
      </c>
      <c r="H178" s="189">
        <f>D_og/2*0.88</f>
        <v>36.96</v>
      </c>
      <c r="K178" s="46"/>
    </row>
    <row r="179" spans="2:11" x14ac:dyDescent="0.2">
      <c r="B179" s="185" t="s">
        <v>75</v>
      </c>
      <c r="C179" s="46">
        <f>-Long_ogive*3/4</f>
        <v>-150</v>
      </c>
      <c r="D179" s="46">
        <f>IF(LEFT(Forme_ogive,5)="Parab",H179,IF(LEFT(Forme_ogive,4)="Ogiv",G179,IF(LEFT(Forme_ogive,3)="Con",F179)))</f>
        <v>31.5</v>
      </c>
      <c r="E179" s="199">
        <f t="shared" si="2"/>
        <v>-31.5</v>
      </c>
      <c r="F179" s="185">
        <f>D_og/2*3/4</f>
        <v>31.5</v>
      </c>
      <c r="G179" s="45">
        <f>D_og/2*0.9</f>
        <v>37.800000000000004</v>
      </c>
      <c r="H179" s="189">
        <f>D_og/2*0.95</f>
        <v>39.9</v>
      </c>
      <c r="K179" s="46"/>
    </row>
    <row r="180" spans="2:11" x14ac:dyDescent="0.2">
      <c r="B180" s="187" t="s">
        <v>75</v>
      </c>
      <c r="C180" s="200">
        <f>-Long_ogive</f>
        <v>-200</v>
      </c>
      <c r="D180" s="200">
        <f>D_og/2</f>
        <v>42</v>
      </c>
      <c r="E180" s="201">
        <f t="shared" si="2"/>
        <v>-42</v>
      </c>
      <c r="F180" s="187">
        <f>D_og/2</f>
        <v>42</v>
      </c>
      <c r="G180" s="196">
        <f>D_og/2</f>
        <v>42</v>
      </c>
      <c r="H180" s="190">
        <f>D_og/2</f>
        <v>42</v>
      </c>
      <c r="K180" s="26"/>
    </row>
    <row r="181" spans="2:11" x14ac:dyDescent="0.2">
      <c r="B181" s="45" t="s">
        <v>102</v>
      </c>
      <c r="C181" s="45" t="s">
        <v>103</v>
      </c>
      <c r="D181" s="183" t="s">
        <v>102</v>
      </c>
      <c r="E181" s="204" t="s">
        <v>103</v>
      </c>
      <c r="K181" s="45"/>
    </row>
    <row r="182" spans="2:11" x14ac:dyDescent="0.2">
      <c r="B182" s="183">
        <v>0</v>
      </c>
      <c r="C182" s="202">
        <f>CritCnmin</f>
        <v>15</v>
      </c>
      <c r="D182" s="185">
        <v>0.5</v>
      </c>
      <c r="E182" s="205">
        <f t="shared" ref="E182:E187" si="3">CritMsCnmin/D182</f>
        <v>60</v>
      </c>
      <c r="K182" s="45"/>
    </row>
    <row r="183" spans="2:11" x14ac:dyDescent="0.2">
      <c r="B183" s="187">
        <v>7</v>
      </c>
      <c r="C183" s="196">
        <f>CritCnmin</f>
        <v>15</v>
      </c>
      <c r="D183" s="185">
        <v>1</v>
      </c>
      <c r="E183" s="205">
        <f t="shared" si="3"/>
        <v>30</v>
      </c>
      <c r="K183" s="45"/>
    </row>
    <row r="184" spans="2:11" x14ac:dyDescent="0.2">
      <c r="B184" s="183">
        <v>0</v>
      </c>
      <c r="C184" s="202">
        <f>CritCnmax</f>
        <v>30</v>
      </c>
      <c r="D184" s="185">
        <v>2</v>
      </c>
      <c r="E184" s="205">
        <f t="shared" si="3"/>
        <v>15</v>
      </c>
      <c r="K184" s="45"/>
    </row>
    <row r="185" spans="2:11" x14ac:dyDescent="0.2">
      <c r="B185" s="187">
        <v>7</v>
      </c>
      <c r="C185" s="196">
        <f>CritCnmax</f>
        <v>30</v>
      </c>
      <c r="D185" s="185">
        <v>3</v>
      </c>
      <c r="E185" s="205">
        <f t="shared" si="3"/>
        <v>10</v>
      </c>
      <c r="K185" s="45"/>
    </row>
    <row r="186" spans="2:11" x14ac:dyDescent="0.2">
      <c r="B186" s="183">
        <f>CritMsmin</f>
        <v>1.5</v>
      </c>
      <c r="C186" s="202">
        <v>0</v>
      </c>
      <c r="D186" s="185">
        <v>5</v>
      </c>
      <c r="E186" s="205">
        <f t="shared" si="3"/>
        <v>6</v>
      </c>
      <c r="K186" s="45"/>
    </row>
    <row r="187" spans="2:11" x14ac:dyDescent="0.2">
      <c r="B187" s="187">
        <f>CritMsmin</f>
        <v>1.5</v>
      </c>
      <c r="C187" s="196">
        <v>55</v>
      </c>
      <c r="D187" s="185">
        <v>7</v>
      </c>
      <c r="E187" s="205">
        <f t="shared" si="3"/>
        <v>4.2857142857142856</v>
      </c>
      <c r="K187" s="45"/>
    </row>
    <row r="188" spans="2:11" x14ac:dyDescent="0.2">
      <c r="B188" s="183">
        <f>CritMsmax</f>
        <v>6</v>
      </c>
      <c r="C188" s="202">
        <v>0</v>
      </c>
      <c r="D188" s="185">
        <v>1</v>
      </c>
      <c r="E188" s="205">
        <f t="shared" ref="E188:E193" si="4">CritMsCnmax/D188</f>
        <v>100</v>
      </c>
      <c r="K188" s="45"/>
    </row>
    <row r="189" spans="2:11" x14ac:dyDescent="0.2">
      <c r="B189" s="187">
        <f>CritMsmax</f>
        <v>6</v>
      </c>
      <c r="C189" s="196">
        <v>55</v>
      </c>
      <c r="D189" s="185">
        <v>2</v>
      </c>
      <c r="E189" s="205">
        <f t="shared" si="4"/>
        <v>50</v>
      </c>
      <c r="K189" s="45"/>
    </row>
    <row r="190" spans="2:11" x14ac:dyDescent="0.2">
      <c r="B190" s="191">
        <f ca="1">MS_min</f>
        <v>2.2765384212591728</v>
      </c>
      <c r="C190" s="203">
        <f>Cn</f>
        <v>14.04334530817559</v>
      </c>
      <c r="D190" s="185">
        <v>3</v>
      </c>
      <c r="E190" s="205">
        <f t="shared" si="4"/>
        <v>33.333333333333336</v>
      </c>
      <c r="K190" s="45"/>
    </row>
    <row r="191" spans="2:11" x14ac:dyDescent="0.2">
      <c r="B191" s="514">
        <f ca="1">(XCp0-XcgPlein)/D_ref</f>
        <v>2.2765384212591728</v>
      </c>
      <c r="C191" s="515">
        <f>Cn0</f>
        <v>14.04334530817559</v>
      </c>
      <c r="D191" s="185">
        <v>4</v>
      </c>
      <c r="E191" s="205">
        <f t="shared" si="4"/>
        <v>25</v>
      </c>
      <c r="K191" s="45"/>
    </row>
    <row r="192" spans="2:11" x14ac:dyDescent="0.2">
      <c r="B192" s="514">
        <f ca="1">(XCp0-XcgVide)/D_ref</f>
        <v>2.3708990085193964</v>
      </c>
      <c r="C192" s="515">
        <f>Cn0</f>
        <v>14.04334530817559</v>
      </c>
      <c r="D192" s="185">
        <v>6</v>
      </c>
      <c r="E192" s="205">
        <f t="shared" si="4"/>
        <v>16.666666666666668</v>
      </c>
      <c r="K192" s="45"/>
    </row>
    <row r="193" spans="2:11" x14ac:dyDescent="0.2">
      <c r="B193" s="514">
        <f ca="1">(XCp-XcgVide)/D_ref</f>
        <v>2.3708990085193964</v>
      </c>
      <c r="C193" s="515">
        <f>Cn</f>
        <v>14.04334530817559</v>
      </c>
      <c r="D193" s="187">
        <v>7</v>
      </c>
      <c r="E193" s="206">
        <f t="shared" si="4"/>
        <v>14.285714285714286</v>
      </c>
      <c r="K193" s="45"/>
    </row>
    <row r="194" spans="2:11" x14ac:dyDescent="0.2">
      <c r="B194" s="514">
        <f ca="1">MS_min</f>
        <v>2.2765384212591728</v>
      </c>
      <c r="C194" s="516">
        <f>Cn</f>
        <v>14.04334530817559</v>
      </c>
      <c r="D194" s="45"/>
      <c r="E194" s="92"/>
      <c r="K194" s="45"/>
    </row>
    <row r="195" spans="2:11" x14ac:dyDescent="0.2">
      <c r="B195" s="183">
        <v>0</v>
      </c>
      <c r="C195" s="202">
        <f>(CritCnmin+CritCnmax)/2</f>
        <v>22.5</v>
      </c>
      <c r="D195" s="26"/>
      <c r="E195" s="90"/>
      <c r="K195" s="26"/>
    </row>
    <row r="196" spans="2:11" x14ac:dyDescent="0.2">
      <c r="B196" s="185">
        <f>MAX(CritMsmin,CritMsCnmin/C196)</f>
        <v>1.5</v>
      </c>
      <c r="C196" s="45">
        <f>(CritCnmin+CritCnmax)/2</f>
        <v>22.5</v>
      </c>
      <c r="D196" s="26"/>
      <c r="E196" s="90"/>
      <c r="K196" s="26"/>
    </row>
    <row r="197" spans="2:11" x14ac:dyDescent="0.2">
      <c r="B197" s="185">
        <f>MIN(CritMsmax,CritMsCnmax/C197)</f>
        <v>4.4444444444444446</v>
      </c>
      <c r="C197" s="189">
        <f>(CritCnmin+CritCnmax)/2</f>
        <v>22.5</v>
      </c>
    </row>
    <row r="198" spans="2:11" x14ac:dyDescent="0.2">
      <c r="B198" s="187">
        <v>7</v>
      </c>
      <c r="C198" s="190">
        <f>(CritCnmin+CritCnmax)/2</f>
        <v>22.5</v>
      </c>
    </row>
    <row r="199" spans="2:11" x14ac:dyDescent="0.2">
      <c r="B199" s="183">
        <f>(CritMsmin+CritMsmax)/2</f>
        <v>3.75</v>
      </c>
      <c r="C199" s="184">
        <v>0</v>
      </c>
    </row>
    <row r="200" spans="2:11" x14ac:dyDescent="0.2">
      <c r="B200" s="185">
        <f>(CritMsmin+CritMsmax)/2</f>
        <v>3.75</v>
      </c>
      <c r="C200" s="186">
        <f>MAX(CritCnmin,CritMsCnmin/B200)</f>
        <v>15</v>
      </c>
    </row>
    <row r="201" spans="2:11" x14ac:dyDescent="0.2">
      <c r="B201" s="185">
        <f>(CritMsmin+CritMsmax)/2</f>
        <v>3.75</v>
      </c>
      <c r="C201" s="186">
        <f>MIN(CritCnmax,CritMsCnmax/B201)</f>
        <v>26.666666666666668</v>
      </c>
    </row>
    <row r="202" spans="2:11" x14ac:dyDescent="0.2">
      <c r="B202" s="187">
        <f>(CritMsmin+CritMsmax)/2</f>
        <v>3.75</v>
      </c>
      <c r="C202" s="188">
        <v>55</v>
      </c>
    </row>
    <row r="203" spans="2:11" x14ac:dyDescent="0.2">
      <c r="D203" s="475"/>
    </row>
    <row r="204" spans="2:11" x14ac:dyDescent="0.2">
      <c r="B204" s="477" t="s">
        <v>409</v>
      </c>
      <c r="C204" s="31" t="b">
        <f ca="1">(OR(C205:C210))</f>
        <v>1</v>
      </c>
      <c r="D204" s="475"/>
    </row>
    <row r="205" spans="2:11" x14ac:dyDescent="0.2">
      <c r="B205" s="476" t="s">
        <v>406</v>
      </c>
      <c r="C205" s="475" t="b">
        <f ca="1">AND(Type_propu="H2O",RIGHT(Type_fusee,1)=" ")</f>
        <v>0</v>
      </c>
      <c r="D205" s="475"/>
    </row>
    <row r="206" spans="2:11" x14ac:dyDescent="0.2">
      <c r="B206" s="476" t="s">
        <v>121</v>
      </c>
      <c r="C206" s="475" t="b">
        <f ca="1">AND(Type_propu="Fusex",RIGHT(Type_fusee,1)=".")</f>
        <v>0</v>
      </c>
      <c r="D206" s="475"/>
    </row>
    <row r="207" spans="2:11" x14ac:dyDescent="0.2">
      <c r="B207" s="476" t="s">
        <v>407</v>
      </c>
      <c r="C207" s="475" t="b">
        <f ca="1">LEFT(Type_propu,5)=LEFT(Type_fusee,5)</f>
        <v>0</v>
      </c>
      <c r="D207" s="475"/>
    </row>
    <row r="208" spans="2:11" x14ac:dyDescent="0.2">
      <c r="B208" s="476" t="s">
        <v>408</v>
      </c>
      <c r="C208" s="475" t="b">
        <f ca="1">AND(RIGHT(Type_propu,1)="N",LEFT(Type_fusee,4)="Mini")</f>
        <v>1</v>
      </c>
      <c r="D208" s="475"/>
    </row>
    <row r="209" spans="1:3" x14ac:dyDescent="0.2">
      <c r="B209" s="476" t="s">
        <v>410</v>
      </c>
      <c r="C209" s="475" t="b">
        <f ca="1">AND(LEFT(Type_propu,5)="MiniR",LEFT(Type_fusee,1)="R")</f>
        <v>0</v>
      </c>
    </row>
    <row r="210" spans="1:3" x14ac:dyDescent="0.2">
      <c r="B210" s="476" t="s">
        <v>400</v>
      </c>
      <c r="C210" s="475" t="b">
        <f ca="1">AND(LEFT(Type_propu,4)="Mini",LEFT(Type_fusee,1)=",")</f>
        <v>0</v>
      </c>
    </row>
    <row r="223" spans="1:3" x14ac:dyDescent="0.2">
      <c r="A223" s="24" t="s">
        <v>467</v>
      </c>
    </row>
    <row r="226" spans="1:1" x14ac:dyDescent="0.2">
      <c r="A226" s="24" t="s">
        <v>480</v>
      </c>
    </row>
    <row r="228" spans="1:1" x14ac:dyDescent="0.2">
      <c r="A228" s="24" t="s">
        <v>481</v>
      </c>
    </row>
    <row r="230" spans="1:1" x14ac:dyDescent="0.2">
      <c r="A230" s="24" t="s">
        <v>482</v>
      </c>
    </row>
    <row r="232" spans="1:1" x14ac:dyDescent="0.2">
      <c r="A232" s="24" t="s">
        <v>483</v>
      </c>
    </row>
    <row r="233" spans="1:1" x14ac:dyDescent="0.2">
      <c r="A233" s="24" t="s">
        <v>484</v>
      </c>
    </row>
    <row r="234" spans="1:1" x14ac:dyDescent="0.2">
      <c r="A234" s="24" t="s">
        <v>485</v>
      </c>
    </row>
    <row r="235" spans="1:1" x14ac:dyDescent="0.2">
      <c r="A235" s="24" t="s">
        <v>486</v>
      </c>
    </row>
    <row r="236" spans="1:1" x14ac:dyDescent="0.2">
      <c r="A236" s="24" t="s">
        <v>487</v>
      </c>
    </row>
    <row r="237" spans="1:1" x14ac:dyDescent="0.2">
      <c r="A237" s="24" t="s">
        <v>488</v>
      </c>
    </row>
    <row r="238" spans="1:1" x14ac:dyDescent="0.2">
      <c r="A238" s="24" t="s">
        <v>186</v>
      </c>
    </row>
    <row r="239" spans="1:1" x14ac:dyDescent="0.2">
      <c r="A239" s="24" t="s">
        <v>489</v>
      </c>
    </row>
    <row r="240" spans="1:1" x14ac:dyDescent="0.2">
      <c r="A240" s="24" t="s">
        <v>490</v>
      </c>
    </row>
    <row r="241" spans="1:1" x14ac:dyDescent="0.2">
      <c r="A241" s="24" t="s">
        <v>186</v>
      </c>
    </row>
    <row r="242" spans="1:1" x14ac:dyDescent="0.2">
      <c r="A242" s="24" t="s">
        <v>491</v>
      </c>
    </row>
    <row r="244" spans="1:1" x14ac:dyDescent="0.2">
      <c r="A244" s="24" t="s">
        <v>492</v>
      </c>
    </row>
    <row r="246" spans="1:1" x14ac:dyDescent="0.2">
      <c r="A246" s="24" t="s">
        <v>493</v>
      </c>
    </row>
    <row r="248" spans="1:1" x14ac:dyDescent="0.2">
      <c r="A248" s="24" t="s">
        <v>494</v>
      </c>
    </row>
    <row r="249" spans="1:1" x14ac:dyDescent="0.2">
      <c r="A249" s="24" t="s">
        <v>495</v>
      </c>
    </row>
    <row r="250" spans="1:1" x14ac:dyDescent="0.2">
      <c r="A250" s="24" t="s">
        <v>496</v>
      </c>
    </row>
    <row r="251" spans="1:1" x14ac:dyDescent="0.2">
      <c r="A251" s="24" t="s">
        <v>497</v>
      </c>
    </row>
    <row r="252" spans="1:1" x14ac:dyDescent="0.2">
      <c r="A252" s="24" t="s">
        <v>498</v>
      </c>
    </row>
    <row r="254" spans="1:1" x14ac:dyDescent="0.2">
      <c r="A254" s="24" t="s">
        <v>499</v>
      </c>
    </row>
    <row r="255" spans="1:1" x14ac:dyDescent="0.2">
      <c r="A255" s="24" t="s">
        <v>500</v>
      </c>
    </row>
    <row r="256" spans="1:1" x14ac:dyDescent="0.2">
      <c r="A256" s="24" t="s">
        <v>501</v>
      </c>
    </row>
    <row r="257" spans="1:1" x14ac:dyDescent="0.2">
      <c r="A257" s="24" t="s">
        <v>502</v>
      </c>
    </row>
    <row r="258" spans="1:1" x14ac:dyDescent="0.2">
      <c r="A258" s="24" t="s">
        <v>503</v>
      </c>
    </row>
    <row r="261" spans="1:1" x14ac:dyDescent="0.2">
      <c r="A261" s="24" t="s">
        <v>504</v>
      </c>
    </row>
    <row r="262" spans="1:1" x14ac:dyDescent="0.2">
      <c r="A262" s="24" t="s">
        <v>505</v>
      </c>
    </row>
    <row r="263" spans="1:1" x14ac:dyDescent="0.2">
      <c r="A263" s="24" t="s">
        <v>506</v>
      </c>
    </row>
    <row r="264" spans="1:1" x14ac:dyDescent="0.2">
      <c r="A264" s="24" t="s">
        <v>507</v>
      </c>
    </row>
    <row r="265" spans="1:1" x14ac:dyDescent="0.2">
      <c r="A265" s="24" t="s">
        <v>508</v>
      </c>
    </row>
    <row r="267" spans="1:1" x14ac:dyDescent="0.2">
      <c r="A267" s="24" t="s">
        <v>501</v>
      </c>
    </row>
    <row r="268" spans="1:1" x14ac:dyDescent="0.2">
      <c r="A268" s="24" t="s">
        <v>502</v>
      </c>
    </row>
    <row r="269" spans="1:1" x14ac:dyDescent="0.2">
      <c r="A269" s="24" t="s">
        <v>509</v>
      </c>
    </row>
    <row r="272" spans="1:1" x14ac:dyDescent="0.2">
      <c r="A272" s="24" t="s">
        <v>469</v>
      </c>
    </row>
    <row r="273" spans="1:1" x14ac:dyDescent="0.2">
      <c r="A273" s="24" t="s">
        <v>470</v>
      </c>
    </row>
    <row r="275" spans="1:1" x14ac:dyDescent="0.2">
      <c r="A275" s="24" t="s">
        <v>510</v>
      </c>
    </row>
    <row r="277" spans="1:1" x14ac:dyDescent="0.2">
      <c r="A277" s="24" t="s">
        <v>509</v>
      </c>
    </row>
    <row r="280" spans="1:1" x14ac:dyDescent="0.2">
      <c r="A280" s="24" t="s">
        <v>471</v>
      </c>
    </row>
    <row r="281" spans="1:1" x14ac:dyDescent="0.2">
      <c r="A281" s="24" t="s">
        <v>472</v>
      </c>
    </row>
    <row r="282" spans="1:1" x14ac:dyDescent="0.2">
      <c r="A282" s="24" t="s">
        <v>511</v>
      </c>
    </row>
    <row r="283" spans="1:1" x14ac:dyDescent="0.2">
      <c r="A283" s="24" t="s">
        <v>512</v>
      </c>
    </row>
    <row r="284" spans="1:1" x14ac:dyDescent="0.2">
      <c r="A284" s="24" t="s">
        <v>509</v>
      </c>
    </row>
    <row r="285" spans="1:1" x14ac:dyDescent="0.2">
      <c r="A285" s="24" t="s">
        <v>473</v>
      </c>
    </row>
    <row r="287" spans="1:1" x14ac:dyDescent="0.2">
      <c r="A287" s="24" t="s">
        <v>513</v>
      </c>
    </row>
    <row r="288" spans="1:1" x14ac:dyDescent="0.2">
      <c r="A288" s="24" t="s">
        <v>511</v>
      </c>
    </row>
    <row r="289" spans="1:1" x14ac:dyDescent="0.2">
      <c r="A289" s="24" t="s">
        <v>514</v>
      </c>
    </row>
    <row r="291" spans="1:1" x14ac:dyDescent="0.2">
      <c r="A291" s="24" t="s">
        <v>509</v>
      </c>
    </row>
    <row r="294" spans="1:1" x14ac:dyDescent="0.2">
      <c r="A294" s="24" t="s">
        <v>515</v>
      </c>
    </row>
    <row r="295" spans="1:1" x14ac:dyDescent="0.2">
      <c r="A295" s="24" t="s">
        <v>516</v>
      </c>
    </row>
    <row r="296" spans="1:1" x14ac:dyDescent="0.2">
      <c r="A296" s="24" t="s">
        <v>517</v>
      </c>
    </row>
    <row r="298" spans="1:1" x14ac:dyDescent="0.2">
      <c r="A298" s="24" t="s">
        <v>509</v>
      </c>
    </row>
    <row r="301" spans="1:1" x14ac:dyDescent="0.2">
      <c r="A301" s="24" t="s">
        <v>518</v>
      </c>
    </row>
    <row r="302" spans="1:1" x14ac:dyDescent="0.2">
      <c r="A302" s="24" t="s">
        <v>519</v>
      </c>
    </row>
    <row r="304" spans="1:1" x14ac:dyDescent="0.2">
      <c r="A304" s="24" t="s">
        <v>520</v>
      </c>
    </row>
    <row r="305" spans="1:1" x14ac:dyDescent="0.2">
      <c r="A305" s="24" t="s">
        <v>521</v>
      </c>
    </row>
    <row r="306" spans="1:1" x14ac:dyDescent="0.2">
      <c r="A306" s="24" t="s">
        <v>509</v>
      </c>
    </row>
    <row r="309" spans="1:1" x14ac:dyDescent="0.2">
      <c r="A309" s="24" t="s">
        <v>518</v>
      </c>
    </row>
    <row r="310" spans="1:1" x14ac:dyDescent="0.2">
      <c r="A310" s="24" t="s">
        <v>522</v>
      </c>
    </row>
    <row r="311" spans="1:1" x14ac:dyDescent="0.2">
      <c r="A311" s="24" t="s">
        <v>518</v>
      </c>
    </row>
    <row r="312" spans="1:1" x14ac:dyDescent="0.2">
      <c r="A312" s="24" t="s">
        <v>523</v>
      </c>
    </row>
    <row r="314" spans="1:1" x14ac:dyDescent="0.2">
      <c r="A314" s="24" t="s">
        <v>524</v>
      </c>
    </row>
    <row r="316" spans="1:1" x14ac:dyDescent="0.2">
      <c r="A316" s="24" t="s">
        <v>509</v>
      </c>
    </row>
    <row r="319" spans="1:1" x14ac:dyDescent="0.2">
      <c r="A319" s="24" t="s">
        <v>518</v>
      </c>
    </row>
    <row r="320" spans="1:1" x14ac:dyDescent="0.2">
      <c r="A320" s="24" t="s">
        <v>525</v>
      </c>
    </row>
    <row r="321" spans="1:1" x14ac:dyDescent="0.2">
      <c r="A321" s="24" t="s">
        <v>526</v>
      </c>
    </row>
    <row r="322" spans="1:1" x14ac:dyDescent="0.2">
      <c r="A322" s="24" t="s">
        <v>527</v>
      </c>
    </row>
    <row r="324" spans="1:1" x14ac:dyDescent="0.2">
      <c r="A324" s="24" t="s">
        <v>509</v>
      </c>
    </row>
    <row r="326" spans="1:1" x14ac:dyDescent="0.2">
      <c r="A326" s="24" t="s">
        <v>468</v>
      </c>
    </row>
    <row r="329" spans="1:1" x14ac:dyDescent="0.2">
      <c r="A329" s="24" t="s">
        <v>474</v>
      </c>
    </row>
    <row r="330" spans="1:1" x14ac:dyDescent="0.2">
      <c r="A330" s="24" t="s">
        <v>475</v>
      </c>
    </row>
    <row r="331" spans="1:1" x14ac:dyDescent="0.2">
      <c r="A331" s="24" t="s">
        <v>528</v>
      </c>
    </row>
    <row r="332" spans="1:1" x14ac:dyDescent="0.2">
      <c r="A332" s="24" t="s">
        <v>529</v>
      </c>
    </row>
    <row r="333" spans="1:1" x14ac:dyDescent="0.2">
      <c r="A333" s="24" t="s">
        <v>530</v>
      </c>
    </row>
    <row r="334" spans="1:1" x14ac:dyDescent="0.2">
      <c r="A334" s="24" t="s">
        <v>531</v>
      </c>
    </row>
    <row r="335" spans="1:1" x14ac:dyDescent="0.2">
      <c r="A335" s="24" t="s">
        <v>532</v>
      </c>
    </row>
    <row r="336" spans="1:1" x14ac:dyDescent="0.2">
      <c r="A336" s="24" t="s">
        <v>485</v>
      </c>
    </row>
    <row r="337" spans="1:1" x14ac:dyDescent="0.2">
      <c r="A337" s="24" t="s">
        <v>476</v>
      </c>
    </row>
    <row r="340" spans="1:1" x14ac:dyDescent="0.2">
      <c r="A340" s="24" t="s">
        <v>477</v>
      </c>
    </row>
    <row r="342" spans="1:1" x14ac:dyDescent="0.2">
      <c r="A342" s="24" t="s">
        <v>533</v>
      </c>
    </row>
    <row r="343" spans="1:1" x14ac:dyDescent="0.2">
      <c r="A343" s="24" t="s">
        <v>534</v>
      </c>
    </row>
    <row r="344" spans="1:1" x14ac:dyDescent="0.2">
      <c r="A344" s="24" t="s">
        <v>535</v>
      </c>
    </row>
    <row r="345" spans="1:1" x14ac:dyDescent="0.2">
      <c r="A345" s="24" t="s">
        <v>536</v>
      </c>
    </row>
    <row r="346" spans="1:1" x14ac:dyDescent="0.2">
      <c r="A346" s="24" t="s">
        <v>537</v>
      </c>
    </row>
    <row r="347" spans="1:1" x14ac:dyDescent="0.2">
      <c r="A347" s="24" t="s">
        <v>485</v>
      </c>
    </row>
    <row r="348" spans="1:1" x14ac:dyDescent="0.2">
      <c r="A348" s="24" t="s">
        <v>478</v>
      </c>
    </row>
    <row r="349" spans="1:1" x14ac:dyDescent="0.2">
      <c r="A349" s="24" t="s">
        <v>538</v>
      </c>
    </row>
    <row r="350" spans="1:1" x14ac:dyDescent="0.2">
      <c r="A350" s="24" t="s">
        <v>539</v>
      </c>
    </row>
    <row r="352" spans="1:1" x14ac:dyDescent="0.2">
      <c r="A352" s="24" t="s">
        <v>509</v>
      </c>
    </row>
    <row r="355" spans="1:1" x14ac:dyDescent="0.2">
      <c r="A355" s="24" t="s">
        <v>468</v>
      </c>
    </row>
    <row r="361" spans="1:1" x14ac:dyDescent="0.2">
      <c r="A361" s="24" t="s">
        <v>479</v>
      </c>
    </row>
  </sheetData>
  <sheetProtection password="C6AC" sheet="1"/>
  <dataConsolidate/>
  <mergeCells count="56">
    <mergeCell ref="O17:P17"/>
    <mergeCell ref="O18:P18"/>
    <mergeCell ref="H33:I34"/>
    <mergeCell ref="H27:I27"/>
    <mergeCell ref="M18:N18"/>
    <mergeCell ref="M17:N17"/>
    <mergeCell ref="M4:P4"/>
    <mergeCell ref="M2:P2"/>
    <mergeCell ref="N13:O13"/>
    <mergeCell ref="N12:O12"/>
    <mergeCell ref="O9:P9"/>
    <mergeCell ref="O8:P8"/>
    <mergeCell ref="O7:P7"/>
    <mergeCell ref="M5:N5"/>
    <mergeCell ref="M6:N6"/>
    <mergeCell ref="L3:M3"/>
    <mergeCell ref="N11:O11"/>
    <mergeCell ref="O6:P6"/>
    <mergeCell ref="O5:P5"/>
    <mergeCell ref="C21:D21"/>
    <mergeCell ref="C23:D23"/>
    <mergeCell ref="O20:P20"/>
    <mergeCell ref="M23:N23"/>
    <mergeCell ref="M24:N24"/>
    <mergeCell ref="C2:D3"/>
    <mergeCell ref="C4:D4"/>
    <mergeCell ref="M22:N22"/>
    <mergeCell ref="M19:N19"/>
    <mergeCell ref="M9:N9"/>
    <mergeCell ref="M7:N7"/>
    <mergeCell ref="M8:N8"/>
    <mergeCell ref="C7:D7"/>
    <mergeCell ref="C10:D10"/>
    <mergeCell ref="C13:D13"/>
    <mergeCell ref="C8:D8"/>
    <mergeCell ref="C9:D9"/>
    <mergeCell ref="M20:N20"/>
    <mergeCell ref="N14:O14"/>
    <mergeCell ref="N15:O15"/>
    <mergeCell ref="C18:D18"/>
    <mergeCell ref="C5:D5"/>
    <mergeCell ref="H26:I26"/>
    <mergeCell ref="C16:D16"/>
    <mergeCell ref="C17:D17"/>
    <mergeCell ref="O21:P21"/>
    <mergeCell ref="M21:N21"/>
    <mergeCell ref="O19:P19"/>
    <mergeCell ref="O22:P22"/>
    <mergeCell ref="C20:D20"/>
    <mergeCell ref="C6:D6"/>
    <mergeCell ref="C14:D14"/>
    <mergeCell ref="C26:D26"/>
    <mergeCell ref="C19:D19"/>
    <mergeCell ref="O23:P23"/>
    <mergeCell ref="O24:P24"/>
    <mergeCell ref="C22:D22"/>
  </mergeCells>
  <phoneticPr fontId="8" type="noConversion"/>
  <conditionalFormatting sqref="B14:D14 B34:C34">
    <cfRule type="expression" dxfId="53" priority="36" stopIfTrue="1">
      <formula>AND(IF(RIGHT(Nb_diam,1)=",",1),IF(LEFT(Type_masquage,1)="M",1))</formula>
    </cfRule>
  </conditionalFormatting>
  <conditionalFormatting sqref="C11">
    <cfRule type="cellIs" dxfId="52" priority="24" stopIfTrue="1" operator="equal">
      <formula>549</formula>
    </cfRule>
    <cfRule type="expression" dxfId="51" priority="27" stopIfTrue="1">
      <formula>OR(MasseSans&lt;MpropuVide, MasseSans&gt;20*MpropuPlein)</formula>
    </cfRule>
  </conditionalFormatting>
  <conditionalFormatting sqref="C12">
    <cfRule type="cellIs" dxfId="50" priority="23" stopIfTrue="1" operator="equal">
      <formula>359</formula>
    </cfRule>
  </conditionalFormatting>
  <conditionalFormatting sqref="C17">
    <cfRule type="expression" dxfId="49" priority="150" stopIfTrue="1">
      <formula>C204</formula>
    </cfRule>
  </conditionalFormatting>
  <conditionalFormatting sqref="C27 C29">
    <cfRule type="cellIs" dxfId="48" priority="17" stopIfTrue="1" operator="equal">
      <formula>64</formula>
    </cfRule>
  </conditionalFormatting>
  <conditionalFormatting sqref="C28">
    <cfRule type="cellIs" dxfId="47" priority="18" stopIfTrue="1" operator="equal">
      <formula>39</formula>
    </cfRule>
  </conditionalFormatting>
  <conditionalFormatting sqref="C30">
    <cfRule type="cellIs" dxfId="46" priority="19" stopIfTrue="1" operator="equal">
      <formula>79</formula>
    </cfRule>
  </conditionalFormatting>
  <conditionalFormatting sqref="C13:D13">
    <cfRule type="cellIs" dxfId="45" priority="22" stopIfTrue="1" operator="equal">
      <formula>569</formula>
    </cfRule>
  </conditionalFormatting>
  <conditionalFormatting sqref="C22:D22">
    <cfRule type="cellIs" dxfId="44" priority="21" stopIfTrue="1" operator="equal">
      <formula>126</formula>
    </cfRule>
  </conditionalFormatting>
  <conditionalFormatting sqref="C23:D23">
    <cfRule type="cellIs" dxfId="43" priority="20" stopIfTrue="1" operator="equal">
      <formula>44</formula>
    </cfRule>
  </conditionalFormatting>
  <conditionalFormatting sqref="D17">
    <cfRule type="expression" dxfId="42" priority="10" stopIfTrue="1">
      <formula>D202</formula>
    </cfRule>
  </conditionalFormatting>
  <conditionalFormatting sqref="H28">
    <cfRule type="expression" dxfId="41" priority="46" stopIfTrue="1">
      <formula>OR(Cn&lt;CritCnmin,Cn&gt;CritCnmax)</formula>
    </cfRule>
  </conditionalFormatting>
  <conditionalFormatting sqref="H29">
    <cfRule type="expression" dxfId="40" priority="45" stopIfTrue="1">
      <formula>OR(MS_min&lt;CritMsmin,MS_min&gt;CritMsmax)</formula>
    </cfRule>
  </conditionalFormatting>
  <conditionalFormatting sqref="H30">
    <cfRule type="expression" dxfId="39" priority="43" stopIfTrue="1">
      <formula>OR(MS_Cn_min&lt;CritMsCnmin,MS_Cn_min&gt;CritMsCnmax)</formula>
    </cfRule>
  </conditionalFormatting>
  <conditionalFormatting sqref="H27:I27">
    <cfRule type="expression" dxfId="38" priority="47" stopIfTrue="1">
      <formula>OR(Finesse&lt;CritFinessemin,Finesse&gt;CritFinessemax)</formula>
    </cfRule>
  </conditionalFormatting>
  <conditionalFormatting sqref="H33:I34">
    <cfRule type="expression" dxfId="37" priority="50" stopIfTrue="1">
      <formula>$H$33="STABLE"</formula>
    </cfRule>
  </conditionalFormatting>
  <conditionalFormatting sqref="I28">
    <cfRule type="expression" dxfId="36" priority="5" stopIfTrue="1">
      <formula>OR(Cn0&lt;CritCnmin,Cn0&gt;CritCnmax)</formula>
    </cfRule>
  </conditionalFormatting>
  <conditionalFormatting sqref="I29">
    <cfRule type="expression" dxfId="35" priority="44" stopIfTrue="1">
      <formula>OR(MS_max&lt;CritMsmin,MS_max&gt;CritMsmax)</formula>
    </cfRule>
  </conditionalFormatting>
  <conditionalFormatting sqref="I30">
    <cfRule type="expression" dxfId="34" priority="42" stopIfTrue="1">
      <formula>OR(MS_Cn_max&lt;CritMsCnmin,MS_Cn_max&gt;CritMsCnmax)</formula>
    </cfRule>
  </conditionalFormatting>
  <conditionalFormatting sqref="L38:M38">
    <cfRule type="expression" dxfId="33" priority="232" stopIfTrue="1">
      <formula>OR(SUM($C$27:$C$32)=273, $H$33&lt;&gt;"STABLE")</formula>
    </cfRule>
  </conditionalFormatting>
  <conditionalFormatting sqref="L6:P9">
    <cfRule type="expression" dxfId="32" priority="48" stopIfTrue="1">
      <formula>IF(RIGHT(Nb_diam,1)=",",1)</formula>
    </cfRule>
  </conditionalFormatting>
  <conditionalFormatting sqref="L20:P22 D25:E25 D27:E34 B35:E35">
    <cfRule type="expression" dxfId="31" priority="83" stopIfTrue="1">
      <formula>IF(LEFT(Type_masquage,1)="M",1)</formula>
    </cfRule>
  </conditionalFormatting>
  <conditionalFormatting sqref="L23:P24">
    <cfRule type="expression" dxfId="30" priority="64" stopIfTrue="1">
      <formula>IF(RIGHT(Nb_diam,1)=",",1)</formula>
    </cfRule>
  </conditionalFormatting>
  <conditionalFormatting sqref="M36 O36">
    <cfRule type="expression" dxfId="29" priority="141" stopIfTrue="1">
      <formula>$M$36="propu NOK"</formula>
    </cfRule>
  </conditionalFormatting>
  <conditionalFormatting sqref="M5:P5">
    <cfRule type="expression" dxfId="28" priority="38" stopIfTrue="1">
      <formula>IF(RIGHT(Nb_diam,1)=",",1)</formula>
    </cfRule>
  </conditionalFormatting>
  <conditionalFormatting sqref="N36">
    <cfRule type="expression" dxfId="27" priority="26" stopIfTrue="1">
      <formula>ROUND(SUM(C2:P25)+SUM(C27:P35),0)=8637</formula>
    </cfRule>
  </conditionalFormatting>
  <dataValidations count="13">
    <dataValidation type="whole" allowBlank="1" showInputMessage="1" showErrorMessage="1" error="Tapez un entier entre 3 et 6." sqref="C32:D32" xr:uid="{0B6E2C9D-DAC5-F146-B9BD-078A6198BB9B}">
      <formula1>3</formula1>
      <formula2>6</formula2>
    </dataValidation>
    <dataValidation type="decimal" operator="notEqual" allowBlank="1" showInputMessage="1" showErrorMessage="1" error="Tapez uniquement la longueur, sans l'unité." sqref="C29:D29" xr:uid="{466736F9-CB69-4447-9EDD-D0315D406FD1}">
      <formula1>1E+100</formula1>
    </dataValidation>
    <dataValidation type="decimal" operator="greaterThanOrEqual" allowBlank="1" showInputMessage="1" showErrorMessage="1" error="Tapez uniquement la longueur, sans l'unité." sqref="C27:D28 C33:D34 C30:D31 M6:O9" xr:uid="{8F6CEE36-4894-FB43-BAA1-BDB860438BF5}">
      <formula1>0</formula1>
    </dataValidation>
    <dataValidation type="list" showInputMessage="1" showErrorMessage="1" sqref="C26:D26" xr:uid="{79D1D883-6729-D043-8B70-93426D38A3A1}">
      <formula1>Menu_Empennage</formula1>
    </dataValidation>
    <dataValidation type="list" showInputMessage="1" showErrorMessage="1" sqref="C17:D17" xr:uid="{C63DA15E-96B4-A44F-8AF7-1574288C1661}">
      <formula1>Liste_propu</formula1>
    </dataValidation>
    <dataValidation type="list" showInputMessage="1" showErrorMessage="1" sqref="M2" xr:uid="{365CF203-40E6-744C-B3E9-43668F4942EE}">
      <formula1>Menu_Lang</formula1>
    </dataValidation>
    <dataValidation type="decimal" showInputMessage="1" showErrorMessage="1" errorTitle="Masse de la Fusée" error="Tapez uniquement la masse, sans l'unité." sqref="C11" xr:uid="{61B5E42E-8481-E14A-A642-4ECD3B562EE6}">
      <formula1>0</formula1>
      <formula2>50000</formula2>
    </dataValidation>
    <dataValidation type="decimal" operator="greaterThan" showInputMessage="1" showErrorMessage="1" error="Tapez uniquement la longueur, sans l'unité." sqref="C12 C13:D13 C22:D23" xr:uid="{57773C4F-9C6C-8548-9F34-C74B73D21C1D}">
      <formula1>0</formula1>
    </dataValidation>
    <dataValidation type="list" showInputMessage="1" showErrorMessage="1" sqref="D11:D12" xr:uid="{594D8E20-D917-4244-8111-797409E591CB}">
      <formula1>Menu_with_motor</formula1>
    </dataValidation>
    <dataValidation type="list" showInputMessage="1" showErrorMessage="1" sqref="C10:D10" xr:uid="{EAE9CC7C-DBFB-7043-A5F9-0E2131E02B4D}">
      <formula1>Menu_Type</formula1>
    </dataValidation>
    <dataValidation type="decimal" operator="greaterThan" allowBlank="1" showInputMessage="1" showErrorMessage="1" error="Tapez uniquement la longueur, sans l'unité." sqref="C18" xr:uid="{D63BB950-CD20-104E-9239-4D42BF9046BC}">
      <formula1>0</formula1>
    </dataValidation>
    <dataValidation type="list" showInputMessage="1" showErrorMessage="1" sqref="C21:D21" xr:uid="{EE8348D6-8911-EB45-BB9E-531C86D5E490}">
      <formula1>Menu_Ogive</formula1>
    </dataValidation>
    <dataValidation type="list" showInputMessage="1" showErrorMessage="1" sqref="M4" xr:uid="{89162CE9-2114-154B-ADF4-DDF8347A12C1}">
      <formula1>Menu_Transitions</formula1>
    </dataValidation>
  </dataValidations>
  <hyperlinks>
    <hyperlink ref="M38" location="Trajecto!C25" display="Trajecto" xr:uid="{5ED66539-BC16-E54D-8A5C-2CC7C3C4040F}"/>
  </hyperlinks>
  <printOptions horizontalCentered="1" verticalCentered="1"/>
  <pageMargins left="7.874015748031496E-2" right="7.874015748031496E-2" top="7.874015748031496E-2" bottom="7.874015748031496E-2" header="0" footer="0"/>
  <pageSetup paperSize="9" orientation="landscape" horizontalDpi="200" verticalDpi="2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775" r:id="rId3" name="Spinner 935">
              <controlPr defaultSize="0" print="0" autoPict="0">
                <anchor moveWithCells="1" sizeWithCells="1">
                  <from>
                    <xdr:col>3</xdr:col>
                    <xdr:colOff>809625</xdr:colOff>
                    <xdr:row>21</xdr:row>
                    <xdr:rowOff>9525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1" r:id="rId4" name="Spinner 941">
              <controlPr defaultSize="0" print="0" autoPict="0">
                <anchor moveWithCells="1" sizeWithCells="1">
                  <from>
                    <xdr:col>2</xdr:col>
                    <xdr:colOff>809625</xdr:colOff>
                    <xdr:row>10</xdr:row>
                    <xdr:rowOff>9525</xdr:rowOff>
                  </from>
                  <to>
                    <xdr:col>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2" r:id="rId5" name="Spinner 942">
              <controlPr defaultSize="0" print="0" autoPict="0">
                <anchor moveWithCells="1" sizeWithCells="1">
                  <from>
                    <xdr:col>2</xdr:col>
                    <xdr:colOff>809625</xdr:colOff>
                    <xdr:row>11</xdr:row>
                    <xdr:rowOff>9525</xdr:rowOff>
                  </from>
                  <to>
                    <xdr:col>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3" r:id="rId6" name="Spinner 943">
              <controlPr defaultSize="0" print="0" autoPict="0">
                <anchor moveWithCells="1" sizeWithCells="1">
                  <from>
                    <xdr:col>3</xdr:col>
                    <xdr:colOff>809625</xdr:colOff>
                    <xdr:row>22</xdr:row>
                    <xdr:rowOff>9525</xdr:rowOff>
                  </from>
                  <to>
                    <xdr:col>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9" r:id="rId7" name="Spinner 949">
              <controlPr defaultSize="0" print="0" autoPict="0">
                <anchor moveWithCells="1" sizeWithCells="1">
                  <from>
                    <xdr:col>2</xdr:col>
                    <xdr:colOff>809625</xdr:colOff>
                    <xdr:row>26</xdr:row>
                    <xdr:rowOff>9525</xdr:rowOff>
                  </from>
                  <to>
                    <xdr:col>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5" r:id="rId8" name="Spinner 955">
              <controlPr defaultSize="0" print="0" autoPict="0">
                <anchor moveWithCells="1" sizeWithCells="1">
                  <from>
                    <xdr:col>2</xdr:col>
                    <xdr:colOff>809625</xdr:colOff>
                    <xdr:row>27</xdr:row>
                    <xdr:rowOff>9525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6" r:id="rId9" name="Spinner 956">
              <controlPr defaultSize="0" print="0" autoPict="0">
                <anchor moveWithCells="1" sizeWithCells="1">
                  <from>
                    <xdr:col>2</xdr:col>
                    <xdr:colOff>809625</xdr:colOff>
                    <xdr:row>28</xdr:row>
                    <xdr:rowOff>9525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7" r:id="rId10" name="Spinner 957">
              <controlPr defaultSize="0" print="0" autoPict="0">
                <anchor moveWithCells="1" sizeWithCells="1">
                  <from>
                    <xdr:col>2</xdr:col>
                    <xdr:colOff>809625</xdr:colOff>
                    <xdr:row>29</xdr:row>
                    <xdr:rowOff>9525</xdr:rowOff>
                  </from>
                  <to>
                    <xdr:col>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8" r:id="rId11" name="Spinner 958">
              <controlPr defaultSize="0" print="0" autoPict="0">
                <anchor moveWithCells="1" sizeWithCells="1">
                  <from>
                    <xdr:col>2</xdr:col>
                    <xdr:colOff>809625</xdr:colOff>
                    <xdr:row>30</xdr:row>
                    <xdr:rowOff>9525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9" r:id="rId12" name="Spinner 959">
              <controlPr defaultSize="0" print="0" autoPict="0">
                <anchor moveWithCells="1" sizeWithCells="1">
                  <from>
                    <xdr:col>2</xdr:col>
                    <xdr:colOff>809625</xdr:colOff>
                    <xdr:row>31</xdr:row>
                    <xdr:rowOff>9525</xdr:rowOff>
                  </from>
                  <to>
                    <xdr:col>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01" r:id="rId13" name="Spinner 961">
              <controlPr defaultSize="0" print="0" autoPict="0">
                <anchor moveWithCells="1" sizeWithCells="1">
                  <from>
                    <xdr:col>3</xdr:col>
                    <xdr:colOff>809625</xdr:colOff>
                    <xdr:row>12</xdr:row>
                    <xdr:rowOff>9525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6691" r:id="rId14" name="Spinner 3315">
              <controlPr defaultSize="0" print="0" autoPict="0">
                <anchor moveWithCells="1" sizeWithCells="1">
                  <from>
                    <xdr:col>19</xdr:col>
                    <xdr:colOff>0</xdr:colOff>
                    <xdr:row>35</xdr:row>
                    <xdr:rowOff>9525</xdr:rowOff>
                  </from>
                  <to>
                    <xdr:col>19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6692" r:id="rId15" name="Spinner 3316">
              <controlPr defaultSize="0" print="0" autoPict="0">
                <anchor moveWithCells="1" sizeWithCells="1">
                  <from>
                    <xdr:col>19</xdr:col>
                    <xdr:colOff>0</xdr:colOff>
                    <xdr:row>35</xdr:row>
                    <xdr:rowOff>9525</xdr:rowOff>
                  </from>
                  <to>
                    <xdr:col>19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EC23-8FF4-4845-884D-BFFCC7C46FA3}">
  <sheetPr codeName="Feuil1">
    <pageSetUpPr fitToPage="1"/>
  </sheetPr>
  <dimension ref="A1:R199"/>
  <sheetViews>
    <sheetView showGridLines="0" zoomScale="85" zoomScaleNormal="85" workbookViewId="0">
      <selection activeCell="I26" sqref="I26"/>
    </sheetView>
  </sheetViews>
  <sheetFormatPr baseColWidth="10" defaultColWidth="11.42578125" defaultRowHeight="12.75" x14ac:dyDescent="0.2"/>
  <cols>
    <col min="1" max="1" width="2.140625" style="1" customWidth="1"/>
    <col min="2" max="2" width="16.42578125" style="1" customWidth="1"/>
    <col min="3" max="4" width="11.42578125" style="1"/>
    <col min="5" max="5" width="2.5703125" style="1" customWidth="1"/>
    <col min="6" max="7" width="12.85546875" style="1" customWidth="1"/>
    <col min="8" max="13" width="10.5703125" style="1" customWidth="1"/>
    <col min="14" max="15" width="2.140625" style="1" customWidth="1"/>
    <col min="16" max="17" width="14.42578125" style="1" customWidth="1"/>
    <col min="18" max="16384" width="11.42578125" style="1"/>
  </cols>
  <sheetData>
    <row r="1" spans="1:14" x14ac:dyDescent="0.2">
      <c r="A1" s="51"/>
      <c r="B1" s="52"/>
      <c r="C1" s="53"/>
      <c r="D1" s="52"/>
      <c r="E1" s="54"/>
      <c r="F1" s="54"/>
      <c r="G1" s="54"/>
      <c r="H1" s="54"/>
      <c r="I1" s="54"/>
      <c r="J1" s="54"/>
      <c r="K1" s="54"/>
      <c r="L1" s="54"/>
      <c r="M1" s="54"/>
      <c r="N1" s="55"/>
    </row>
    <row r="2" spans="1:14" ht="12.75" customHeight="1" x14ac:dyDescent="0.2">
      <c r="A2" s="56"/>
      <c r="B2" s="2"/>
      <c r="C2" s="625" t="s">
        <v>0</v>
      </c>
      <c r="D2" s="625"/>
      <c r="F2" s="3"/>
      <c r="J2" s="4"/>
      <c r="N2" s="57"/>
    </row>
    <row r="3" spans="1:14" ht="12.75" customHeight="1" x14ac:dyDescent="0.2">
      <c r="A3" s="56"/>
      <c r="B3" s="2"/>
      <c r="C3" s="625"/>
      <c r="D3" s="625"/>
      <c r="H3" s="5"/>
      <c r="J3" s="4"/>
      <c r="N3" s="57"/>
    </row>
    <row r="4" spans="1:14" ht="12.75" customHeight="1" x14ac:dyDescent="0.2">
      <c r="A4" s="56"/>
      <c r="B4" s="2"/>
      <c r="C4" s="628" t="str">
        <f>IF(Lang="Français","Trajectographie de fusée",IF(Lang="English","Rocket Trajectography",""))</f>
        <v>Trajectographie de fusée</v>
      </c>
      <c r="D4" s="628"/>
      <c r="H4" s="5"/>
      <c r="J4" s="4"/>
      <c r="N4" s="57"/>
    </row>
    <row r="5" spans="1:14" ht="12.75" customHeight="1" x14ac:dyDescent="0.2">
      <c r="A5" s="56"/>
      <c r="B5" s="2"/>
      <c r="J5" s="4"/>
      <c r="N5" s="57"/>
    </row>
    <row r="6" spans="1:14" ht="12.95" customHeight="1" x14ac:dyDescent="0.2">
      <c r="A6" s="56"/>
      <c r="B6" s="87"/>
      <c r="C6" s="627" t="str">
        <f>IF(Lang="Français","Remplir les cases jaunes",IF(Lang="English","Fill-in yellow cells only",""))</f>
        <v>Remplir les cases jaunes</v>
      </c>
      <c r="D6" s="627"/>
      <c r="J6" s="4"/>
      <c r="N6" s="57"/>
    </row>
    <row r="7" spans="1:14" x14ac:dyDescent="0.2">
      <c r="A7" s="56"/>
      <c r="B7" s="6"/>
      <c r="C7" s="607" t="str">
        <f>IF(Lang="Français","Fusée",IF(Lang="English","Rocket",""))</f>
        <v>Fusée</v>
      </c>
      <c r="D7" s="607"/>
      <c r="N7" s="58"/>
    </row>
    <row r="8" spans="1:14" ht="12.75" customHeight="1" x14ac:dyDescent="0.25">
      <c r="A8" s="56"/>
      <c r="B8" s="140" t="str">
        <f>IF(Lang="Français","Nom",IF(Lang="English","Name",""))</f>
        <v>Nom</v>
      </c>
      <c r="C8" s="626" t="str">
        <f>Nom</f>
        <v>SP-02-beta</v>
      </c>
      <c r="D8" s="626"/>
      <c r="E8" s="5"/>
      <c r="F8" s="5"/>
      <c r="J8" s="4"/>
      <c r="N8" s="57"/>
    </row>
    <row r="9" spans="1:14" ht="12.75" customHeight="1" x14ac:dyDescent="0.25">
      <c r="A9" s="59"/>
      <c r="B9" s="140" t="s">
        <v>4</v>
      </c>
      <c r="C9" s="626" t="str">
        <f>Club</f>
        <v>l'AéroIPSA</v>
      </c>
      <c r="D9" s="626"/>
      <c r="F9" s="5"/>
      <c r="N9" s="58"/>
    </row>
    <row r="10" spans="1:14" ht="12.75" customHeight="1" x14ac:dyDescent="0.2">
      <c r="A10" s="59"/>
      <c r="B10" s="140" t="str">
        <f>IF(Lang="Français","Masse totale",IF(Lang="English","Total Mass",""))</f>
        <v>Masse totale</v>
      </c>
      <c r="C10" s="602">
        <f ca="1">MassePlein</f>
        <v>2.1598999999999999</v>
      </c>
      <c r="D10" s="602"/>
      <c r="F10" s="5"/>
      <c r="N10" s="58"/>
    </row>
    <row r="11" spans="1:14" ht="12.75" customHeight="1" x14ac:dyDescent="0.2">
      <c r="A11" s="59"/>
      <c r="B11" s="227" t="str">
        <f>IF(Lang="Français","Propulseur",IF(Lang="English","Motor",""))</f>
        <v>Propulseur</v>
      </c>
      <c r="C11" s="605" t="str">
        <f>Propu</f>
        <v>Pandora</v>
      </c>
      <c r="D11" s="606"/>
      <c r="F11" s="5"/>
      <c r="N11" s="58"/>
    </row>
    <row r="12" spans="1:14" ht="12.75" customHeight="1" x14ac:dyDescent="0.2">
      <c r="A12" s="59"/>
      <c r="F12" s="5"/>
      <c r="N12" s="58"/>
    </row>
    <row r="13" spans="1:14" ht="12.75" customHeight="1" x14ac:dyDescent="0.2">
      <c r="A13" s="59"/>
      <c r="B13"/>
      <c r="C13" s="607" t="str">
        <f>IF(Lang="Français","Traînée Aérdynamique",IF(Lang="English","Drag",""))</f>
        <v>Traînée Aérdynamique</v>
      </c>
      <c r="D13" s="607"/>
      <c r="N13" s="58"/>
    </row>
    <row r="14" spans="1:14" ht="12.75" customHeight="1" x14ac:dyDescent="0.2">
      <c r="A14" s="59"/>
      <c r="B14" s="140" t="s">
        <v>41</v>
      </c>
      <c r="C14" s="608">
        <f>(PI()*D_ref^2/4+E_ail*ep_ail*Q_ail)/10^6</f>
        <v>7.3017694409323953E-3</v>
      </c>
      <c r="D14" s="608"/>
      <c r="N14" s="58"/>
    </row>
    <row r="15" spans="1:14" ht="12.75" customHeight="1" x14ac:dyDescent="0.2">
      <c r="A15" s="59"/>
      <c r="B15" s="141" t="s">
        <v>5</v>
      </c>
      <c r="C15" s="600">
        <v>0.6</v>
      </c>
      <c r="D15" s="601"/>
      <c r="N15" s="58"/>
    </row>
    <row r="16" spans="1:14" ht="12.75" customHeight="1" x14ac:dyDescent="0.2">
      <c r="A16" s="59"/>
      <c r="N16" s="58"/>
    </row>
    <row r="17" spans="1:18" ht="12.75" customHeight="1" x14ac:dyDescent="0.2">
      <c r="A17" s="59"/>
      <c r="B17"/>
      <c r="C17" s="607" t="str">
        <f>IF(Lang="Français","Rampe de Lancement",IF(Lang="English","Launch Pad",""))</f>
        <v>Rampe de Lancement</v>
      </c>
      <c r="D17" s="607"/>
      <c r="N17" s="58"/>
    </row>
    <row r="18" spans="1:18" ht="12.75" customHeight="1" x14ac:dyDescent="0.2">
      <c r="A18" s="59"/>
      <c r="B18" s="140" t="str">
        <f>IF(Lang="Français","Longueur",IF(Lang="English","Length",""))</f>
        <v>Longueur</v>
      </c>
      <c r="C18" s="604">
        <f>IF(RIGHT(Type_fusee,1)=".",4, IF(LEFT(Type_fusee,4)="Mini",2.5, IF(LEFT(Type_fusee,5)="Micro",1, IF(RIGHT(Type_fusee,1)=" ",0.1,IF(LEFT(Type_fusee,1)="R",3, 2.5)))))</f>
        <v>2.5</v>
      </c>
      <c r="D18" s="604"/>
      <c r="N18" s="58"/>
    </row>
    <row r="19" spans="1:18" ht="12.75" customHeight="1" x14ac:dyDescent="0.2">
      <c r="A19" s="59"/>
      <c r="B19" s="140" t="str">
        <f>IF(Lang="Français","Élévation",IF(Lang="English","Angle /horizon",""))</f>
        <v>Élévation</v>
      </c>
      <c r="C19" s="603">
        <v>85</v>
      </c>
      <c r="D19" s="603"/>
      <c r="N19" s="58"/>
    </row>
    <row r="20" spans="1:18" ht="12.75" customHeight="1" x14ac:dyDescent="0.2">
      <c r="A20" s="59"/>
      <c r="B20" s="140" t="s">
        <v>6</v>
      </c>
      <c r="C20" s="604">
        <v>0</v>
      </c>
      <c r="D20" s="604"/>
      <c r="N20" s="58"/>
    </row>
    <row r="21" spans="1:18" ht="12.75" customHeight="1" x14ac:dyDescent="0.2">
      <c r="A21" s="59"/>
      <c r="F21" s="384" t="str">
        <f ca="1">IF( OR( AND(Vsortie_de_rampe&lt;18, RIGHT(Type_fusee,1)=";"), AND(Vsortie_de_rampe&lt;20, RIGHT(Type_fusee,1)=".")), IF(Lang="Français","Vitesse en Sortie de Rampe trop faible, alléger la fusée ou choisir un propu plus puissant.","Speed at Launch Pad Exit too low, lighten the rocket or choose a bigger motor."), "")</f>
        <v/>
      </c>
      <c r="N21" s="58"/>
    </row>
    <row r="22" spans="1:18" x14ac:dyDescent="0.2">
      <c r="A22" s="59"/>
      <c r="C22" s="609" t="str">
        <f>IF(Lang="Français","DescenteSousParachute",IF(Lang="English","Over Parachute",""))</f>
        <v>DescenteSousParachute</v>
      </c>
      <c r="D22" s="610"/>
      <c r="F22" s="4"/>
      <c r="G22" s="50">
        <f ca="1">TODAY()</f>
        <v>45775</v>
      </c>
      <c r="H22" s="491" t="str">
        <f>IF(Lang="Français","Temps",IF(Lang="English","Time",""))</f>
        <v>Temps</v>
      </c>
      <c r="I22" s="491" t="s">
        <v>12</v>
      </c>
      <c r="J22" s="491" t="str">
        <f>IF(Lang="Français","Portée x",IF(Lang="English","Range x",""))</f>
        <v>Portée x</v>
      </c>
      <c r="K22" s="491" t="str">
        <f>IF(Lang="Français","Vitesse",IF(Lang="English","Velocity",""))</f>
        <v>Vitesse</v>
      </c>
      <c r="L22" s="492" t="s">
        <v>13</v>
      </c>
      <c r="M22" s="501" t="s">
        <v>425</v>
      </c>
      <c r="N22" s="58"/>
    </row>
    <row r="23" spans="1:18" x14ac:dyDescent="0.2">
      <c r="A23" s="59"/>
      <c r="B23"/>
      <c r="C23" s="142" t="str">
        <f>C7</f>
        <v>Fusée</v>
      </c>
      <c r="D23" s="220" t="s">
        <v>123</v>
      </c>
      <c r="F23" s="611" t="str">
        <f>IF(Lang="Français","Sortie de Rampe",IF(Lang="English","Launch-Pad Exit",""))</f>
        <v>Sortie de Rampe</v>
      </c>
      <c r="G23" s="612"/>
      <c r="H23" s="493"/>
      <c r="I23" s="493"/>
      <c r="J23" s="493"/>
      <c r="K23" s="494">
        <f ca="1">INDEX(vit_xz,MATCH("Sortie de rampe",Event,0))</f>
        <v>19.686727388604385</v>
      </c>
      <c r="L23" s="495"/>
      <c r="M23" s="502"/>
      <c r="N23" s="58"/>
    </row>
    <row r="24" spans="1:18" x14ac:dyDescent="0.2">
      <c r="A24" s="59"/>
      <c r="B24" s="466" t="str">
        <f>IF(Lang="Français","Masse",IF(Lang="English","Mass",""))</f>
        <v>Masse</v>
      </c>
      <c r="C24" s="467">
        <f ca="1">IF(Nb_sat="0 satellite",MasseVide,MasseVide-m_satellite)</f>
        <v>2.0842999999999998</v>
      </c>
      <c r="D24" s="482">
        <f>IF(RIGHT(Type_fusee,1)=".",1,0.15)</f>
        <v>0.15</v>
      </c>
      <c r="E24" s="18" t="str">
        <f>IF(ABS(T_satellite-0.11-T_para)&lt;0.1,"Pb!","")</f>
        <v/>
      </c>
      <c r="F24" s="614" t="str">
        <f>IF(Lang="Français","Vit max &amp; Acc max",IF(Lang="English","Max Velocity &amp; Acc",""))</f>
        <v>Vit max &amp; Acc max</v>
      </c>
      <c r="G24" s="594"/>
      <c r="H24" s="115"/>
      <c r="I24" s="115"/>
      <c r="J24" s="115"/>
      <c r="K24" s="158">
        <f ca="1">MAX(vit_xz)</f>
        <v>55.677359556111739</v>
      </c>
      <c r="L24" s="496">
        <f ca="1">MAX(acc_xz)</f>
        <v>101.47638606500777</v>
      </c>
      <c r="M24" s="502"/>
      <c r="N24" s="58"/>
    </row>
    <row r="25" spans="1:18" x14ac:dyDescent="0.2">
      <c r="A25" s="59"/>
      <c r="B25" s="470" t="str">
        <f>IF(Lang="Français","Dépotage",IF(Lang="English","Delay",""))</f>
        <v>Dépotage</v>
      </c>
      <c r="C25" s="507" t="s">
        <v>546</v>
      </c>
      <c r="D25" s="481"/>
      <c r="F25" s="615" t="str">
        <f>IF(Lang="Français","Largage du satellite",IF(Lang="English","Satellite separation",""))</f>
        <v>Largage du satellite</v>
      </c>
      <c r="G25" s="596"/>
      <c r="H25" s="152">
        <f>IF(T_satellite&lt;&gt;0,T_satellite,"")</f>
        <v>3.5</v>
      </c>
      <c r="I25" s="156">
        <f ca="1">IF(T_satellite&lt;&gt;0,INDEX(pos_z,MATCH("Satellite",Event_sat,0)),"")</f>
        <v>134.20608609777705</v>
      </c>
      <c r="J25" s="154">
        <f ca="1">IF(T_satellite&lt;&gt;0,INDEX(pos_x,MATCH("Satellite",Event_sat,0)),"")</f>
        <v>16.896268639412234</v>
      </c>
      <c r="K25" s="159">
        <f ca="1">IF(T_satellite&lt;&gt;0,INDEX(vit_xz,MATCH("Satellite",Event_sat,0)),"")</f>
        <v>25.699034386646982</v>
      </c>
      <c r="L25" s="497"/>
      <c r="M25" s="487">
        <f ca="1">1/2*Rho_moyen*1*V_ouv_sat^2*S_satellite</f>
        <v>8.0903945129742851</v>
      </c>
      <c r="N25" s="58"/>
    </row>
    <row r="26" spans="1:18" x14ac:dyDescent="0.2">
      <c r="A26" s="59"/>
      <c r="B26" s="468" t="str">
        <f>IF(Lang="Français","Ouverture para",IF(Lang="English","Opening time",""))</f>
        <v>Ouverture para</v>
      </c>
      <c r="C26" s="509">
        <v>19</v>
      </c>
      <c r="D26" s="469">
        <v>3.5</v>
      </c>
      <c r="F26" s="614" t="s">
        <v>15</v>
      </c>
      <c r="G26" s="594"/>
      <c r="H26" s="153">
        <f ca="1">INDEX(t,MATCH("Apogée",Event,0))</f>
        <v>5.8999999999999959</v>
      </c>
      <c r="I26" s="157">
        <f ca="1">INDEX(pos_z,MATCH("Apogée",Event,0))</f>
        <v>165.14105142193264</v>
      </c>
      <c r="J26" s="155">
        <f ca="1">INDEX(pos_x,MATCH("Apogée",Event,0))</f>
        <v>28.741647304996103</v>
      </c>
      <c r="K26" s="160">
        <f ca="1">INDEX(vit_xz,MATCH("Apogée",Event,0))</f>
        <v>4.94011363708504</v>
      </c>
      <c r="L26" s="498"/>
      <c r="M26" s="502"/>
      <c r="N26" s="58"/>
    </row>
    <row r="27" spans="1:18" x14ac:dyDescent="0.2">
      <c r="A27" s="59"/>
      <c r="B27" s="141" t="s">
        <v>9</v>
      </c>
      <c r="C27" s="225">
        <f>S_para_croix</f>
        <v>1.5070049999999999</v>
      </c>
      <c r="D27" s="17">
        <f>IF(RIGHT(Type_fusee,1)=".",0.1,0.02)</f>
        <v>0.02</v>
      </c>
      <c r="F27" s="613" t="str">
        <f>IF(Lang="Français","Ouverture parachute fusée",IF(Lang="English","Rocket parachute opening",""))</f>
        <v>Ouverture parachute fusée</v>
      </c>
      <c r="G27" s="599"/>
      <c r="H27" s="152">
        <f>T_para</f>
        <v>19</v>
      </c>
      <c r="I27" s="156" t="e">
        <f ca="1">INDEX(pos_z,MATCH("Para",Event_para,0))</f>
        <v>#N/A</v>
      </c>
      <c r="J27" s="488" t="e">
        <f ca="1">INDEX(pos_x,MATCH("Para",Event_para,0))</f>
        <v>#N/A</v>
      </c>
      <c r="K27" s="159" t="e">
        <f ca="1">INDEX(vit_xz,MATCH("Para",Event_para,0))</f>
        <v>#N/A</v>
      </c>
      <c r="L27" s="497"/>
      <c r="M27" s="487" t="e">
        <f ca="1">1/2*Rho_moyen*1*V_ouverture^2*S_para</f>
        <v>#N/A</v>
      </c>
      <c r="N27" s="58"/>
      <c r="P27" s="384" t="str">
        <f ca="1">IF(V_para&lt;5, IF(Lang="Français","Parachute fusée trop grand !","Parachute too big!"), IF( V_para&gt;15, IF(Lang="Français","Parachute fusée trop petit !","Parachute too small!"), ""))</f>
        <v>Parachute fusée trop grand !</v>
      </c>
      <c r="R27" s="384" t="str">
        <f>IF(AND(Nb_sat="1 satellite", OR(V_satellite&lt;5)), IF(Lang="Français","Parachute satéllite trop grand !","Parachute too big"), IF(AND(Nb_sat="1 satellite",OR(V_satellite&gt;15)), IF(Lang="Français","Parachute satéllite trop petit !","Parachute too small!"), ""))</f>
        <v/>
      </c>
    </row>
    <row r="28" spans="1:18" x14ac:dyDescent="0.2">
      <c r="A28" s="59"/>
      <c r="B28" s="141" t="s">
        <v>10</v>
      </c>
      <c r="C28" s="143">
        <v>1</v>
      </c>
      <c r="D28" s="143">
        <v>1</v>
      </c>
      <c r="F28" s="618" t="str">
        <f>IF(Lang="Français","Impact balistique",IF(Lang="English","Balistic Impact",""))</f>
        <v>Impact balistique</v>
      </c>
      <c r="G28" s="619"/>
      <c r="H28" s="499">
        <f ca="1">INDEX(t,MATCH("Impact balistique",Event,0))</f>
        <v>11.999999999999975</v>
      </c>
      <c r="I28" s="519" t="s">
        <v>432</v>
      </c>
      <c r="J28" s="489">
        <f ca="1">INDEX(pos_x,MATCH("Impact balistique",Event,0))</f>
        <v>56.288824373840264</v>
      </c>
      <c r="K28" s="503">
        <f ca="1">K45</f>
        <v>51.62038634338775</v>
      </c>
      <c r="L28" s="500"/>
      <c r="M28" s="504">
        <f ca="1">0.5*m_vide*K28^2</f>
        <v>2776.9798859056541</v>
      </c>
      <c r="N28" s="58"/>
      <c r="P28" s="384" t="str">
        <f ca="1">IF( OR( V_para&lt;5, V_para&gt;15, AND(Nb_sat="1 satellite", OR(V_satellite&lt;5, V_satellite&gt;15))), IF(Lang="Français","La Vitesse de descente sous parachute doit être comprise entre 5 &amp; 15 m/s.","Fall Velocity with parachute must be between 5 &amp; 15 m/s."), "")</f>
        <v>La Vitesse de descente sous parachute doit être comprise entre 5 &amp; 15 m/s.</v>
      </c>
    </row>
    <row r="29" spans="1:18" x14ac:dyDescent="0.2">
      <c r="A29" s="59"/>
      <c r="B29" s="141" t="str">
        <f>IF(Lang="Français","Vitesse du vent",IF(Lang="English","Wind speed",""))</f>
        <v>Vitesse du vent</v>
      </c>
      <c r="C29" s="144">
        <v>5</v>
      </c>
      <c r="D29" s="144">
        <f>V_vent</f>
        <v>5</v>
      </c>
      <c r="E29" s="18" t="str">
        <f>IF(AND(T_satellite=0,m_satellite&lt;&gt;0),"Erreur !","")</f>
        <v/>
      </c>
      <c r="G29" s="485"/>
      <c r="H29" s="486"/>
      <c r="I29" s="490"/>
      <c r="N29" s="58"/>
      <c r="P29" s="384" t="str">
        <f ca="1">IF(AND(Portee_balistique&gt;200,LEFT(Propu,2)="p2"),IF(Lang="Français","Fusée trop lègère !","Rocket too light"),"")</f>
        <v/>
      </c>
    </row>
    <row r="30" spans="1:18" x14ac:dyDescent="0.2">
      <c r="A30" s="59"/>
      <c r="B30" s="133" t="str">
        <f>IF(Lang="Français","Vitesse descente",IF(Lang="English","Fall velocity",""))</f>
        <v>Vitesse descente</v>
      </c>
      <c r="C30" s="424">
        <f ca="1">SQRT(2*m_vide*g/Rho_moyen/S_para/Cx_para)</f>
        <v>4.7065667765471613</v>
      </c>
      <c r="D30" s="424">
        <f>SQRT(2*m_satellite*g/Rho_moyen/S_satellite/Cx_satellite)</f>
        <v>10.960038730752361</v>
      </c>
      <c r="F30" s="384"/>
      <c r="K30" s="388"/>
      <c r="N30" s="58"/>
      <c r="P30" s="384" t="str">
        <f ca="1">IF(OR(AND(Vsortie_de_rampe&lt;20,LEFT(Type_fusee,1)="F"),AND(Vsortie_de_rampe&lt;18, OR(LEFT(Type_fusee,1)=",",LEFT(Type_fusee,4)="Mini",LEFT(Type_fusee,1)="R"))),IF(Lang="Français","Fusée trop lourde ou rampe trop courte !","Rocket too heavy or launch pad too small!"),"")</f>
        <v/>
      </c>
    </row>
    <row r="31" spans="1:18" x14ac:dyDescent="0.2">
      <c r="A31" s="59"/>
      <c r="B31" s="133" t="str">
        <f>IF(Lang="Français","Durée descente",IF(Lang="English","Fall duration",""))</f>
        <v>Durée descente</v>
      </c>
      <c r="C31" s="132" t="e">
        <f ca="1">Alt_para/V_para</f>
        <v>#N/A</v>
      </c>
      <c r="D31" s="132">
        <f ca="1">IF(V_satellite&lt;&gt;0,Alt_sat/V_satellite,0)</f>
        <v>12.245037576483487</v>
      </c>
      <c r="H31" s="620" t="str">
        <f>IF(Lang="Français","Pour localiser la fusée","To locate the rocket")</f>
        <v>Pour localiser la fusée</v>
      </c>
      <c r="I31" s="620"/>
      <c r="J31" s="484"/>
      <c r="N31" s="395"/>
      <c r="P31" s="384" t="str">
        <f ca="1">IF(Temps_culmi-T_para&gt;2,IF(Lang="Français","Ouverture parachute fusée précoce.","Early rocket parachute opening."),IF(Temps_culmi-T_para&lt;-2,IF(Lang="Français","Ouverture parachute fusée tardive.","Late rocket parachute opening."),""))</f>
        <v>Ouverture parachute fusée tardive.</v>
      </c>
    </row>
    <row r="32" spans="1:18" x14ac:dyDescent="0.2">
      <c r="A32" s="59"/>
      <c r="B32" s="133" t="str">
        <f>IF(Lang="Français","Durée du vol",IF(Lang="English","Fligth duration",""))</f>
        <v>Durée du vol</v>
      </c>
      <c r="C32" s="132" t="e">
        <f ca="1">T_para+Dt_para</f>
        <v>#N/A</v>
      </c>
      <c r="D32" s="132">
        <f ca="1">T_satellite+Dt_satellite</f>
        <v>15.745037576483487</v>
      </c>
      <c r="F32" s="620" t="str">
        <f>IF(Lang="Français","Couleur fuselage/coiffe","Body/Nose color")</f>
        <v>Couleur fuselage/coiffe</v>
      </c>
      <c r="G32" s="620"/>
      <c r="H32" s="616" t="s">
        <v>269</v>
      </c>
      <c r="I32" s="617"/>
      <c r="N32" s="394"/>
      <c r="P32" s="384" t="str">
        <f ca="1">IF(ABS(Temps_culmi-T_para)&gt;2,IF(Lang="Français","Attention, aux efforts sur le parachute lors de l'ouverture !","Becarefull to the opening chute efforts!"),"")</f>
        <v>Attention, aux efforts sur le parachute lors de l'ouverture !</v>
      </c>
    </row>
    <row r="33" spans="1:16" customFormat="1" x14ac:dyDescent="0.2">
      <c r="A33" s="74"/>
      <c r="B33" s="133" t="str">
        <f>IF(Lang="Français","Déport latéral",IF(Lang="English","Lateral shift",""))</f>
        <v>Déport latéral</v>
      </c>
      <c r="C33" s="151" t="e">
        <f ca="1">Alt_para*V_vent/V_para</f>
        <v>#N/A</v>
      </c>
      <c r="D33" s="151">
        <f ca="1">IF(V_satellite&lt;&gt;0,Alt_sat*V_vent_sat/V_satellite,0)</f>
        <v>61.225187882417437</v>
      </c>
      <c r="F33" s="620" t="str">
        <f>IF(Lang="Français","Couleur parachute fusée","Rocket parachute color")</f>
        <v>Couleur parachute fusée</v>
      </c>
      <c r="G33" s="620"/>
      <c r="H33" s="616" t="s">
        <v>270</v>
      </c>
      <c r="I33" s="617"/>
      <c r="N33" s="394" t="str">
        <f>IF(Lang="Français","fichier initial","Initial file")</f>
        <v>fichier initial</v>
      </c>
    </row>
    <row r="34" spans="1:16" x14ac:dyDescent="0.2">
      <c r="A34" s="59"/>
      <c r="F34" s="620" t="str">
        <f>IF(Lang="Français","Couleur parachute satellite","Satellite parachute color")</f>
        <v>Couleur parachute satellite</v>
      </c>
      <c r="G34" s="620"/>
      <c r="H34" s="624" t="s">
        <v>161</v>
      </c>
      <c r="I34" s="624"/>
      <c r="N34" s="393" t="str">
        <f>IF(ROUND(SUM(Propu!5:1218),0)=306466,"propu OK","propu NOK")</f>
        <v>propu OK</v>
      </c>
      <c r="P34"/>
    </row>
    <row r="35" spans="1:16" ht="13.5" thickBot="1" x14ac:dyDescent="0.25">
      <c r="A35" s="60"/>
      <c r="B35" s="181" t="str">
        <f>IF(Lang="Français","Commentaire libre :",IF(Lang="English","Free comment:",""))</f>
        <v>Commentaire libre :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290" t="s">
        <v>550</v>
      </c>
      <c r="P35"/>
    </row>
    <row r="38" spans="1:16" x14ac:dyDescent="0.2">
      <c r="A38" s="621" t="str">
        <f>IF(Lang="Français","Calcul de la surface d'un parachute","Parachute surface calculation")</f>
        <v>Calcul de la surface d'un parachute</v>
      </c>
      <c r="B38" s="622"/>
      <c r="C38" s="622"/>
      <c r="D38" s="623"/>
      <c r="F38" s="621" t="str">
        <f>IF(Lang="Français","Résultats détaillés","Detailled results")</f>
        <v>Résultats détaillés</v>
      </c>
      <c r="G38" s="623"/>
      <c r="H38" s="170" t="str">
        <f>IF(Lang="Français","Temps",IF(Lang="English","Time",""))</f>
        <v>Temps</v>
      </c>
      <c r="I38" s="134" t="s">
        <v>12</v>
      </c>
      <c r="J38" s="134" t="str">
        <f>IF(Lang="Français","Portée x",IF(Lang="English","Range x",""))</f>
        <v>Portée x</v>
      </c>
      <c r="K38" s="134" t="str">
        <f>IF(Lang="Français","Vitesse",IF(Lang="English","Velocity",""))</f>
        <v>Vitesse</v>
      </c>
      <c r="L38" s="135" t="s">
        <v>13</v>
      </c>
      <c r="M38" s="134" t="s">
        <v>42</v>
      </c>
    </row>
    <row r="39" spans="1:16" x14ac:dyDescent="0.2">
      <c r="A39" s="161"/>
      <c r="D39" s="162"/>
      <c r="F39" s="172"/>
      <c r="G39" s="173"/>
      <c r="H39" s="171" t="s">
        <v>156</v>
      </c>
      <c r="I39" s="136" t="s">
        <v>39</v>
      </c>
      <c r="J39" s="136" t="s">
        <v>39</v>
      </c>
      <c r="K39" s="136" t="s">
        <v>157</v>
      </c>
      <c r="L39" s="136" t="s">
        <v>7</v>
      </c>
      <c r="M39" s="136" t="s">
        <v>158</v>
      </c>
    </row>
    <row r="40" spans="1:16" x14ac:dyDescent="0.2">
      <c r="A40" s="161"/>
      <c r="D40" s="162"/>
      <c r="F40" s="593" t="str">
        <f>IF(Lang="Français","Décollage",IF(Lang="English","Lift-Off",""))</f>
        <v>Décollage</v>
      </c>
      <c r="G40" s="593"/>
      <c r="H40" s="150">
        <v>0</v>
      </c>
      <c r="I40" s="150">
        <v>0</v>
      </c>
      <c r="J40" s="150">
        <v>0</v>
      </c>
      <c r="K40" s="150">
        <v>0</v>
      </c>
      <c r="L40" s="148" t="s">
        <v>14</v>
      </c>
      <c r="M40" s="149">
        <f>Beta_rampe</f>
        <v>85</v>
      </c>
    </row>
    <row r="41" spans="1:16" x14ac:dyDescent="0.2">
      <c r="A41" s="161"/>
      <c r="D41" s="162"/>
      <c r="F41" s="594" t="str">
        <f>IF(Lang="Français","Sortie de Rampe",IF(Lang="English","Launch-Pad Exit",""))</f>
        <v>Sortie de Rampe</v>
      </c>
      <c r="G41" s="594"/>
      <c r="H41" s="115">
        <f ca="1">INDEX(t,MATCH("Sortie de rampe",Event,0))</f>
        <v>0.24000000000000007</v>
      </c>
      <c r="I41" s="115">
        <f ca="1">INDEX(pos_z,MATCH("Sortie de rampe",Event,0))</f>
        <v>2.3207799240116849</v>
      </c>
      <c r="J41" s="115">
        <f ca="1">INDEX(pos_x,MATCH("Sortie de rampe",Event,0))</f>
        <v>0.20303003018307539</v>
      </c>
      <c r="K41" s="116">
        <f ca="1">INDEX(vit_xz,MATCH("Sortie de rampe",Event,0))</f>
        <v>19.686727388604385</v>
      </c>
      <c r="L41" s="116">
        <f ca="1">INDEX(acc_xz,MATCH("Sortie de rampe",Event,0))</f>
        <v>80.276503366677403</v>
      </c>
      <c r="M41" s="116">
        <f ca="1">INDEX(BetaD,MATCH("Sortie de rampe",Event,0))</f>
        <v>85</v>
      </c>
    </row>
    <row r="42" spans="1:16" x14ac:dyDescent="0.2">
      <c r="A42" s="161"/>
      <c r="B42" s="166" t="str">
        <f>IF(Lang="Français","Longeur du bord","Side length")</f>
        <v>Longeur du bord</v>
      </c>
      <c r="D42" s="162"/>
      <c r="F42" s="594" t="str">
        <f>IF(Lang="Français","Vit max &amp; Acc max",IF(Lang="English","Max Velocity &amp; Acc",""))</f>
        <v>Vit max &amp; Acc max</v>
      </c>
      <c r="G42" s="594"/>
      <c r="H42" s="115" t="s">
        <v>14</v>
      </c>
      <c r="I42" s="115" t="s">
        <v>14</v>
      </c>
      <c r="J42" s="115" t="s">
        <v>14</v>
      </c>
      <c r="K42" s="117">
        <f ca="1">MAX(vit_xz)</f>
        <v>55.677359556111739</v>
      </c>
      <c r="L42" s="118">
        <f ca="1">MAX(acc_xz)</f>
        <v>101.47638606500777</v>
      </c>
      <c r="M42" s="116" t="s">
        <v>14</v>
      </c>
    </row>
    <row r="43" spans="1:16" x14ac:dyDescent="0.2">
      <c r="A43" s="161"/>
      <c r="B43" s="167">
        <v>549</v>
      </c>
      <c r="D43" s="162"/>
      <c r="F43" s="594" t="str">
        <f>IF(Lang="Français","Fin de Propulsion",IF(Lang="English","Motor Burn-Out",""))</f>
        <v>Fin de Propulsion</v>
      </c>
      <c r="G43" s="594"/>
      <c r="H43" s="116">
        <f ca="1">INDEX(t,MATCH("Fin de propulsion",Event,0))</f>
        <v>1.0900000000000007</v>
      </c>
      <c r="I43" s="119">
        <f ca="1">INDEX(pos_z,MATCH("Fin de propulsion",Event,0))</f>
        <v>40.343532352230483</v>
      </c>
      <c r="J43" s="119">
        <f ca="1">INDEX(pos_x,MATCH("Fin de propulsion",Event,0))</f>
        <v>3.9810137444101565</v>
      </c>
      <c r="K43" s="119">
        <f ca="1">INDEX(vit_xz,MATCH("Fin de propulsion",Event,0))</f>
        <v>54.142016729264611</v>
      </c>
      <c r="L43" s="116">
        <f ca="1">INDEX(acc_xz,MATCH("Fin de propulsion",Event,0))</f>
        <v>13.572460655301148</v>
      </c>
      <c r="M43" s="116">
        <f ca="1">INDEX(BetaD,MATCH("Fin de propulsion",Event,0))</f>
        <v>83.920312877188678</v>
      </c>
    </row>
    <row r="44" spans="1:16" x14ac:dyDescent="0.2">
      <c r="A44" s="161"/>
      <c r="B44" s="166" t="str">
        <f>IF(Lang="Français","Largeur du coté","Side width")</f>
        <v>Largeur du coté</v>
      </c>
      <c r="D44" s="162"/>
      <c r="F44" s="594" t="s">
        <v>15</v>
      </c>
      <c r="G44" s="594"/>
      <c r="H44" s="118">
        <f ca="1">INDEX(t,MATCH("Apogée",Event,0))</f>
        <v>5.8999999999999959</v>
      </c>
      <c r="I44" s="117">
        <f ca="1">INDEX(pos_z,MATCH("Apogée",Event,0))</f>
        <v>165.14105142193264</v>
      </c>
      <c r="J44" s="120">
        <f ca="1">INDEX(pos_x,MATCH("Apogée",Event,0))</f>
        <v>28.741647304996103</v>
      </c>
      <c r="K44" s="120">
        <f ca="1">INDEX(vit_xz,MATCH("Apogée",Event,0))</f>
        <v>4.94011363708504</v>
      </c>
      <c r="L44" s="116">
        <f ca="1">INDEX(acc_xz,MATCH("Apogée",Event,0))</f>
        <v>9.8226143173258773</v>
      </c>
      <c r="M44" s="121">
        <f ca="1">INDEX(BetaD,MATCH("Apogée",Event,0))</f>
        <v>10.727038580323718</v>
      </c>
    </row>
    <row r="45" spans="1:16" x14ac:dyDescent="0.2">
      <c r="A45" s="161"/>
      <c r="B45" s="168">
        <v>549</v>
      </c>
      <c r="D45" s="162"/>
      <c r="F45" s="597" t="str">
        <f>IF(Lang="Français","Impact balistique",IF(Lang="English","Balistic Impact",""))</f>
        <v>Impact balistique</v>
      </c>
      <c r="G45" s="597"/>
      <c r="H45" s="116">
        <f ca="1">INDEX(t,MATCH("Impact balistique",Event,0))</f>
        <v>11.999999999999975</v>
      </c>
      <c r="I45" s="148" t="s">
        <v>16</v>
      </c>
      <c r="J45" s="117">
        <f ca="1">INDEX(pos_x,MATCH("Impact balistique",Event,0))</f>
        <v>56.288824373840264</v>
      </c>
      <c r="K45" s="119">
        <f ca="1">INDEX(vit_xz,MATCH("Impact balistique",Event,0))</f>
        <v>51.62038634338775</v>
      </c>
      <c r="L45" s="116">
        <f ca="1">INDEX(acc_xz,MATCH("Impact balistique",Event,0))</f>
        <v>6.4813368741515456</v>
      </c>
      <c r="M45" s="116">
        <f ca="1">INDEX(BetaD,MATCH("Impact balistique",Event,0))</f>
        <v>-85.647946812317215</v>
      </c>
    </row>
    <row r="46" spans="1:16" x14ac:dyDescent="0.2">
      <c r="A46" s="161"/>
      <c r="B46" s="169" t="s">
        <v>9</v>
      </c>
      <c r="D46" s="162"/>
      <c r="F46" s="599" t="str">
        <f>IF(Lang="Français","Ouverture parachute fusée",IF(Lang="English","Rocket parachute opening",""))</f>
        <v>Ouverture parachute fusée</v>
      </c>
      <c r="G46" s="599"/>
      <c r="H46" s="122">
        <f>T_para</f>
        <v>19</v>
      </c>
      <c r="I46" s="123" t="e">
        <f ca="1">INDEX(pos_z,MATCH("Para",Event_para,0))</f>
        <v>#N/A</v>
      </c>
      <c r="J46" s="123" t="e">
        <f ca="1">INDEX(pos_x,MATCH("Para",Event_para,0))</f>
        <v>#N/A</v>
      </c>
      <c r="K46" s="123" t="e">
        <f ca="1">INDEX(vit_xz,MATCH("Para",Event_para,0))</f>
        <v>#N/A</v>
      </c>
      <c r="L46" s="122" t="e">
        <f ca="1">INDEX(acc_xz,MATCH("Para",Event_para,0))</f>
        <v>#N/A</v>
      </c>
      <c r="M46" s="124" t="e">
        <f ca="1">INDEX(BetaD,MATCH("Para",Event_para,0))</f>
        <v>#N/A</v>
      </c>
    </row>
    <row r="47" spans="1:16" x14ac:dyDescent="0.2">
      <c r="A47" s="161"/>
      <c r="B47" s="174">
        <f>(4*B43*B45+B43^2)/10^6</f>
        <v>1.5070049999999999</v>
      </c>
      <c r="D47" s="162"/>
      <c r="F47" s="598" t="str">
        <f>IF(Lang="Français","Impact fusée sous para.",IF(Lang="English","Impact of rocket with para. ",""))</f>
        <v>Impact fusée sous para.</v>
      </c>
      <c r="G47" s="598"/>
      <c r="H47" s="125" t="e">
        <f ca="1">T_para+Dt_para</f>
        <v>#N/A</v>
      </c>
      <c r="I47" s="127" t="s">
        <v>16</v>
      </c>
      <c r="J47" s="126" t="e">
        <f ca="1">CONCATENATE(TEXT(X_para-Dx_para,"0")," | ",TEXT(X_para+Dx_para,"0"))</f>
        <v>#N/A</v>
      </c>
      <c r="K47" s="126">
        <f ca="1">V_para</f>
        <v>4.7065667765471613</v>
      </c>
      <c r="L47" s="128">
        <f>g</f>
        <v>9.81</v>
      </c>
      <c r="M47" s="128" t="s">
        <v>14</v>
      </c>
    </row>
    <row r="48" spans="1:16" x14ac:dyDescent="0.2">
      <c r="A48" s="161"/>
      <c r="D48" s="162"/>
      <c r="F48" s="595" t="str">
        <f>IF(Lang="Français","Largage du satellite",IF(Lang="English","Satellite separation",""))</f>
        <v>Largage du satellite</v>
      </c>
      <c r="G48" s="596"/>
      <c r="H48" s="122">
        <f>IF(T_satellite&lt;&gt;0,T_satellite,"")</f>
        <v>3.5</v>
      </c>
      <c r="I48" s="123">
        <f ca="1">IF(T_satellite&lt;&gt;0,INDEX(pos_z,MATCH("Satellite",Event_sat,0)),"")</f>
        <v>134.20608609777705</v>
      </c>
      <c r="J48" s="129">
        <f ca="1">IF(T_satellite&lt;&gt;0,INDEX(pos_x,MATCH("Satellite",Event_sat,0)),"")</f>
        <v>16.896268639412234</v>
      </c>
      <c r="K48" s="123">
        <f ca="1">IF(T_satellite&lt;&gt;0,INDEX(vit_xz,MATCH("Satellite",Event_sat,0)),"")</f>
        <v>25.699034386646982</v>
      </c>
      <c r="L48" s="122">
        <f ca="1">IF(T_satellite&lt;&gt;0,INDEX(acc_xz,MATCH("Satellite",Event_sat,0)),"")</f>
        <v>10.704131095568934</v>
      </c>
      <c r="M48" s="124">
        <f ca="1">IF(T_satellite&lt;&gt;0,INDEX(BetaD,MATCH("Satellite",Event_sat,0)),"")</f>
        <v>78.612183316159204</v>
      </c>
    </row>
    <row r="49" spans="1:13" x14ac:dyDescent="0.2">
      <c r="A49" s="161"/>
      <c r="D49" s="162"/>
      <c r="F49" s="591" t="str">
        <f>IF(Lang="Français","Impact du satellite",IF(Lang="English","Satellite impact",""))</f>
        <v>Impact du satellite</v>
      </c>
      <c r="G49" s="592"/>
      <c r="H49" s="125">
        <f ca="1">IF(T_satellite&lt;&gt;0,T_satellite+Dt_satellite,"")</f>
        <v>15.745037576483487</v>
      </c>
      <c r="I49" s="130" t="str">
        <f>IF(T_satellite&lt;&gt;0,"~0","")</f>
        <v>~0</v>
      </c>
      <c r="J49" s="130" t="str">
        <f ca="1">IF(T_satellite&lt;&gt;0,CONCATENATE(TEXT(X_satellite-Dx_sat,"0")," | ",TEXT(X_satellite+Dx_sat,"0")),"")</f>
        <v>-44 | 78</v>
      </c>
      <c r="K49" s="130">
        <f>IF(T_satellite&lt;&gt;0,V_satellite,"")</f>
        <v>10.960038730752361</v>
      </c>
      <c r="L49" s="128">
        <f>IF(T_satellite&lt;&gt;0,g,"")</f>
        <v>9.81</v>
      </c>
      <c r="M49" s="131" t="str">
        <f>IF(T_satellite&lt;&gt;0,"-","")</f>
        <v>-</v>
      </c>
    </row>
    <row r="50" spans="1:13" x14ac:dyDescent="0.2">
      <c r="A50" s="161"/>
      <c r="B50" s="166" t="str">
        <f>IF(Lang="Français","Rayon exterieur","Half-diameter ext")</f>
        <v>Rayon exterieur</v>
      </c>
      <c r="D50" s="162"/>
    </row>
    <row r="51" spans="1:13" x14ac:dyDescent="0.2">
      <c r="A51" s="161"/>
      <c r="B51" s="168">
        <v>299</v>
      </c>
      <c r="D51" s="162"/>
    </row>
    <row r="52" spans="1:13" x14ac:dyDescent="0.2">
      <c r="A52" s="161"/>
      <c r="B52" s="166" t="str">
        <f>IF(Lang="Français","Rayon intérieur","Half-diameter int")</f>
        <v>Rayon intérieur</v>
      </c>
      <c r="D52" s="162"/>
    </row>
    <row r="53" spans="1:13" x14ac:dyDescent="0.2">
      <c r="A53" s="161"/>
      <c r="B53" s="168">
        <v>29</v>
      </c>
      <c r="D53" s="162"/>
    </row>
    <row r="54" spans="1:13" x14ac:dyDescent="0.2">
      <c r="A54" s="161"/>
      <c r="B54" s="169" t="s">
        <v>9</v>
      </c>
      <c r="D54" s="162"/>
    </row>
    <row r="55" spans="1:13" x14ac:dyDescent="0.2">
      <c r="A55" s="161"/>
      <c r="B55" s="174">
        <f>PI()*(B51^2-B53^2)/10^6</f>
        <v>0.27821944540191207</v>
      </c>
      <c r="D55" s="162"/>
    </row>
    <row r="56" spans="1:13" x14ac:dyDescent="0.2">
      <c r="A56" s="163"/>
      <c r="B56" s="164"/>
      <c r="C56" s="164"/>
      <c r="D56" s="165"/>
    </row>
    <row r="93" spans="2:2" x14ac:dyDescent="0.2">
      <c r="B93" s="24" t="str">
        <f>IF(Lang="Français","Vitesse de descente sous parachute :",IF(Lang="English","Fall velocity over parachute:",""))</f>
        <v>Vitesse de descente sous parachute :</v>
      </c>
    </row>
    <row r="102" spans="2:7" x14ac:dyDescent="0.2">
      <c r="B102" s="24" t="str">
        <f>IF(Lang="Français","Textes pour les listes déroulantes et graphiques :","Texts for drop-down lists &amp; graphics :")</f>
        <v>Textes pour les listes déroulantes et graphiques :</v>
      </c>
      <c r="F102" s="221" t="s">
        <v>411</v>
      </c>
      <c r="G102" s="1" t="s">
        <v>418</v>
      </c>
    </row>
    <row r="103" spans="2:7" x14ac:dyDescent="0.2">
      <c r="F103" s="478">
        <f ca="1">Combustion+Depotage-9</f>
        <v>4.9700000000000006</v>
      </c>
      <c r="G103" s="479" t="s">
        <v>413</v>
      </c>
    </row>
    <row r="104" spans="2:7" x14ac:dyDescent="0.2">
      <c r="B104" s="1" t="s">
        <v>123</v>
      </c>
      <c r="F104" s="478">
        <f ca="1">Combustion+Depotage-7</f>
        <v>6.9700000000000006</v>
      </c>
      <c r="G104" s="479" t="s">
        <v>414</v>
      </c>
    </row>
    <row r="105" spans="2:7" x14ac:dyDescent="0.2">
      <c r="B105" s="1" t="s">
        <v>124</v>
      </c>
      <c r="F105" s="478">
        <f ca="1">Combustion+Depotage-5</f>
        <v>8.9700000000000006</v>
      </c>
      <c r="G105" s="479" t="s">
        <v>415</v>
      </c>
    </row>
    <row r="106" spans="2:7" x14ac:dyDescent="0.2">
      <c r="B106" s="1" t="str">
        <f>IF(T_para&gt;0,IF(Lang="Français","Phase ascendante","Climbing phase"),"")</f>
        <v>Phase ascendante</v>
      </c>
      <c r="F106" s="478">
        <f ca="1">Combustion+Depotage-3</f>
        <v>10.97</v>
      </c>
      <c r="G106" s="479" t="s">
        <v>416</v>
      </c>
    </row>
    <row r="107" spans="2:7" x14ac:dyDescent="0.2">
      <c r="B107" s="1" t="str">
        <f>IF(Lang="Français","Descente balistique","Balistic fall")</f>
        <v>Descente balistique</v>
      </c>
      <c r="F107" s="478">
        <f ca="1">Combustion+Depotage</f>
        <v>13.97</v>
      </c>
      <c r="G107" s="479" t="s">
        <v>417</v>
      </c>
    </row>
    <row r="108" spans="2:7" x14ac:dyDescent="0.2">
      <c r="B108" s="1" t="str">
        <f>IF(T_para&gt;0,IF(Lang="Français","Fusée sous parachute","Rocket under parachute"),"")</f>
        <v>Fusée sous parachute</v>
      </c>
      <c r="F108" s="480" t="str">
        <f>IF(Lang="Français","autre",IF(Lang="English","other",""))</f>
        <v>autre</v>
      </c>
    </row>
    <row r="109" spans="2:7" x14ac:dyDescent="0.2">
      <c r="B109" s="1" t="str">
        <f>IF(AND(Nb_sat="1 satellite",T_satellite&gt;0),IF(Lang="Français","Satellite sous parachute","Satellite over parachute"),"")</f>
        <v/>
      </c>
    </row>
    <row r="110" spans="2:7" x14ac:dyDescent="0.2">
      <c r="B110" s="1" t="str">
        <f>IF(Lang="Français","Trajectoire (x z)","Trajectory (x z)")</f>
        <v>Trajectoire (x z)</v>
      </c>
    </row>
    <row r="111" spans="2:7" x14ac:dyDescent="0.2">
      <c r="B111" s="1" t="str">
        <f>IF(Lang="Français","Portée x [m]","Range x [m]")</f>
        <v>Portée x [m]</v>
      </c>
    </row>
    <row r="112" spans="2:7" x14ac:dyDescent="0.2">
      <c r="B112" s="1" t="str">
        <f>IF(Lang="Français","Temps [s]","Time [s]")</f>
        <v>Temps [s]</v>
      </c>
    </row>
    <row r="113" spans="2:3" x14ac:dyDescent="0.2">
      <c r="B113" s="1" t="str">
        <f>IF(Lang="Français","Altitude z  /  Temps","Altitude z  /  Time")</f>
        <v>Altitude z  /  Temps</v>
      </c>
      <c r="C113" s="1">
        <f>IF(OR(C25=F102,C25=F108),C26,C25)</f>
        <v>19</v>
      </c>
    </row>
    <row r="115" spans="2:3" x14ac:dyDescent="0.2">
      <c r="B115" s="1" t="s">
        <v>412</v>
      </c>
    </row>
    <row r="117" spans="2:3" x14ac:dyDescent="0.2">
      <c r="B117" s="24" t="str">
        <f>IF(Lang="Français","Données pour les graphiques :","Data for plots:")</f>
        <v>Données pour les graphiques :</v>
      </c>
      <c r="C117" s="211" t="s">
        <v>50</v>
      </c>
    </row>
    <row r="118" spans="2:3" x14ac:dyDescent="0.2">
      <c r="C118" s="216">
        <f ca="1">MAX(Altitude_culmi,Portee_balistique)</f>
        <v>165.14105142193264</v>
      </c>
    </row>
    <row r="119" spans="2:3" x14ac:dyDescent="0.2">
      <c r="B119" s="210" t="s">
        <v>50</v>
      </c>
    </row>
    <row r="120" spans="2:3" x14ac:dyDescent="0.2">
      <c r="B120" s="218">
        <f ca="1">MAX(Altitude_culmi,Portee_balistique)</f>
        <v>165.14105142193264</v>
      </c>
      <c r="C120" s="211" t="s">
        <v>48</v>
      </c>
    </row>
    <row r="121" spans="2:3" x14ac:dyDescent="0.2">
      <c r="C121" s="214" t="e">
        <f ca="1">Alt_para</f>
        <v>#N/A</v>
      </c>
    </row>
    <row r="122" spans="2:3" x14ac:dyDescent="0.2">
      <c r="B122" s="210" t="s">
        <v>52</v>
      </c>
      <c r="C122" s="214" t="e">
        <f ca="1">Alt_para/2</f>
        <v>#N/A</v>
      </c>
    </row>
    <row r="123" spans="2:3" x14ac:dyDescent="0.2">
      <c r="B123" s="217" t="e">
        <f ca="1">X_para</f>
        <v>#N/A</v>
      </c>
      <c r="C123" s="214">
        <v>0</v>
      </c>
    </row>
    <row r="124" spans="2:3" x14ac:dyDescent="0.2">
      <c r="B124" s="217" t="e">
        <f ca="1">X_para</f>
        <v>#N/A</v>
      </c>
      <c r="C124" s="214" t="e">
        <f ca="1">Alt_para/20</f>
        <v>#N/A</v>
      </c>
    </row>
    <row r="125" spans="2:3" x14ac:dyDescent="0.2">
      <c r="B125" s="217" t="e">
        <f ca="1">X_para</f>
        <v>#N/A</v>
      </c>
      <c r="C125" s="214">
        <v>0</v>
      </c>
    </row>
    <row r="126" spans="2:3" x14ac:dyDescent="0.2">
      <c r="B126" s="217" t="e">
        <f ca="1">X_para+Alt_para/40</f>
        <v>#N/A</v>
      </c>
      <c r="C126" s="214" t="e">
        <f ca="1">Alt_para/20</f>
        <v>#N/A</v>
      </c>
    </row>
    <row r="127" spans="2:3" x14ac:dyDescent="0.2">
      <c r="B127" s="217" t="e">
        <f ca="1">X_para</f>
        <v>#N/A</v>
      </c>
      <c r="C127" s="219">
        <v>0</v>
      </c>
    </row>
    <row r="128" spans="2:3" x14ac:dyDescent="0.2">
      <c r="B128" s="217" t="e">
        <f ca="1">X_para-Alt_para/40</f>
        <v>#N/A</v>
      </c>
      <c r="C128" s="211" t="s">
        <v>48</v>
      </c>
    </row>
    <row r="129" spans="2:6" x14ac:dyDescent="0.2">
      <c r="B129" s="218" t="e">
        <f ca="1">X_para</f>
        <v>#N/A</v>
      </c>
      <c r="C129" s="214" t="e">
        <f ca="1">Alt_para</f>
        <v>#N/A</v>
      </c>
      <c r="E129" s="232">
        <v>1</v>
      </c>
      <c r="F129" s="233" t="s">
        <v>178</v>
      </c>
    </row>
    <row r="130" spans="2:6" x14ac:dyDescent="0.2">
      <c r="B130" s="210" t="s">
        <v>51</v>
      </c>
      <c r="C130" s="214" t="e">
        <f ca="1">(C129+C131)/2</f>
        <v>#N/A</v>
      </c>
      <c r="E130" s="161">
        <v>1</v>
      </c>
      <c r="F130" s="234" t="s">
        <v>179</v>
      </c>
    </row>
    <row r="131" spans="2:6" x14ac:dyDescent="0.2">
      <c r="B131" s="213">
        <f>T_para</f>
        <v>19</v>
      </c>
      <c r="C131" s="214">
        <f>0</f>
        <v>0</v>
      </c>
      <c r="E131" s="161"/>
      <c r="F131" s="241" t="s">
        <v>180</v>
      </c>
    </row>
    <row r="132" spans="2:6" x14ac:dyDescent="0.2">
      <c r="B132" s="213" t="e">
        <f ca="1">(B131+B133)/2</f>
        <v>#N/A</v>
      </c>
      <c r="C132" s="214" t="e">
        <f ca="1">Alt_para-V_para*(H47-T_para)+E129*sS*Altitude_culmi/H47*zZ_fus+E130*sS/2*Altitude_culmi/H47*tT_fus</f>
        <v>#N/A</v>
      </c>
      <c r="E132" s="235" t="s">
        <v>175</v>
      </c>
      <c r="F132" s="236">
        <f ca="1">T_balistique/10</f>
        <v>1.1999999999999975</v>
      </c>
    </row>
    <row r="133" spans="2:6" x14ac:dyDescent="0.2">
      <c r="B133" s="213" t="e">
        <f ca="1">H47</f>
        <v>#N/A</v>
      </c>
      <c r="C133" s="214" t="e">
        <f ca="1">Alt_para-V_para*(H47-T_para)</f>
        <v>#N/A</v>
      </c>
      <c r="E133" s="235" t="s">
        <v>176</v>
      </c>
      <c r="F133" s="236" t="e">
        <f ca="1">(H47-T_para)/H47</f>
        <v>#N/A</v>
      </c>
    </row>
    <row r="134" spans="2:6" x14ac:dyDescent="0.2">
      <c r="B134" s="213" t="e">
        <f ca="1">H47+E129*sS/2*zZ_fus-E130*sS*tT_fus</f>
        <v>#N/A</v>
      </c>
      <c r="C134" s="214" t="e">
        <f ca="1">Alt_para-V_para*(H47-T_para)+E129*sS*Altitude_culmi/H47*zZ_fus-E130*sS/2*Altitude_culmi/H47*tT_fus</f>
        <v>#N/A</v>
      </c>
      <c r="E134" s="237" t="s">
        <v>177</v>
      </c>
      <c r="F134" s="238" t="e">
        <f ca="1">V_para*(H47-T_para)/Alt_para</f>
        <v>#N/A</v>
      </c>
    </row>
    <row r="135" spans="2:6" x14ac:dyDescent="0.2">
      <c r="B135" s="213" t="e">
        <f ca="1">H47</f>
        <v>#N/A</v>
      </c>
      <c r="C135" s="216" t="e">
        <f ca="1">Alt_para-V_para*(H47-T_para)</f>
        <v>#N/A</v>
      </c>
    </row>
    <row r="136" spans="2:6" x14ac:dyDescent="0.2">
      <c r="B136" s="213" t="e">
        <f ca="1">H47-E129*sS/2*zZ_fus-E130*sS*tT_fus</f>
        <v>#N/A</v>
      </c>
    </row>
    <row r="137" spans="2:6" x14ac:dyDescent="0.2">
      <c r="B137" s="215" t="e">
        <f ca="1">H47</f>
        <v>#N/A</v>
      </c>
      <c r="C137" s="211" t="s">
        <v>49</v>
      </c>
    </row>
    <row r="138" spans="2:6" x14ac:dyDescent="0.2">
      <c r="C138" s="214" t="b">
        <f>IF(Nb_sat="1 satellite",Alt_sat)</f>
        <v>0</v>
      </c>
    </row>
    <row r="139" spans="2:6" x14ac:dyDescent="0.2">
      <c r="B139" s="210" t="s">
        <v>54</v>
      </c>
      <c r="C139" s="214" t="b">
        <f>IF(Nb_sat="1 satellite",Alt_sat*1/4)</f>
        <v>0</v>
      </c>
    </row>
    <row r="140" spans="2:6" x14ac:dyDescent="0.2">
      <c r="B140" s="217" t="b">
        <f>IF(Nb_sat="1 satellite",X_satellite)</f>
        <v>0</v>
      </c>
      <c r="C140" s="214" t="b">
        <f>IF(Nb_sat="1 satellite",0)</f>
        <v>0</v>
      </c>
    </row>
    <row r="141" spans="2:6" x14ac:dyDescent="0.2">
      <c r="B141" s="217" t="b">
        <f>IF(Nb_sat="1 satellite",X_satellite)</f>
        <v>0</v>
      </c>
      <c r="C141" s="214" t="b">
        <f>IF(Nb_sat="1 satellite",Alt_sat/20)</f>
        <v>0</v>
      </c>
    </row>
    <row r="142" spans="2:6" x14ac:dyDescent="0.2">
      <c r="B142" s="217" t="b">
        <f>IF(Nb_sat="1 satellite",X_satellite)</f>
        <v>0</v>
      </c>
      <c r="C142" s="214" t="b">
        <f>IF(Nb_sat="1 satellite",0)</f>
        <v>0</v>
      </c>
    </row>
    <row r="143" spans="2:6" x14ac:dyDescent="0.2">
      <c r="B143" s="217" t="b">
        <f>IF(Nb_sat="1 satellite",X_satellite+Alt_sat/40)</f>
        <v>0</v>
      </c>
      <c r="C143" s="214" t="b">
        <f>IF(Nb_sat="1 satellite",Alt_sat/20)</f>
        <v>0</v>
      </c>
    </row>
    <row r="144" spans="2:6" x14ac:dyDescent="0.2">
      <c r="B144" s="217" t="b">
        <f>IF(Nb_sat="1 satellite",X_satellite)</f>
        <v>0</v>
      </c>
      <c r="C144" s="214" t="b">
        <f>IF(Nb_sat="1 satellite",0)</f>
        <v>0</v>
      </c>
    </row>
    <row r="145" spans="2:6" x14ac:dyDescent="0.2">
      <c r="B145" s="217" t="b">
        <f>IF(Nb_sat="1 satellite",X_satellite-Alt_sat/40)</f>
        <v>0</v>
      </c>
      <c r="C145" s="211" t="s">
        <v>49</v>
      </c>
    </row>
    <row r="146" spans="2:6" x14ac:dyDescent="0.2">
      <c r="B146" s="218" t="b">
        <f>IF(Nb_sat="1 satellite",X_satellite)</f>
        <v>0</v>
      </c>
      <c r="C146" s="214" t="b">
        <f>IF(Nb_sat="1 satellite",Alt_sat)</f>
        <v>0</v>
      </c>
      <c r="D146" s="221"/>
    </row>
    <row r="147" spans="2:6" x14ac:dyDescent="0.2">
      <c r="B147" s="210" t="s">
        <v>53</v>
      </c>
      <c r="C147" s="214">
        <f>(C146+C148)/2</f>
        <v>0</v>
      </c>
      <c r="D147" s="221"/>
    </row>
    <row r="148" spans="2:6" x14ac:dyDescent="0.2">
      <c r="B148" s="213" t="b">
        <f>IF(Nb_sat="1 satellite",T_satellite)</f>
        <v>0</v>
      </c>
      <c r="C148" s="214" t="b">
        <f>IF(Nb_sat="1 satellite",0)</f>
        <v>0</v>
      </c>
    </row>
    <row r="149" spans="2:6" x14ac:dyDescent="0.2">
      <c r="B149" s="213">
        <f>(B148+B150)/2</f>
        <v>0</v>
      </c>
      <c r="C149" s="214" t="b">
        <f>IF(Nb_sat="1 satellite",Alt_sat-V_satellite*(H49-T_satellite)+E129*sS*Altitude_culmi/H49*zZ_sat+E130*sS/2*Altitude_culmi/H49*tT_sat)</f>
        <v>0</v>
      </c>
      <c r="D149" s="221"/>
    </row>
    <row r="150" spans="2:6" x14ac:dyDescent="0.2">
      <c r="B150" s="213" t="b">
        <f>IF(Nb_sat="1 satellite",H49)</f>
        <v>0</v>
      </c>
      <c r="C150" s="214" t="b">
        <f>IF(Nb_sat="1 satellite",0)</f>
        <v>0</v>
      </c>
      <c r="E150" s="239" t="s">
        <v>176</v>
      </c>
      <c r="F150" s="240">
        <f ca="1">(T_balistique-T_satellite)/T_balistique</f>
        <v>0.7083333333333327</v>
      </c>
    </row>
    <row r="151" spans="2:6" x14ac:dyDescent="0.2">
      <c r="B151" s="213" t="b">
        <f>IF(Nb_sat="1 satellite",H49+E129*sS/2*zZ_sat-E130*sS*tT_sat)</f>
        <v>0</v>
      </c>
      <c r="C151" s="214" t="b">
        <f>IF(Nb_sat="1 satellite",Alt_sat-V_satellite*(H49-T_satellite)+E129*sS*Altitude_culmi/H49*zZ_sat-E130*sS/2*Altitude_culmi/H49*tT_sat)</f>
        <v>0</v>
      </c>
      <c r="E151" s="237" t="s">
        <v>177</v>
      </c>
      <c r="F151" s="238">
        <f ca="1">V_satellite*(T_balistique-T_satellite)/Alt_sat</f>
        <v>0.69415875181340136</v>
      </c>
    </row>
    <row r="152" spans="2:6" x14ac:dyDescent="0.2">
      <c r="B152" s="213" t="b">
        <f>IF(Nb_sat="1 satellite",H49)</f>
        <v>0</v>
      </c>
      <c r="C152" s="216" t="b">
        <f>IF(Nb_sat="1 satellite",0)</f>
        <v>0</v>
      </c>
    </row>
    <row r="153" spans="2:6" x14ac:dyDescent="0.2">
      <c r="B153" s="213" t="b">
        <f>IF(Nb_sat="1 satellite",H49-sS/2*zZ_sat-E130*sS*tT_sat)</f>
        <v>0</v>
      </c>
    </row>
    <row r="154" spans="2:6" x14ac:dyDescent="0.2">
      <c r="B154" s="215" t="b">
        <f>IF(Nb_sat="1 satellite",H49)</f>
        <v>0</v>
      </c>
      <c r="C154" s="228" t="s">
        <v>29</v>
      </c>
      <c r="D154" s="211" t="s">
        <v>3</v>
      </c>
    </row>
    <row r="155" spans="2:6" x14ac:dyDescent="0.2">
      <c r="C155" s="82" t="e">
        <f ca="1">Alt_para/2</f>
        <v>#N/A</v>
      </c>
      <c r="D155" s="214" t="e">
        <f ca="1">X_para/4</f>
        <v>#N/A</v>
      </c>
    </row>
    <row r="156" spans="2:6" x14ac:dyDescent="0.2">
      <c r="B156" s="210" t="s">
        <v>2</v>
      </c>
      <c r="C156" s="230">
        <f ca="1">Altitude_culmi/2</f>
        <v>82.570525710966322</v>
      </c>
      <c r="D156" s="216">
        <f ca="1">X_culmi+(Portee_balistique-X_culmi)*2/3</f>
        <v>47.106432017558873</v>
      </c>
    </row>
    <row r="157" spans="2:6" x14ac:dyDescent="0.2">
      <c r="B157" s="231">
        <f>T_para/4</f>
        <v>4.75</v>
      </c>
    </row>
    <row r="158" spans="2:6" x14ac:dyDescent="0.2">
      <c r="B158" s="229">
        <f ca="1">Temps_culmi + (T_balistique-Temps_culmi)/2</f>
        <v>8.9499999999999851</v>
      </c>
      <c r="C158" s="228" t="s">
        <v>306</v>
      </c>
      <c r="D158" s="422" t="s">
        <v>308</v>
      </c>
      <c r="E158" s="422"/>
      <c r="F158" s="423" t="s">
        <v>308</v>
      </c>
    </row>
    <row r="159" spans="2:6" x14ac:dyDescent="0.2">
      <c r="C159" s="5">
        <v>0</v>
      </c>
      <c r="D159" s="82">
        <f t="shared" ref="D159:D174" ca="1" si="0">X_culmi+C159</f>
        <v>28.741647304996103</v>
      </c>
      <c r="E159" s="82"/>
      <c r="F159" s="214">
        <f t="shared" ref="F159:F174" ca="1" si="1">X_culmi-C159</f>
        <v>28.741647304996103</v>
      </c>
    </row>
    <row r="160" spans="2:6" x14ac:dyDescent="0.2">
      <c r="B160" s="210" t="s">
        <v>307</v>
      </c>
      <c r="C160" s="5">
        <v>23</v>
      </c>
      <c r="D160" s="82">
        <f t="shared" ca="1" si="0"/>
        <v>51.741647304996107</v>
      </c>
      <c r="E160" s="82"/>
      <c r="F160" s="214">
        <f t="shared" ca="1" si="1"/>
        <v>5.7416473049961034</v>
      </c>
    </row>
    <row r="161" spans="2:6" x14ac:dyDescent="0.2">
      <c r="B161" s="231">
        <f ca="1">IF(AND(Altitude_culmi&gt;80, Altitude_culmi&lt;=350), 49, NA())</f>
        <v>49</v>
      </c>
      <c r="C161" s="5">
        <v>23</v>
      </c>
      <c r="D161" s="82">
        <f t="shared" ca="1" si="0"/>
        <v>51.741647304996107</v>
      </c>
      <c r="E161" s="82"/>
      <c r="F161" s="214">
        <f t="shared" ca="1" si="1"/>
        <v>5.7416473049961034</v>
      </c>
    </row>
    <row r="162" spans="2:6" x14ac:dyDescent="0.2">
      <c r="B162" s="231">
        <f ca="1">IF(AND(Altitude_culmi&gt;80, Altitude_culmi&lt;=350), 49, NA())</f>
        <v>49</v>
      </c>
      <c r="C162" s="5">
        <v>0</v>
      </c>
      <c r="D162" s="82">
        <f t="shared" ca="1" si="0"/>
        <v>28.741647304996103</v>
      </c>
      <c r="E162" s="82"/>
      <c r="F162" s="214">
        <f t="shared" ca="1" si="1"/>
        <v>28.741647304996103</v>
      </c>
    </row>
    <row r="163" spans="2:6" x14ac:dyDescent="0.2">
      <c r="B163" s="231">
        <f ca="1">IF(AND(Altitude_culmi&gt;80, Altitude_culmi&lt;=350), 43, NA())</f>
        <v>43</v>
      </c>
      <c r="C163" s="5">
        <v>23</v>
      </c>
      <c r="D163" s="82">
        <f t="shared" ca="1" si="0"/>
        <v>51.741647304996107</v>
      </c>
      <c r="E163" s="82"/>
      <c r="F163" s="214">
        <f t="shared" ca="1" si="1"/>
        <v>5.7416473049961034</v>
      </c>
    </row>
    <row r="164" spans="2:6" x14ac:dyDescent="0.2">
      <c r="B164" s="231">
        <f ca="1">IF(AND(Altitude_culmi&gt;80, Altitude_culmi&lt;=350), 43, NA())</f>
        <v>43</v>
      </c>
      <c r="C164" s="5">
        <v>23</v>
      </c>
      <c r="D164" s="82">
        <f t="shared" ca="1" si="0"/>
        <v>51.741647304996107</v>
      </c>
      <c r="E164" s="82"/>
      <c r="F164" s="214">
        <f t="shared" ca="1" si="1"/>
        <v>5.7416473049961034</v>
      </c>
    </row>
    <row r="165" spans="2:6" x14ac:dyDescent="0.2">
      <c r="B165" s="231">
        <f ca="1">IF(AND(Altitude_culmi&gt;80, Altitude_culmi&lt;=350), 43, NA())</f>
        <v>43</v>
      </c>
      <c r="C165" s="5">
        <v>8</v>
      </c>
      <c r="D165" s="82">
        <f t="shared" ca="1" si="0"/>
        <v>36.741647304996107</v>
      </c>
      <c r="E165" s="82"/>
      <c r="F165" s="214">
        <f t="shared" ca="1" si="1"/>
        <v>20.741647304996103</v>
      </c>
    </row>
    <row r="166" spans="2:6" x14ac:dyDescent="0.2">
      <c r="B166" s="231">
        <f ca="1">IF(AND(Altitude_culmi&gt;80, Altitude_culmi&lt;=350), 0.5, NA())</f>
        <v>0.5</v>
      </c>
      <c r="C166" s="5">
        <v>8</v>
      </c>
      <c r="D166" s="82">
        <f t="shared" ca="1" si="0"/>
        <v>36.741647304996107</v>
      </c>
      <c r="E166" s="82"/>
      <c r="F166" s="214">
        <f t="shared" ca="1" si="1"/>
        <v>20.741647304996103</v>
      </c>
    </row>
    <row r="167" spans="2:6" x14ac:dyDescent="0.2">
      <c r="B167" s="231">
        <f ca="1">IF(AND(Altitude_culmi&gt;80, Altitude_culmi&lt;=350), 0.5, NA())</f>
        <v>0.5</v>
      </c>
      <c r="C167" s="5">
        <v>23</v>
      </c>
      <c r="D167" s="82">
        <f t="shared" ca="1" si="0"/>
        <v>51.741647304996107</v>
      </c>
      <c r="E167" s="82"/>
      <c r="F167" s="214">
        <f t="shared" ca="1" si="1"/>
        <v>5.7416473049961034</v>
      </c>
    </row>
    <row r="168" spans="2:6" x14ac:dyDescent="0.2">
      <c r="B168" s="231">
        <f ca="1">IF(AND(Altitude_culmi&gt;80, Altitude_culmi&lt;=350), 27, NA())</f>
        <v>27</v>
      </c>
      <c r="C168" s="5">
        <v>8</v>
      </c>
      <c r="D168" s="82">
        <f t="shared" ca="1" si="0"/>
        <v>36.741647304996107</v>
      </c>
      <c r="E168" s="82"/>
      <c r="F168" s="214">
        <f t="shared" ca="1" si="1"/>
        <v>20.741647304996103</v>
      </c>
    </row>
    <row r="169" spans="2:6" x14ac:dyDescent="0.2">
      <c r="B169" s="231">
        <f ca="1">IF(AND(Altitude_culmi&gt;80, Altitude_culmi&lt;=350), 27, NA())</f>
        <v>27</v>
      </c>
      <c r="C169" s="5">
        <v>7.6</v>
      </c>
      <c r="D169" s="82">
        <f t="shared" ca="1" si="0"/>
        <v>36.341647304996101</v>
      </c>
      <c r="E169" s="82"/>
      <c r="F169" s="214">
        <f t="shared" ca="1" si="1"/>
        <v>21.141647304996106</v>
      </c>
    </row>
    <row r="170" spans="2:6" x14ac:dyDescent="0.2">
      <c r="B170" s="231">
        <f ca="1">IF(AND(Altitude_culmi&gt;80, Altitude_culmi&lt;=350), 27, NA())</f>
        <v>27</v>
      </c>
      <c r="C170" s="5">
        <v>6.8</v>
      </c>
      <c r="D170" s="82">
        <f t="shared" ca="1" si="0"/>
        <v>35.541647304996104</v>
      </c>
      <c r="E170" s="82"/>
      <c r="F170" s="214">
        <f t="shared" ca="1" si="1"/>
        <v>21.941647304996103</v>
      </c>
    </row>
    <row r="171" spans="2:6" x14ac:dyDescent="0.2">
      <c r="B171" s="231">
        <f ca="1">IF(AND(Altitude_culmi&gt;80, Altitude_culmi&lt;=350), 29, NA())</f>
        <v>29</v>
      </c>
      <c r="C171" s="5">
        <v>6</v>
      </c>
      <c r="D171" s="82">
        <f t="shared" ca="1" si="0"/>
        <v>34.741647304996107</v>
      </c>
      <c r="E171" s="82"/>
      <c r="F171" s="214">
        <f t="shared" ca="1" si="1"/>
        <v>22.741647304996103</v>
      </c>
    </row>
    <row r="172" spans="2:6" x14ac:dyDescent="0.2">
      <c r="B172" s="231">
        <f ca="1">IF(AND(Altitude_culmi&gt;80, Altitude_culmi&lt;=350), 31, NA())</f>
        <v>31</v>
      </c>
      <c r="C172" s="5">
        <v>5</v>
      </c>
      <c r="D172" s="82">
        <f t="shared" ca="1" si="0"/>
        <v>33.741647304996107</v>
      </c>
      <c r="E172" s="82"/>
      <c r="F172" s="214">
        <f t="shared" ca="1" si="1"/>
        <v>23.741647304996103</v>
      </c>
    </row>
    <row r="173" spans="2:6" x14ac:dyDescent="0.2">
      <c r="B173" s="231">
        <f ca="1">IF(AND(Altitude_culmi&gt;80, Altitude_culmi&lt;=350), 32, NA())</f>
        <v>32</v>
      </c>
      <c r="C173" s="5">
        <v>3.8</v>
      </c>
      <c r="D173" s="82">
        <f t="shared" ca="1" si="0"/>
        <v>32.541647304996104</v>
      </c>
      <c r="E173" s="82"/>
      <c r="F173" s="214">
        <f t="shared" ca="1" si="1"/>
        <v>24.941647304996103</v>
      </c>
    </row>
    <row r="174" spans="2:6" x14ac:dyDescent="0.2">
      <c r="B174" s="231">
        <f ca="1">IF(AND(Altitude_culmi&gt;80, Altitude_culmi&lt;=350), 33, NA())</f>
        <v>33</v>
      </c>
      <c r="C174" s="421">
        <v>0</v>
      </c>
      <c r="D174" s="230">
        <f t="shared" ca="1" si="0"/>
        <v>28.741647304996103</v>
      </c>
      <c r="E174" s="230"/>
      <c r="F174" s="216">
        <f t="shared" ca="1" si="1"/>
        <v>28.741647304996103</v>
      </c>
    </row>
    <row r="175" spans="2:6" x14ac:dyDescent="0.2">
      <c r="B175" s="231">
        <f ca="1">IF(AND(Altitude_culmi&gt;80, Altitude_culmi&lt;=350), 34, NA())</f>
        <v>34</v>
      </c>
    </row>
    <row r="176" spans="2:6" x14ac:dyDescent="0.2">
      <c r="B176" s="229">
        <f ca="1">IF(AND(Altitude_culmi&gt;80, Altitude_culmi&lt;=350), 35, NA())</f>
        <v>35</v>
      </c>
      <c r="C176" s="228" t="s">
        <v>310</v>
      </c>
      <c r="D176" s="228" t="s">
        <v>311</v>
      </c>
      <c r="E176" s="228"/>
      <c r="F176" s="211" t="s">
        <v>311</v>
      </c>
    </row>
    <row r="177" spans="2:6" x14ac:dyDescent="0.2">
      <c r="C177" s="5">
        <v>0</v>
      </c>
      <c r="D177" s="82">
        <f t="shared" ref="D177:D197" ca="1" si="2">X_culmi+C177</f>
        <v>28.741647304996103</v>
      </c>
      <c r="E177" s="82"/>
      <c r="F177" s="214">
        <f t="shared" ref="F177:F197" ca="1" si="3">X_culmi-C177</f>
        <v>28.741647304996103</v>
      </c>
    </row>
    <row r="178" spans="2:6" x14ac:dyDescent="0.2">
      <c r="B178" s="210" t="s">
        <v>309</v>
      </c>
      <c r="C178" s="5">
        <v>0</v>
      </c>
      <c r="D178" s="82">
        <f t="shared" ca="1" si="2"/>
        <v>28.741647304996103</v>
      </c>
      <c r="E178" s="82"/>
      <c r="F178" s="214">
        <f t="shared" ca="1" si="3"/>
        <v>28.741647304996103</v>
      </c>
    </row>
    <row r="179" spans="2:6" x14ac:dyDescent="0.2">
      <c r="B179" s="231" t="e">
        <f ca="1">IF(Altitude_culmi&gt;350, 324, NA())</f>
        <v>#N/A</v>
      </c>
      <c r="C179" s="5">
        <v>10</v>
      </c>
      <c r="D179" s="82">
        <f t="shared" ca="1" si="2"/>
        <v>38.741647304996107</v>
      </c>
      <c r="E179" s="82"/>
      <c r="F179" s="214">
        <f t="shared" ca="1" si="3"/>
        <v>18.741647304996103</v>
      </c>
    </row>
    <row r="180" spans="2:6" x14ac:dyDescent="0.2">
      <c r="B180" s="231" t="e">
        <f ca="1">IF(Altitude_culmi&gt;350, 300, NA())</f>
        <v>#N/A</v>
      </c>
      <c r="C180" s="5">
        <v>0</v>
      </c>
      <c r="D180" s="82">
        <f t="shared" ca="1" si="2"/>
        <v>28.741647304996103</v>
      </c>
      <c r="E180" s="82"/>
      <c r="F180" s="214">
        <f t="shared" ca="1" si="3"/>
        <v>28.741647304996103</v>
      </c>
    </row>
    <row r="181" spans="2:6" x14ac:dyDescent="0.2">
      <c r="B181" s="231" t="e">
        <f ca="1">IF(Altitude_culmi&gt;350, 280, NA())</f>
        <v>#N/A</v>
      </c>
      <c r="C181" s="5">
        <v>10</v>
      </c>
      <c r="D181" s="82">
        <f t="shared" ca="1" si="2"/>
        <v>38.741647304996107</v>
      </c>
      <c r="E181" s="82"/>
      <c r="F181" s="214">
        <f t="shared" ca="1" si="3"/>
        <v>18.741647304996103</v>
      </c>
    </row>
    <row r="182" spans="2:6" x14ac:dyDescent="0.2">
      <c r="B182" s="231" t="e">
        <f ca="1">IF(Altitude_culmi&gt;350, 280, NA())</f>
        <v>#N/A</v>
      </c>
      <c r="C182" s="5">
        <v>13</v>
      </c>
      <c r="D182" s="82">
        <f t="shared" ca="1" si="2"/>
        <v>41.741647304996107</v>
      </c>
      <c r="E182" s="82"/>
      <c r="F182" s="214">
        <f t="shared" ca="1" si="3"/>
        <v>15.741647304996103</v>
      </c>
    </row>
    <row r="183" spans="2:6" x14ac:dyDescent="0.2">
      <c r="B183" s="231" t="e">
        <f ca="1">IF(Altitude_culmi&gt;350, 280, NA())</f>
        <v>#N/A</v>
      </c>
      <c r="C183" s="5">
        <v>17</v>
      </c>
      <c r="D183" s="82">
        <f t="shared" ca="1" si="2"/>
        <v>45.741647304996107</v>
      </c>
      <c r="E183" s="82"/>
      <c r="F183" s="214">
        <f t="shared" ca="1" si="3"/>
        <v>11.741647304996103</v>
      </c>
    </row>
    <row r="184" spans="2:6" x14ac:dyDescent="0.2">
      <c r="B184" s="231" t="e">
        <f ca="1">IF(Altitude_culmi&gt;350, 200, NA())</f>
        <v>#N/A</v>
      </c>
      <c r="C184" s="5">
        <v>20</v>
      </c>
      <c r="D184" s="82">
        <f t="shared" ca="1" si="2"/>
        <v>48.741647304996107</v>
      </c>
      <c r="E184" s="82"/>
      <c r="F184" s="214">
        <f t="shared" ca="1" si="3"/>
        <v>8.7416473049961034</v>
      </c>
    </row>
    <row r="185" spans="2:6" x14ac:dyDescent="0.2">
      <c r="B185" s="231" t="e">
        <f ca="1">IF(Altitude_culmi&gt;350, 160, NA())</f>
        <v>#N/A</v>
      </c>
      <c r="C185" s="5">
        <v>25</v>
      </c>
      <c r="D185" s="82">
        <f t="shared" ca="1" si="2"/>
        <v>53.741647304996107</v>
      </c>
      <c r="E185" s="82"/>
      <c r="F185" s="214">
        <f t="shared" ca="1" si="3"/>
        <v>3.7416473049961034</v>
      </c>
    </row>
    <row r="186" spans="2:6" x14ac:dyDescent="0.2">
      <c r="B186" s="231" t="e">
        <f ca="1">IF(Altitude_culmi&gt;350, 115, NA())</f>
        <v>#N/A</v>
      </c>
      <c r="C186" s="5">
        <v>30</v>
      </c>
      <c r="D186" s="82">
        <f t="shared" ca="1" si="2"/>
        <v>58.741647304996107</v>
      </c>
      <c r="E186" s="82"/>
      <c r="F186" s="214">
        <f t="shared" ca="1" si="3"/>
        <v>-1.2583526950038966</v>
      </c>
    </row>
    <row r="187" spans="2:6" x14ac:dyDescent="0.2">
      <c r="B187" s="231" t="e">
        <f ca="1">IF(Altitude_culmi&gt;350, 90, NA())</f>
        <v>#N/A</v>
      </c>
      <c r="C187" s="5">
        <v>36</v>
      </c>
      <c r="D187" s="82">
        <f t="shared" ca="1" si="2"/>
        <v>64.741647304996107</v>
      </c>
      <c r="E187" s="82"/>
      <c r="F187" s="214">
        <f t="shared" ca="1" si="3"/>
        <v>-7.2583526950038966</v>
      </c>
    </row>
    <row r="188" spans="2:6" x14ac:dyDescent="0.2">
      <c r="B188" s="231" t="e">
        <f ca="1">IF(Altitude_culmi&gt;350, 57, NA())</f>
        <v>#N/A</v>
      </c>
      <c r="C188" s="5">
        <v>48</v>
      </c>
      <c r="D188" s="82">
        <f t="shared" ca="1" si="2"/>
        <v>76.741647304996107</v>
      </c>
      <c r="E188" s="82"/>
      <c r="F188" s="214">
        <f t="shared" ca="1" si="3"/>
        <v>-19.258352695003897</v>
      </c>
    </row>
    <row r="189" spans="2:6" x14ac:dyDescent="0.2">
      <c r="B189" s="231" t="e">
        <f ca="1">IF(Altitude_culmi&gt;350, 40, NA())</f>
        <v>#N/A</v>
      </c>
      <c r="C189" s="5">
        <v>62</v>
      </c>
      <c r="D189" s="82">
        <f t="shared" ca="1" si="2"/>
        <v>90.741647304996107</v>
      </c>
      <c r="E189" s="82"/>
      <c r="F189" s="214">
        <f t="shared" ca="1" si="3"/>
        <v>-33.258352695003893</v>
      </c>
    </row>
    <row r="190" spans="2:6" x14ac:dyDescent="0.2">
      <c r="B190" s="231" t="e">
        <f ca="1">IF(Altitude_culmi&gt;350, 20, NA())</f>
        <v>#N/A</v>
      </c>
      <c r="C190" s="5">
        <v>37</v>
      </c>
      <c r="D190" s="82">
        <f t="shared" ca="1" si="2"/>
        <v>65.741647304996107</v>
      </c>
      <c r="E190" s="82"/>
      <c r="F190" s="214">
        <f t="shared" ca="1" si="3"/>
        <v>-8.2583526950038966</v>
      </c>
    </row>
    <row r="191" spans="2:6" x14ac:dyDescent="0.2">
      <c r="B191" s="231" t="e">
        <f ca="1">IF(Altitude_culmi&gt;350, 0.5, NA())</f>
        <v>#N/A</v>
      </c>
      <c r="C191" s="5">
        <v>30</v>
      </c>
      <c r="D191" s="82">
        <f t="shared" ca="1" si="2"/>
        <v>58.741647304996107</v>
      </c>
      <c r="E191" s="82"/>
      <c r="F191" s="214">
        <f t="shared" ca="1" si="3"/>
        <v>-1.2583526950038966</v>
      </c>
    </row>
    <row r="192" spans="2:6" x14ac:dyDescent="0.2">
      <c r="B192" s="231" t="e">
        <f ca="1">IF(Altitude_culmi&gt;350, 0.5, NA())</f>
        <v>#N/A</v>
      </c>
      <c r="C192" s="5">
        <v>15</v>
      </c>
      <c r="D192" s="82">
        <f t="shared" ca="1" si="2"/>
        <v>43.741647304996107</v>
      </c>
      <c r="E192" s="82"/>
      <c r="F192" s="214">
        <f t="shared" ca="1" si="3"/>
        <v>13.741647304996103</v>
      </c>
    </row>
    <row r="193" spans="2:6" x14ac:dyDescent="0.2">
      <c r="B193" s="231" t="e">
        <f ca="1">IF(Altitude_culmi&gt;350, 15, NA())</f>
        <v>#N/A</v>
      </c>
      <c r="C193" s="5">
        <v>0</v>
      </c>
      <c r="D193" s="82">
        <f t="shared" ca="1" si="2"/>
        <v>28.741647304996103</v>
      </c>
      <c r="E193" s="82"/>
      <c r="F193" s="214">
        <f t="shared" ca="1" si="3"/>
        <v>28.741647304996103</v>
      </c>
    </row>
    <row r="194" spans="2:6" x14ac:dyDescent="0.2">
      <c r="B194" s="231" t="e">
        <f ca="1">IF(Altitude_culmi&gt;350, 30, NA())</f>
        <v>#N/A</v>
      </c>
      <c r="C194" s="5">
        <v>0</v>
      </c>
      <c r="D194" s="82">
        <f t="shared" ca="1" si="2"/>
        <v>28.741647304996103</v>
      </c>
      <c r="E194" s="82"/>
      <c r="F194" s="214">
        <f t="shared" ca="1" si="3"/>
        <v>28.741647304996103</v>
      </c>
    </row>
    <row r="195" spans="2:6" x14ac:dyDescent="0.2">
      <c r="B195" s="231" t="e">
        <f ca="1">IF(Altitude_culmi&gt;350, 37, NA())</f>
        <v>#N/A</v>
      </c>
      <c r="C195" s="5">
        <v>17</v>
      </c>
      <c r="D195" s="82">
        <f t="shared" ca="1" si="2"/>
        <v>45.741647304996107</v>
      </c>
      <c r="E195" s="82"/>
      <c r="F195" s="214">
        <f t="shared" ca="1" si="3"/>
        <v>11.741647304996103</v>
      </c>
    </row>
    <row r="196" spans="2:6" x14ac:dyDescent="0.2">
      <c r="B196" s="231" t="e">
        <f ca="1">IF(Altitude_culmi&gt;350, 67, NA())</f>
        <v>#N/A</v>
      </c>
      <c r="C196" s="5">
        <v>11</v>
      </c>
      <c r="D196" s="82">
        <f t="shared" ca="1" si="2"/>
        <v>39.741647304996107</v>
      </c>
      <c r="E196" s="82"/>
      <c r="F196" s="214">
        <f t="shared" ca="1" si="3"/>
        <v>17.741647304996103</v>
      </c>
    </row>
    <row r="197" spans="2:6" x14ac:dyDescent="0.2">
      <c r="B197" s="231" t="e">
        <f ca="1">IF(Altitude_culmi&gt;350, 67, NA())</f>
        <v>#N/A</v>
      </c>
      <c r="C197" s="421">
        <v>0</v>
      </c>
      <c r="D197" s="230">
        <f t="shared" ca="1" si="2"/>
        <v>28.741647304996103</v>
      </c>
      <c r="E197" s="230"/>
      <c r="F197" s="216">
        <f t="shared" ca="1" si="3"/>
        <v>28.741647304996103</v>
      </c>
    </row>
    <row r="198" spans="2:6" x14ac:dyDescent="0.2">
      <c r="B198" s="231" t="e">
        <f ca="1">IF(Altitude_culmi&gt;350, 100, NA())</f>
        <v>#N/A</v>
      </c>
    </row>
    <row r="199" spans="2:6" x14ac:dyDescent="0.2">
      <c r="B199" s="229" t="e">
        <f ca="1">IF(Altitude_culmi&gt;350, 100, NA())</f>
        <v>#N/A</v>
      </c>
    </row>
  </sheetData>
  <sheetProtection password="C6AC" sheet="1"/>
  <protectedRanges>
    <protectedRange sqref="C25" name="Plage1"/>
  </protectedRanges>
  <mergeCells count="41">
    <mergeCell ref="C2:D3"/>
    <mergeCell ref="C7:D7"/>
    <mergeCell ref="C8:D8"/>
    <mergeCell ref="C9:D9"/>
    <mergeCell ref="C6:D6"/>
    <mergeCell ref="C4:D4"/>
    <mergeCell ref="H33:I33"/>
    <mergeCell ref="H32:I32"/>
    <mergeCell ref="F28:G28"/>
    <mergeCell ref="H31:I31"/>
    <mergeCell ref="A38:D38"/>
    <mergeCell ref="H34:I34"/>
    <mergeCell ref="F34:G34"/>
    <mergeCell ref="F33:G33"/>
    <mergeCell ref="F32:G32"/>
    <mergeCell ref="F38:G38"/>
    <mergeCell ref="C22:D22"/>
    <mergeCell ref="C17:D17"/>
    <mergeCell ref="F23:G23"/>
    <mergeCell ref="F27:G27"/>
    <mergeCell ref="F26:G26"/>
    <mergeCell ref="F24:G24"/>
    <mergeCell ref="F25:G25"/>
    <mergeCell ref="C15:D15"/>
    <mergeCell ref="C10:D10"/>
    <mergeCell ref="C19:D19"/>
    <mergeCell ref="C20:D20"/>
    <mergeCell ref="C11:D11"/>
    <mergeCell ref="C13:D13"/>
    <mergeCell ref="C14:D14"/>
    <mergeCell ref="C18:D18"/>
    <mergeCell ref="F49:G49"/>
    <mergeCell ref="F40:G40"/>
    <mergeCell ref="F41:G41"/>
    <mergeCell ref="F42:G42"/>
    <mergeCell ref="F43:G43"/>
    <mergeCell ref="F48:G48"/>
    <mergeCell ref="F44:G44"/>
    <mergeCell ref="F45:G45"/>
    <mergeCell ref="F47:G47"/>
    <mergeCell ref="F46:G46"/>
  </mergeCells>
  <phoneticPr fontId="8" type="noConversion"/>
  <conditionalFormatting sqref="B26">
    <cfRule type="expression" dxfId="26" priority="89" stopIfTrue="1">
      <formula>NOT(OR(C25=F108,C25=F102,Nb_sat="1 satellite"))</formula>
    </cfRule>
  </conditionalFormatting>
  <conditionalFormatting sqref="C26">
    <cfRule type="expression" dxfId="25" priority="91" stopIfTrue="1">
      <formula>NOT(OR(C25=F108,C25=F102))</formula>
    </cfRule>
  </conditionalFormatting>
  <conditionalFormatting sqref="C30">
    <cfRule type="cellIs" dxfId="24" priority="42" stopIfTrue="1" operator="notBetween">
      <formula>5</formula>
      <formula>15</formula>
    </cfRule>
  </conditionalFormatting>
  <conditionalFormatting sqref="D24">
    <cfRule type="expression" dxfId="23" priority="39" stopIfTrue="1">
      <formula>Nb_sat="0 satellite"</formula>
    </cfRule>
  </conditionalFormatting>
  <conditionalFormatting sqref="D25">
    <cfRule type="expression" dxfId="22" priority="2" stopIfTrue="1">
      <formula>Nb_sat="0 satellite"</formula>
    </cfRule>
  </conditionalFormatting>
  <conditionalFormatting sqref="D26:D29 D31:D33">
    <cfRule type="expression" dxfId="21" priority="59" stopIfTrue="1">
      <formula>Nb_sat="0 satellite"</formula>
    </cfRule>
  </conditionalFormatting>
  <conditionalFormatting sqref="D30">
    <cfRule type="expression" dxfId="20" priority="40" stopIfTrue="1">
      <formula>Nb_sat="0 satellite"</formula>
    </cfRule>
    <cfRule type="cellIs" dxfId="19" priority="49" stopIfTrue="1" operator="notBetween">
      <formula>5</formula>
      <formula>15</formula>
    </cfRule>
  </conditionalFormatting>
  <conditionalFormatting sqref="F25">
    <cfRule type="expression" dxfId="18" priority="26" stopIfTrue="1">
      <formula>Nb_sat="0 satellite"</formula>
    </cfRule>
  </conditionalFormatting>
  <conditionalFormatting sqref="F34:I34 F48:M48">
    <cfRule type="expression" dxfId="17" priority="22" stopIfTrue="1">
      <formula>Nb_sat="0 satellite"</formula>
    </cfRule>
  </conditionalFormatting>
  <conditionalFormatting sqref="F49:M49">
    <cfRule type="expression" dxfId="16" priority="21" stopIfTrue="1">
      <formula>Nb_sat="0 satellite"</formula>
    </cfRule>
  </conditionalFormatting>
  <conditionalFormatting sqref="H27 H46">
    <cfRule type="expression" dxfId="15" priority="4" stopIfTrue="1">
      <formula>ABS(Temps_culmi-T_para)&gt;2</formula>
    </cfRule>
  </conditionalFormatting>
  <conditionalFormatting sqref="H32:I32">
    <cfRule type="cellIs" dxfId="14" priority="14" stopIfTrue="1" operator="equal">
      <formula>"Brun/Orange…"</formula>
    </cfRule>
  </conditionalFormatting>
  <conditionalFormatting sqref="H33:I33">
    <cfRule type="cellIs" dxfId="13" priority="13" stopIfTrue="1" operator="equal">
      <formula>"Rouge…"</formula>
    </cfRule>
  </conditionalFormatting>
  <conditionalFormatting sqref="H25:M25">
    <cfRule type="expression" dxfId="12" priority="41" stopIfTrue="1">
      <formula>Nb_sat="0 satellite"</formula>
    </cfRule>
  </conditionalFormatting>
  <conditionalFormatting sqref="J28 J45">
    <cfRule type="expression" dxfId="11" priority="6" stopIfTrue="1">
      <formula>AND(Portee_balistique&gt;200,LEFT(Propu,2)="p2")</formula>
    </cfRule>
  </conditionalFormatting>
  <conditionalFormatting sqref="K23 K41">
    <cfRule type="expression" dxfId="10" priority="44" stopIfTrue="1">
      <formula>AND(Vsortie_de_rampe&lt;18, OR(LEFT(Type_fusee,1)=",",LEFT(Type_fusee,4)="Mini",LEFT(Type_fusee,1)="R"))</formula>
    </cfRule>
    <cfRule type="expression" dxfId="9" priority="45" stopIfTrue="1">
      <formula>AND(Vsortie_de_rampe&lt;20, RIGHT(Type_fusee,1)=".")</formula>
    </cfRule>
  </conditionalFormatting>
  <conditionalFormatting sqref="K40">
    <cfRule type="expression" dxfId="8" priority="34" stopIfTrue="1">
      <formula>AND( $K$21=0, OR( $I$21&gt;0, $J$21&gt;0 ) )</formula>
    </cfRule>
  </conditionalFormatting>
  <conditionalFormatting sqref="N33">
    <cfRule type="expression" dxfId="7" priority="15" stopIfTrue="1">
      <formula>ROUND(SUM(C23:L34),0)=1914</formula>
    </cfRule>
  </conditionalFormatting>
  <conditionalFormatting sqref="N34">
    <cfRule type="expression" dxfId="6" priority="16" stopIfTrue="1">
      <formula>$N$34="propu NOK"</formula>
    </cfRule>
  </conditionalFormatting>
  <dataValidations count="14">
    <dataValidation type="decimal" operator="greaterThanOrEqual" showErrorMessage="1" sqref="H40:K40 C29 C26 D26:D27" xr:uid="{F73B2C6C-FF1F-9541-B294-581EAE03940D}">
      <formula1>0</formula1>
    </dataValidation>
    <dataValidation type="list" allowBlank="1" showInputMessage="1" showErrorMessage="1" sqref="H50" xr:uid="{7F77F225-6D03-4D40-9887-F691460AB89F}">
      <formula1>gao</formula1>
    </dataValidation>
    <dataValidation operator="greaterThanOrEqual" showErrorMessage="1" sqref="D29 C27" xr:uid="{7893EC0B-AF40-0E45-B830-EB69405F86AA}"/>
    <dataValidation type="decimal" errorStyle="warning" allowBlank="1" showErrorMessage="1" errorTitle="Cx para" error="Le Cx du parachute est souvent compris entre 0 et 2._x000a_Cx of parachute might be between 0 a 2." sqref="C28:D28" xr:uid="{DB73182A-CBAE-CB4E-B0FB-F47D9396DDDF}">
      <formula1>0</formula1>
      <formula2>2</formula2>
    </dataValidation>
    <dataValidation sqref="C11:D11" xr:uid="{20D451B8-BC72-254B-B59C-F134150F4F1C}"/>
    <dataValidation operator="greaterThanOrEqual" sqref="C10:D10" xr:uid="{1AA622F8-B2C5-5649-BDD2-36BFF6D9DFFC}"/>
    <dataValidation type="decimal" errorStyle="warning" showErrorMessage="1" errorTitle="Cx" error="Le Cx est souvent compris entre 0,3 et 0,7._x000a_Cx may be between 0,3 &amp; 0,7." sqref="C15:D15" xr:uid="{0869A7A3-B452-5042-B523-27BE48ABC27A}">
      <formula1>0.3</formula1>
      <formula2>0.7</formula2>
    </dataValidation>
    <dataValidation type="decimal" operator="greaterThanOrEqual" allowBlank="1" showErrorMessage="1" sqref="C18:D18" xr:uid="{0E5A810C-381A-5946-8F4C-1E03524CCFA7}">
      <formula1>0</formula1>
    </dataValidation>
    <dataValidation type="decimal" errorStyle="information" allowBlank="1" showInputMessage="1" showErrorMessage="1" errorTitle="Angle de la rampe" error="Il est conseillé d'incliner à rampe entre 75° et 85° par rapport à l'horizontale._x000a_This Angle is recommended between 75° &amp; 85°." sqref="C19:D19" xr:uid="{FB0E1075-A2F8-A445-A1E3-BFA576042875}">
      <formula1>75</formula1>
      <formula2>85</formula2>
    </dataValidation>
    <dataValidation type="whole" operator="greaterThanOrEqual" allowBlank="1" showErrorMessage="1" sqref="C20:D20" xr:uid="{05AE5CAE-EEC9-5144-BDF7-AEB5F6768317}">
      <formula1>0</formula1>
    </dataValidation>
    <dataValidation type="whole" allowBlank="1" showErrorMessage="1" sqref="M40" xr:uid="{A53F8416-9C11-FD46-85BC-C07A290F8F05}">
      <formula1>-360</formula1>
      <formula2>360</formula2>
    </dataValidation>
    <dataValidation type="list" showInputMessage="1" showErrorMessage="1" sqref="D23" xr:uid="{4B0E120E-FA21-824C-900D-2346F40E4978}">
      <formula1>Menu_sat</formula1>
    </dataValidation>
    <dataValidation type="whole" operator="greaterThanOrEqual" showErrorMessage="1" sqref="B43 B45 B51 B53" xr:uid="{C264CD69-A1D3-0A47-A6BE-F3F8552A52F0}">
      <formula1>0</formula1>
    </dataValidation>
    <dataValidation type="list" showInputMessage="1" showErrorMessage="1" sqref="C25" xr:uid="{633D7300-3070-4647-B06B-AE4FE1944B00}">
      <formula1>IF(Depotage&lt;&gt;0,IF(LEFT(Type_propu,5)="Micro",$F$108,$F$103:$F$108),$F$102)</formula1>
    </dataValidation>
  </dataValidations>
  <hyperlinks>
    <hyperlink ref="B11" location="Stabilito!C17" display="Stabilito!C17" xr:uid="{95E1AAD1-320C-B54A-A31C-70F8CC967851}"/>
  </hyperlinks>
  <printOptions horizontalCentered="1" verticalCentered="1"/>
  <pageMargins left="7.874015748031496E-2" right="7.874015748031496E-2" top="7.874015748031496E-2" bottom="7.874015748031496E-2" header="0" footer="0"/>
  <pageSetup paperSize="9" firstPageNumber="0" orientation="landscape" horizontalDpi="300" verticalDpi="300"/>
  <headerFooter alignWithMargins="0"/>
  <ignoredErrors>
    <ignoredError sqref="B126:B132 B138:B149 C149 C151 C136:C138 C140:C147 C124:C130" formula="1"/>
    <ignoredError sqref="H44:I44 H47 J44:M44" evalError="1"/>
    <ignoredError sqref="G103:G107" numberStoredAsText="1"/>
    <ignoredError sqref="D24" unlockedFormula="1"/>
  </ignoredErrors>
  <drawing r:id="rId1"/>
  <legacyDrawing r:id="rId2"/>
  <oleObjects>
    <mc:AlternateContent xmlns:mc="http://schemas.openxmlformats.org/markup-compatibility/2006">
      <mc:Choice Requires="x14">
        <oleObject progId="Equation.3" shapeId="1425294" r:id="rId3">
          <objectPr defaultSize="0" autoPict="0" r:id="rId4">
            <anchor moveWithCells="1">
              <from>
                <xdr:col>1</xdr:col>
                <xdr:colOff>28575</xdr:colOff>
                <xdr:row>93</xdr:row>
                <xdr:rowOff>66675</xdr:rowOff>
              </from>
              <to>
                <xdr:col>4</xdr:col>
                <xdr:colOff>66675</xdr:colOff>
                <xdr:row>99</xdr:row>
                <xdr:rowOff>76200</xdr:rowOff>
              </to>
            </anchor>
          </objectPr>
        </oleObject>
      </mc:Choice>
      <mc:Fallback>
        <oleObject progId="Equation.3" shapeId="1425294" r:id="rId3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24424" r:id="rId5" name="Spinner 1064">
              <controlPr defaultSize="0" print="0" autoPict="0">
                <anchor moveWithCells="1" sizeWithCells="1">
                  <from>
                    <xdr:col>3</xdr:col>
                    <xdr:colOff>695325</xdr:colOff>
                    <xdr:row>9</xdr:row>
                    <xdr:rowOff>9525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89" r:id="rId6" name="Spinner 1229">
              <controlPr defaultSize="0" print="0" autoPict="0">
                <anchor moveWithCells="1" sizeWithCells="1">
                  <from>
                    <xdr:col>1</xdr:col>
                    <xdr:colOff>1076325</xdr:colOff>
                    <xdr:row>42</xdr:row>
                    <xdr:rowOff>9525</xdr:rowOff>
                  </from>
                  <to>
                    <xdr:col>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90" r:id="rId7" name="Spinner 1230">
              <controlPr defaultSize="0" print="0" autoPict="0">
                <anchor moveWithCells="1" sizeWithCells="1">
                  <from>
                    <xdr:col>1</xdr:col>
                    <xdr:colOff>1076325</xdr:colOff>
                    <xdr:row>44</xdr:row>
                    <xdr:rowOff>9525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91" r:id="rId8" name="Spinner 1231">
              <controlPr defaultSize="0" print="0" autoPict="0">
                <anchor moveWithCells="1" sizeWithCells="1">
                  <from>
                    <xdr:col>1</xdr:col>
                    <xdr:colOff>1076325</xdr:colOff>
                    <xdr:row>50</xdr:row>
                    <xdr:rowOff>9525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462" r:id="rId9" name="Spinner 4550">
              <controlPr defaultSize="0" print="0" autoPict="0">
                <anchor moveWithCells="1" sizeWithCells="1">
                  <from>
                    <xdr:col>1</xdr:col>
                    <xdr:colOff>1076325</xdr:colOff>
                    <xdr:row>52</xdr:row>
                    <xdr:rowOff>9525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A0A7-AD4E-E44C-BCAC-AA55AD3B74D4}">
  <sheetPr codeName="Feuil3">
    <pageSetUpPr fitToPage="1"/>
  </sheetPr>
  <dimension ref="B75:B146"/>
  <sheetViews>
    <sheetView showGridLines="0" topLeftCell="A19" zoomScaleNormal="100" workbookViewId="0"/>
  </sheetViews>
  <sheetFormatPr baseColWidth="10" defaultRowHeight="12.75" x14ac:dyDescent="0.2"/>
  <sheetData>
    <row r="75" spans="2:2" x14ac:dyDescent="0.2">
      <c r="B75" t="s">
        <v>44</v>
      </c>
    </row>
    <row r="76" spans="2:2" x14ac:dyDescent="0.2">
      <c r="B76" t="str">
        <f>IF(Lang="Français","Ces courbes représentent la trajectoire de la fusée dans l'hypothèse d'une descente balistique (sans ouverture du parachute). ","These curves show the rocket trajectory in case of ballistic fall (without parachute).")</f>
        <v xml:space="preserve">Ces courbes représentent la trajectoire de la fusée dans l'hypothèse d'une descente balistique (sans ouverture du parachute). </v>
      </c>
    </row>
    <row r="77" spans="2:2" x14ac:dyDescent="0.2">
      <c r="B77" t="str">
        <f>IF(Lang="Français","L'accélération longitudinale gravitationnelle définit le mouvement (dérivée de la vitesse) : Acc = (Poussee - Traînée ± Poids) / m",IF(Lang="English","Longitudinal Gravitaionnal Acceleration defines the motion (velocity derivative) : Acc = (Thrust - Drag ± Weight)/m",""))</f>
        <v>L'accélération longitudinale gravitationnelle définit le mouvement (dérivée de la vitesse) : Acc = (Poussee - Traînée ± Poids) / m</v>
      </c>
    </row>
    <row r="78" spans="2:2" x14ac:dyDescent="0.2">
      <c r="B78" t="str">
        <f>IF(Lang="Français","La charge ''non-gravitationnelle'' vue par un capteur d'accélération (masse-ressort) est : Charge = (Poussée - Traînée) / m",IF(Lang="English","''Non-Gravitaionnal'' Load seen by an acceleration sensor (mass-spring) is : Load = (Thrust - Drag) / m",""))</f>
        <v>La charge ''non-gravitationnelle'' vue par un capteur d'accélération (masse-ressort) est : Charge = (Poussée - Traînée) / m</v>
      </c>
    </row>
    <row r="79" spans="2:2" x14ac:dyDescent="0.2">
      <c r="B79" t="str">
        <f>IF(Lang="Français","Exemples : Si Poussée = Poids, Vitesse constante, Acc nulle, Charge = 1G ; En chute libre, Acc = -1G, Charge = 0",IF(Lang="English","",""))</f>
        <v>Exemples : Si Poussée = Poids, Vitesse constante, Acc nulle, Charge = 1G ; En chute libre, Acc = -1G, Charge = 0</v>
      </c>
    </row>
    <row r="131" spans="2:2" x14ac:dyDescent="0.2">
      <c r="B131" s="24" t="str">
        <f>IF(Lang="Français","Textes pour les graphiques :","Texts for graphics :")</f>
        <v>Textes pour les graphiques :</v>
      </c>
    </row>
    <row r="133" spans="2:2" x14ac:dyDescent="0.2">
      <c r="B133" t="str">
        <f>IF(Lang="Français","Traînée",IF(Lang="English","Drag",""))</f>
        <v>Traînée</v>
      </c>
    </row>
    <row r="134" spans="2:2" x14ac:dyDescent="0.2">
      <c r="B134" t="str">
        <f>IF(Lang="Français","Poussée",IF(Lang="English","Thrust",""))</f>
        <v>Poussée</v>
      </c>
    </row>
    <row r="135" spans="2:2" x14ac:dyDescent="0.2">
      <c r="B135" t="str">
        <f>IF(Lang="Français","Poids",IF(Lang="English","Weight",""))</f>
        <v>Poids</v>
      </c>
    </row>
    <row r="137" spans="2:2" x14ac:dyDescent="0.2">
      <c r="B137" t="str">
        <f>IF(Lang="Français","Accélération longitudinale",IF(Lang="English","Longitudinal Acceleration",""))</f>
        <v>Accélération longitudinale</v>
      </c>
    </row>
    <row r="138" spans="2:2" x14ac:dyDescent="0.2">
      <c r="B138" t="str">
        <f>IF(Lang="Français","Charge vue par un capteur",IF(Lang="English","Load seen by a sensor",""))</f>
        <v>Charge vue par un capteur</v>
      </c>
    </row>
    <row r="140" spans="2:2" x14ac:dyDescent="0.2">
      <c r="B140" t="str">
        <f>IF(Lang="Français","Vitesse",IF(Lang="English","Velocity",""))</f>
        <v>Vitesse</v>
      </c>
    </row>
    <row r="141" spans="2:2" x14ac:dyDescent="0.2">
      <c r="B141" t="str">
        <f>IF(Lang="Français","Vitesse [m/s]",IF(Lang="English","Velocity [m/s]",""))</f>
        <v>Vitesse [m/s]</v>
      </c>
    </row>
    <row r="143" spans="2:2" x14ac:dyDescent="0.2">
      <c r="B143" t="s">
        <v>6</v>
      </c>
    </row>
    <row r="144" spans="2:2" x14ac:dyDescent="0.2">
      <c r="B144" t="str">
        <f>IF(Lang="Français","Portée",IF(Lang="English","Range",""))</f>
        <v>Portée</v>
      </c>
    </row>
    <row r="146" spans="2:2" x14ac:dyDescent="0.2">
      <c r="B146" t="str">
        <f>IF(Lang="Français","Temps [s]",IF(Lang="English","Time [s]",""))</f>
        <v>Temps [s]</v>
      </c>
    </row>
  </sheetData>
  <sheetProtection password="C6AC" sheet="1"/>
  <phoneticPr fontId="8" type="noConversion"/>
  <printOptions horizontalCentered="1" verticalCentered="1"/>
  <pageMargins left="0.39370078740157483" right="0.39370078740157483" top="0.39370078740157483" bottom="0.39370078740157483" header="0" footer="0"/>
  <pageSetup scale="76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CF22-6776-D543-B528-C84391F2E860}">
  <sheetPr codeName="Feuil5">
    <pageSetUpPr fitToPage="1"/>
  </sheetPr>
  <dimension ref="A1:Z336"/>
  <sheetViews>
    <sheetView showGridLines="0" topLeftCell="A200" zoomScale="169" zoomScaleNormal="80" workbookViewId="0">
      <selection activeCell="V194" sqref="V194"/>
    </sheetView>
  </sheetViews>
  <sheetFormatPr baseColWidth="10" defaultRowHeight="12.75" x14ac:dyDescent="0.2"/>
  <cols>
    <col min="1" max="1" width="22.5703125" bestFit="1" customWidth="1"/>
  </cols>
  <sheetData>
    <row r="1" spans="1:26" ht="13.5" thickBot="1" x14ac:dyDescent="0.25">
      <c r="A1" s="362" t="str">
        <f>IF(Lang="Français","Moteur sélectionné","Selected motor")</f>
        <v>Moteur sélectionné</v>
      </c>
      <c r="B1" s="362" t="s">
        <v>32</v>
      </c>
    </row>
    <row r="2" spans="1:26" ht="13.5" thickBot="1" x14ac:dyDescent="0.25">
      <c r="A2" s="352" t="str">
        <f>Propu</f>
        <v>Pandora</v>
      </c>
      <c r="B2" s="352">
        <f>VLOOKUP(A2,A26:B304,2,FALSE)</f>
        <v>193</v>
      </c>
      <c r="C2" s="363" t="s">
        <v>118</v>
      </c>
      <c r="D2" s="353">
        <f ca="1">INDIRECT(ADDRESS(B2,4))</f>
        <v>142.44</v>
      </c>
      <c r="E2" s="363" t="s">
        <v>117</v>
      </c>
      <c r="F2" s="354">
        <f ca="1">INDIRECT(ADDRESS(B2,6))</f>
        <v>192.06187401906058</v>
      </c>
      <c r="G2" s="363" t="s">
        <v>59</v>
      </c>
      <c r="H2" s="355">
        <f ca="1">INDIRECT(ADDRESS(B2,8))</f>
        <v>0.15989999999999999</v>
      </c>
      <c r="I2" s="363" t="s">
        <v>276</v>
      </c>
      <c r="J2" s="356">
        <f ca="1">INDIRECT(ADDRESS(B2,10))</f>
        <v>7.5599999999999987E-2</v>
      </c>
      <c r="K2" s="363" t="s">
        <v>61</v>
      </c>
      <c r="L2" s="355">
        <f ca="1">INDIRECT(ADDRESS(B2,12))</f>
        <v>8.43E-2</v>
      </c>
      <c r="M2" s="363" t="s">
        <v>60</v>
      </c>
      <c r="N2" s="357">
        <f ca="1">INDIRECT(ADDRESS(B2,14))</f>
        <v>114</v>
      </c>
      <c r="O2" s="363" t="s">
        <v>62</v>
      </c>
      <c r="P2" s="357">
        <f ca="1">INDIRECT(ADDRESS(B2,16))</f>
        <v>114</v>
      </c>
      <c r="Q2" s="363" t="s">
        <v>63</v>
      </c>
      <c r="R2" s="357">
        <f ca="1">INDIRECT(ADDRESS(B2,18))</f>
        <v>228</v>
      </c>
      <c r="S2" s="363" t="s">
        <v>64</v>
      </c>
      <c r="T2" s="357">
        <f ca="1">INDIRECT(ADDRESS(B2,20))</f>
        <v>24</v>
      </c>
      <c r="U2" s="363" t="s">
        <v>57</v>
      </c>
      <c r="V2" s="358" t="str">
        <f ca="1">INDIRECT(ADDRESS(B2,22))</f>
        <v>MiniN</v>
      </c>
      <c r="W2" s="463" t="s">
        <v>398</v>
      </c>
      <c r="X2" s="464">
        <f ca="1">INDIRECT(ADDRESS(B2,24))</f>
        <v>0.97</v>
      </c>
      <c r="Y2" s="463" t="s">
        <v>397</v>
      </c>
      <c r="Z2" s="358">
        <f ca="1">INDIRECT(ADDRESS(B2,26))</f>
        <v>13</v>
      </c>
    </row>
    <row r="3" spans="1:26" x14ac:dyDescent="0.2">
      <c r="A3" s="362" t="str">
        <f>IF(Lang="Français","Temps (en s)","Time (s)")</f>
        <v>Temps (en s)</v>
      </c>
      <c r="B3" s="364">
        <f t="shared" ref="B3:Y3" ca="1" si="0">INDIRECT(ADDRESS($B2+1,COLUMN(B3)))</f>
        <v>0</v>
      </c>
      <c r="C3" s="365">
        <f t="shared" ca="1" si="0"/>
        <v>0.02</v>
      </c>
      <c r="D3" s="365">
        <f t="shared" ca="1" si="0"/>
        <v>0.04</v>
      </c>
      <c r="E3" s="365">
        <f t="shared" ca="1" si="0"/>
        <v>0.62</v>
      </c>
      <c r="F3" s="365">
        <f t="shared" ca="1" si="0"/>
        <v>0.66</v>
      </c>
      <c r="G3" s="365">
        <f t="shared" ca="1" si="0"/>
        <v>0.68</v>
      </c>
      <c r="H3" s="365">
        <f t="shared" ca="1" si="0"/>
        <v>0.8</v>
      </c>
      <c r="I3" s="365">
        <f t="shared" ca="1" si="0"/>
        <v>0.84</v>
      </c>
      <c r="J3" s="365">
        <f t="shared" ca="1" si="0"/>
        <v>0.88</v>
      </c>
      <c r="K3" s="365">
        <f t="shared" ca="1" si="0"/>
        <v>0.92</v>
      </c>
      <c r="L3" s="365">
        <f t="shared" ca="1" si="0"/>
        <v>0.96</v>
      </c>
      <c r="M3" s="365">
        <f t="shared" ca="1" si="0"/>
        <v>1</v>
      </c>
      <c r="N3" s="365">
        <f t="shared" ca="1" si="0"/>
        <v>1.08</v>
      </c>
      <c r="O3" s="365">
        <f t="shared" ca="1" si="0"/>
        <v>2</v>
      </c>
      <c r="P3" s="365">
        <f t="shared" ca="1" si="0"/>
        <v>2</v>
      </c>
      <c r="Q3" s="365">
        <f t="shared" ca="1" si="0"/>
        <v>2</v>
      </c>
      <c r="R3" s="365">
        <f t="shared" ca="1" si="0"/>
        <v>2</v>
      </c>
      <c r="S3" s="365">
        <f t="shared" ca="1" si="0"/>
        <v>2</v>
      </c>
      <c r="T3" s="365">
        <f t="shared" ca="1" si="0"/>
        <v>2</v>
      </c>
      <c r="U3" s="365">
        <f t="shared" ca="1" si="0"/>
        <v>2</v>
      </c>
      <c r="V3" s="365">
        <f t="shared" ca="1" si="0"/>
        <v>2</v>
      </c>
      <c r="W3" s="365">
        <f t="shared" ca="1" si="0"/>
        <v>2</v>
      </c>
      <c r="X3" s="365">
        <f ca="1">INDIRECT(ADDRESS($B2+1,COLUMN(X3)))</f>
        <v>2</v>
      </c>
      <c r="Y3" s="366">
        <f t="shared" ca="1" si="0"/>
        <v>1000</v>
      </c>
    </row>
    <row r="4" spans="1:26" ht="13.5" thickBot="1" x14ac:dyDescent="0.25">
      <c r="A4" s="379" t="str">
        <f>IF(Lang="Français","Poussée (en N)","Thrust (N)")</f>
        <v>Poussée (en N)</v>
      </c>
      <c r="B4" s="367">
        <f t="shared" ref="B4:Y4" ca="1" si="1">INDIRECT(ADDRESS($B2+2,COLUMN(B3)))</f>
        <v>0</v>
      </c>
      <c r="C4" s="368">
        <f t="shared" ca="1" si="1"/>
        <v>250</v>
      </c>
      <c r="D4" s="368">
        <f t="shared" ca="1" si="1"/>
        <v>210</v>
      </c>
      <c r="E4" s="368">
        <f t="shared" ca="1" si="1"/>
        <v>160</v>
      </c>
      <c r="F4" s="368">
        <f t="shared" ca="1" si="1"/>
        <v>150</v>
      </c>
      <c r="G4" s="368">
        <f t="shared" ca="1" si="1"/>
        <v>142</v>
      </c>
      <c r="H4" s="368">
        <f t="shared" ca="1" si="1"/>
        <v>62</v>
      </c>
      <c r="I4" s="368">
        <f t="shared" ca="1" si="1"/>
        <v>48</v>
      </c>
      <c r="J4" s="368">
        <f t="shared" ca="1" si="1"/>
        <v>34</v>
      </c>
      <c r="K4" s="368">
        <f t="shared" ca="1" si="1"/>
        <v>24</v>
      </c>
      <c r="L4" s="368">
        <f t="shared" ca="1" si="1"/>
        <v>15</v>
      </c>
      <c r="M4" s="368">
        <f t="shared" ca="1" si="1"/>
        <v>10</v>
      </c>
      <c r="N4" s="368">
        <f t="shared" ca="1" si="1"/>
        <v>0</v>
      </c>
      <c r="O4" s="368">
        <f t="shared" ca="1" si="1"/>
        <v>0</v>
      </c>
      <c r="P4" s="368">
        <f t="shared" ca="1" si="1"/>
        <v>0</v>
      </c>
      <c r="Q4" s="368">
        <f t="shared" ca="1" si="1"/>
        <v>0</v>
      </c>
      <c r="R4" s="368">
        <f t="shared" ca="1" si="1"/>
        <v>0</v>
      </c>
      <c r="S4" s="368">
        <f t="shared" ca="1" si="1"/>
        <v>0</v>
      </c>
      <c r="T4" s="368">
        <f t="shared" ca="1" si="1"/>
        <v>0</v>
      </c>
      <c r="U4" s="368">
        <f t="shared" ca="1" si="1"/>
        <v>0</v>
      </c>
      <c r="V4" s="368">
        <f t="shared" ca="1" si="1"/>
        <v>0</v>
      </c>
      <c r="W4" s="368">
        <f t="shared" ca="1" si="1"/>
        <v>0</v>
      </c>
      <c r="X4" s="368">
        <f ca="1">INDIRECT(ADDRESS($B2+2,COLUMN(X3)))</f>
        <v>0</v>
      </c>
      <c r="Y4" s="369">
        <f t="shared" ca="1" si="1"/>
        <v>0</v>
      </c>
    </row>
    <row r="5" spans="1:26" x14ac:dyDescent="0.2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6" x14ac:dyDescent="0.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6" x14ac:dyDescent="0.2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26" x14ac:dyDescent="0.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26" x14ac:dyDescent="0.2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26" x14ac:dyDescent="0.2">
      <c r="B10" s="12"/>
      <c r="C10" s="12"/>
      <c r="D10" s="12"/>
      <c r="E10" s="12"/>
      <c r="F10" s="12"/>
      <c r="G10" s="12"/>
      <c r="H10" s="12"/>
      <c r="I10" s="12"/>
      <c r="J10" s="12"/>
    </row>
    <row r="11" spans="1:26" x14ac:dyDescent="0.2">
      <c r="B11" s="12"/>
      <c r="C11" s="12"/>
      <c r="D11" s="12"/>
      <c r="E11" s="12"/>
      <c r="F11" s="12"/>
      <c r="G11" s="12"/>
      <c r="H11" s="12"/>
      <c r="I11" s="12"/>
      <c r="J11" s="12"/>
    </row>
    <row r="12" spans="1:26" x14ac:dyDescent="0.2">
      <c r="B12" s="12"/>
      <c r="C12" s="12"/>
      <c r="D12" s="12"/>
      <c r="E12" s="12"/>
      <c r="F12" s="12"/>
      <c r="G12" s="12"/>
      <c r="H12" s="12"/>
      <c r="I12" s="12"/>
      <c r="J12" s="12"/>
    </row>
    <row r="13" spans="1:26" x14ac:dyDescent="0.2">
      <c r="B13" s="12"/>
      <c r="C13" s="12"/>
      <c r="D13" s="12"/>
      <c r="E13" s="12"/>
      <c r="F13" s="12"/>
      <c r="G13" s="12"/>
      <c r="H13" s="12"/>
      <c r="I13" s="12"/>
      <c r="J13" s="12"/>
    </row>
    <row r="14" spans="1:26" x14ac:dyDescent="0.2">
      <c r="B14" s="12"/>
      <c r="C14" s="12"/>
      <c r="D14" s="12"/>
      <c r="E14" s="12"/>
      <c r="F14" s="12"/>
      <c r="G14" s="12"/>
      <c r="H14" s="12"/>
      <c r="I14" s="12"/>
      <c r="J14" s="12"/>
    </row>
    <row r="15" spans="1:26" x14ac:dyDescent="0.2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26" x14ac:dyDescent="0.2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25" x14ac:dyDescent="0.2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25" x14ac:dyDescent="0.2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2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2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x14ac:dyDescent="0.2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x14ac:dyDescent="0.2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x14ac:dyDescent="0.2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5" spans="1:25" ht="13.5" thickBot="1" x14ac:dyDescent="0.25">
      <c r="A25" s="6" t="s">
        <v>279</v>
      </c>
    </row>
    <row r="26" spans="1:25" ht="13.5" thickBot="1" x14ac:dyDescent="0.25">
      <c r="A26" s="361" t="s">
        <v>312</v>
      </c>
      <c r="B26" s="359">
        <f>ROW(A26)</f>
        <v>26</v>
      </c>
      <c r="C26" s="363" t="s">
        <v>118</v>
      </c>
      <c r="D26" s="353">
        <f>SUM(B29:Y29)</f>
        <v>9.8449999999999989</v>
      </c>
      <c r="E26" s="363" t="s">
        <v>117</v>
      </c>
      <c r="F26" s="399">
        <f>D26/g/J26</f>
        <v>3.3452259599048584</v>
      </c>
      <c r="G26" s="363" t="s">
        <v>59</v>
      </c>
      <c r="H26" s="64">
        <v>0.3</v>
      </c>
      <c r="I26" s="363" t="s">
        <v>274</v>
      </c>
      <c r="J26" s="355">
        <f>H26-L26</f>
        <v>0.3</v>
      </c>
      <c r="K26" s="363" t="s">
        <v>275</v>
      </c>
      <c r="L26" s="64">
        <v>0</v>
      </c>
      <c r="M26" s="363" t="s">
        <v>60</v>
      </c>
      <c r="N26" s="65">
        <f>0.2*R26</f>
        <v>60</v>
      </c>
      <c r="O26" s="363" t="s">
        <v>62</v>
      </c>
      <c r="P26" s="65">
        <v>150</v>
      </c>
      <c r="Q26" s="363" t="s">
        <v>63</v>
      </c>
      <c r="R26" s="65">
        <v>300</v>
      </c>
      <c r="S26" s="363" t="s">
        <v>64</v>
      </c>
      <c r="T26" s="65">
        <v>90</v>
      </c>
      <c r="U26" s="363" t="s">
        <v>57</v>
      </c>
      <c r="V26" s="66" t="s">
        <v>279</v>
      </c>
      <c r="W26" s="12"/>
      <c r="X26" s="12"/>
      <c r="Y26" s="12"/>
    </row>
    <row r="27" spans="1:25" x14ac:dyDescent="0.2">
      <c r="A27" s="362" t="s">
        <v>33</v>
      </c>
      <c r="B27" s="370">
        <v>0</v>
      </c>
      <c r="C27" s="371">
        <v>1E-3</v>
      </c>
      <c r="D27" s="371">
        <v>0.02</v>
      </c>
      <c r="E27" s="371">
        <v>3.7999999999999999E-2</v>
      </c>
      <c r="F27" s="371">
        <v>0.04</v>
      </c>
      <c r="G27" s="371">
        <v>0.04</v>
      </c>
      <c r="H27" s="371">
        <v>0.04</v>
      </c>
      <c r="I27" s="371">
        <v>0.04</v>
      </c>
      <c r="J27" s="371">
        <v>0.04</v>
      </c>
      <c r="K27" s="371">
        <v>0.04</v>
      </c>
      <c r="L27" s="371">
        <v>0.04</v>
      </c>
      <c r="M27" s="371">
        <v>0.04</v>
      </c>
      <c r="N27" s="371">
        <v>0.04</v>
      </c>
      <c r="O27" s="371">
        <v>0.04</v>
      </c>
      <c r="P27" s="371">
        <v>0.04</v>
      </c>
      <c r="Q27" s="371">
        <v>0.04</v>
      </c>
      <c r="R27" s="371">
        <v>0.04</v>
      </c>
      <c r="S27" s="371">
        <v>0.04</v>
      </c>
      <c r="T27" s="371">
        <v>0.04</v>
      </c>
      <c r="U27" s="371">
        <v>0.04</v>
      </c>
      <c r="V27" s="371">
        <v>0.04</v>
      </c>
      <c r="W27" s="371">
        <v>0.04</v>
      </c>
      <c r="X27" s="371">
        <v>0.04</v>
      </c>
      <c r="Y27" s="381">
        <v>1000</v>
      </c>
    </row>
    <row r="28" spans="1:25" x14ac:dyDescent="0.2">
      <c r="A28" s="378" t="s">
        <v>34</v>
      </c>
      <c r="B28" s="372">
        <v>0</v>
      </c>
      <c r="C28" s="373">
        <v>310</v>
      </c>
      <c r="D28" s="373">
        <v>250</v>
      </c>
      <c r="E28" s="373">
        <v>212</v>
      </c>
      <c r="F28" s="373">
        <v>0</v>
      </c>
      <c r="G28" s="373">
        <v>0</v>
      </c>
      <c r="H28" s="373">
        <v>0</v>
      </c>
      <c r="I28" s="373">
        <v>0</v>
      </c>
      <c r="J28" s="373">
        <v>0</v>
      </c>
      <c r="K28" s="373">
        <v>0</v>
      </c>
      <c r="L28" s="373">
        <v>0</v>
      </c>
      <c r="M28" s="373">
        <v>0</v>
      </c>
      <c r="N28" s="373">
        <v>0</v>
      </c>
      <c r="O28" s="373">
        <v>0</v>
      </c>
      <c r="P28" s="373">
        <v>0</v>
      </c>
      <c r="Q28" s="373">
        <v>0</v>
      </c>
      <c r="R28" s="373">
        <v>0</v>
      </c>
      <c r="S28" s="373">
        <v>0</v>
      </c>
      <c r="T28" s="373">
        <v>0</v>
      </c>
      <c r="U28" s="373">
        <v>0</v>
      </c>
      <c r="V28" s="373">
        <v>0</v>
      </c>
      <c r="W28" s="373">
        <v>0</v>
      </c>
      <c r="X28" s="373">
        <v>0</v>
      </c>
      <c r="Y28" s="382">
        <v>0</v>
      </c>
    </row>
    <row r="29" spans="1:25" ht="13.5" thickBot="1" x14ac:dyDescent="0.25">
      <c r="A29" s="379" t="s">
        <v>119</v>
      </c>
      <c r="B29" s="374">
        <f t="shared" ref="B29:X29" si="2">(C28+B28)*(C27-B27)/2</f>
        <v>0.155</v>
      </c>
      <c r="C29" s="375">
        <f t="shared" si="2"/>
        <v>5.32</v>
      </c>
      <c r="D29" s="375">
        <f t="shared" si="2"/>
        <v>4.1579999999999995</v>
      </c>
      <c r="E29" s="375">
        <f t="shared" si="2"/>
        <v>0.21200000000000019</v>
      </c>
      <c r="F29" s="375">
        <f t="shared" si="2"/>
        <v>0</v>
      </c>
      <c r="G29" s="375">
        <f t="shared" si="2"/>
        <v>0</v>
      </c>
      <c r="H29" s="375">
        <f t="shared" si="2"/>
        <v>0</v>
      </c>
      <c r="I29" s="375">
        <f t="shared" si="2"/>
        <v>0</v>
      </c>
      <c r="J29" s="375">
        <f t="shared" si="2"/>
        <v>0</v>
      </c>
      <c r="K29" s="375">
        <f t="shared" si="2"/>
        <v>0</v>
      </c>
      <c r="L29" s="375">
        <f t="shared" si="2"/>
        <v>0</v>
      </c>
      <c r="M29" s="375">
        <f t="shared" si="2"/>
        <v>0</v>
      </c>
      <c r="N29" s="375">
        <f t="shared" si="2"/>
        <v>0</v>
      </c>
      <c r="O29" s="375">
        <f t="shared" si="2"/>
        <v>0</v>
      </c>
      <c r="P29" s="375">
        <f t="shared" si="2"/>
        <v>0</v>
      </c>
      <c r="Q29" s="375">
        <f t="shared" si="2"/>
        <v>0</v>
      </c>
      <c r="R29" s="375">
        <f t="shared" si="2"/>
        <v>0</v>
      </c>
      <c r="S29" s="375">
        <f t="shared" si="2"/>
        <v>0</v>
      </c>
      <c r="T29" s="375">
        <f t="shared" si="2"/>
        <v>0</v>
      </c>
      <c r="U29" s="375">
        <f t="shared" si="2"/>
        <v>0</v>
      </c>
      <c r="V29" s="375">
        <f t="shared" si="2"/>
        <v>0</v>
      </c>
      <c r="W29" s="375">
        <f t="shared" si="2"/>
        <v>0</v>
      </c>
      <c r="X29" s="375">
        <f t="shared" si="2"/>
        <v>0</v>
      </c>
      <c r="Y29" s="369"/>
    </row>
    <row r="30" spans="1:25" ht="13.5" thickBot="1" x14ac:dyDescent="0.25">
      <c r="A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3.5" thickBot="1" x14ac:dyDescent="0.25">
      <c r="A31" s="361" t="s">
        <v>313</v>
      </c>
      <c r="B31" s="359">
        <f>ROW(A31)</f>
        <v>31</v>
      </c>
      <c r="C31" s="363" t="s">
        <v>118</v>
      </c>
      <c r="D31" s="353">
        <f>SUM(B34:Y34)</f>
        <v>13.814500000000002</v>
      </c>
      <c r="E31" s="363" t="s">
        <v>117</v>
      </c>
      <c r="F31" s="399">
        <f>D31/g/J31</f>
        <v>3.1293464718541175</v>
      </c>
      <c r="G31" s="363" t="s">
        <v>59</v>
      </c>
      <c r="H31" s="64">
        <v>0.45</v>
      </c>
      <c r="I31" s="363" t="s">
        <v>274</v>
      </c>
      <c r="J31" s="355">
        <f>H31-L31</f>
        <v>0.45</v>
      </c>
      <c r="K31" s="363" t="s">
        <v>275</v>
      </c>
      <c r="L31" s="64">
        <v>0</v>
      </c>
      <c r="M31" s="363" t="s">
        <v>60</v>
      </c>
      <c r="N31" s="65">
        <f>0.3*R31</f>
        <v>90</v>
      </c>
      <c r="O31" s="363" t="s">
        <v>62</v>
      </c>
      <c r="P31" s="65">
        <v>150</v>
      </c>
      <c r="Q31" s="363" t="s">
        <v>63</v>
      </c>
      <c r="R31" s="65">
        <v>300</v>
      </c>
      <c r="S31" s="363" t="s">
        <v>64</v>
      </c>
      <c r="T31" s="65">
        <v>90</v>
      </c>
      <c r="U31" s="363" t="s">
        <v>57</v>
      </c>
      <c r="V31" s="66" t="s">
        <v>279</v>
      </c>
      <c r="W31" s="12"/>
      <c r="X31" s="12"/>
      <c r="Y31" s="12"/>
    </row>
    <row r="32" spans="1:25" x14ac:dyDescent="0.2">
      <c r="A32" s="362" t="s">
        <v>33</v>
      </c>
      <c r="B32" s="370">
        <v>0</v>
      </c>
      <c r="C32" s="371">
        <v>1E-3</v>
      </c>
      <c r="D32" s="371">
        <v>0.02</v>
      </c>
      <c r="E32" s="371">
        <v>0.04</v>
      </c>
      <c r="F32" s="371">
        <v>6.0999999999999999E-2</v>
      </c>
      <c r="G32" s="371">
        <v>6.2E-2</v>
      </c>
      <c r="H32" s="371">
        <v>6.2E-2</v>
      </c>
      <c r="I32" s="371">
        <v>6.2E-2</v>
      </c>
      <c r="J32" s="371">
        <v>6.2E-2</v>
      </c>
      <c r="K32" s="371">
        <v>6.2E-2</v>
      </c>
      <c r="L32" s="371">
        <v>6.2E-2</v>
      </c>
      <c r="M32" s="371">
        <v>6.2E-2</v>
      </c>
      <c r="N32" s="371">
        <v>6.2E-2</v>
      </c>
      <c r="O32" s="371">
        <v>6.2E-2</v>
      </c>
      <c r="P32" s="371">
        <v>6.2E-2</v>
      </c>
      <c r="Q32" s="371">
        <v>6.2E-2</v>
      </c>
      <c r="R32" s="371">
        <v>6.2E-2</v>
      </c>
      <c r="S32" s="371">
        <v>6.2E-2</v>
      </c>
      <c r="T32" s="371">
        <v>6.2E-2</v>
      </c>
      <c r="U32" s="371">
        <v>6.2E-2</v>
      </c>
      <c r="V32" s="371">
        <v>6.2E-2</v>
      </c>
      <c r="W32" s="371">
        <v>6.2E-2</v>
      </c>
      <c r="X32" s="371">
        <v>6.2E-2</v>
      </c>
      <c r="Y32" s="381">
        <v>1000</v>
      </c>
    </row>
    <row r="33" spans="1:25" x14ac:dyDescent="0.2">
      <c r="A33" s="378" t="s">
        <v>34</v>
      </c>
      <c r="B33" s="372">
        <v>0</v>
      </c>
      <c r="C33" s="373">
        <v>310</v>
      </c>
      <c r="D33" s="373">
        <v>245</v>
      </c>
      <c r="E33" s="373">
        <v>200</v>
      </c>
      <c r="F33" s="373">
        <v>167</v>
      </c>
      <c r="G33" s="373">
        <v>0</v>
      </c>
      <c r="H33" s="373">
        <v>0</v>
      </c>
      <c r="I33" s="373">
        <v>0</v>
      </c>
      <c r="J33" s="373">
        <v>0</v>
      </c>
      <c r="K33" s="373">
        <v>0</v>
      </c>
      <c r="L33" s="373">
        <v>0</v>
      </c>
      <c r="M33" s="373">
        <v>0</v>
      </c>
      <c r="N33" s="373">
        <v>0</v>
      </c>
      <c r="O33" s="373">
        <v>0</v>
      </c>
      <c r="P33" s="373">
        <v>0</v>
      </c>
      <c r="Q33" s="373">
        <v>0</v>
      </c>
      <c r="R33" s="373">
        <v>0</v>
      </c>
      <c r="S33" s="373">
        <v>0</v>
      </c>
      <c r="T33" s="373">
        <v>0</v>
      </c>
      <c r="U33" s="373">
        <v>0</v>
      </c>
      <c r="V33" s="373">
        <v>0</v>
      </c>
      <c r="W33" s="373">
        <v>0</v>
      </c>
      <c r="X33" s="373">
        <v>0</v>
      </c>
      <c r="Y33" s="382">
        <v>0</v>
      </c>
    </row>
    <row r="34" spans="1:25" ht="13.5" thickBot="1" x14ac:dyDescent="0.25">
      <c r="A34" s="379" t="s">
        <v>119</v>
      </c>
      <c r="B34" s="374">
        <f t="shared" ref="B34:X34" si="3">(C33+B33)*(C32-B32)/2</f>
        <v>0.155</v>
      </c>
      <c r="C34" s="375">
        <f t="shared" si="3"/>
        <v>5.2725</v>
      </c>
      <c r="D34" s="375">
        <f t="shared" si="3"/>
        <v>4.45</v>
      </c>
      <c r="E34" s="375">
        <f t="shared" si="3"/>
        <v>3.8534999999999995</v>
      </c>
      <c r="F34" s="375">
        <f t="shared" si="3"/>
        <v>8.3500000000000074E-2</v>
      </c>
      <c r="G34" s="375">
        <f t="shared" si="3"/>
        <v>0</v>
      </c>
      <c r="H34" s="375">
        <f t="shared" si="3"/>
        <v>0</v>
      </c>
      <c r="I34" s="375">
        <f t="shared" si="3"/>
        <v>0</v>
      </c>
      <c r="J34" s="375">
        <f t="shared" si="3"/>
        <v>0</v>
      </c>
      <c r="K34" s="375">
        <f t="shared" si="3"/>
        <v>0</v>
      </c>
      <c r="L34" s="375">
        <f t="shared" si="3"/>
        <v>0</v>
      </c>
      <c r="M34" s="375">
        <f t="shared" si="3"/>
        <v>0</v>
      </c>
      <c r="N34" s="375">
        <f t="shared" si="3"/>
        <v>0</v>
      </c>
      <c r="O34" s="375">
        <f t="shared" si="3"/>
        <v>0</v>
      </c>
      <c r="P34" s="375">
        <f t="shared" si="3"/>
        <v>0</v>
      </c>
      <c r="Q34" s="375">
        <f t="shared" si="3"/>
        <v>0</v>
      </c>
      <c r="R34" s="375">
        <f t="shared" si="3"/>
        <v>0</v>
      </c>
      <c r="S34" s="375">
        <f t="shared" si="3"/>
        <v>0</v>
      </c>
      <c r="T34" s="375">
        <f t="shared" si="3"/>
        <v>0</v>
      </c>
      <c r="U34" s="375">
        <f t="shared" si="3"/>
        <v>0</v>
      </c>
      <c r="V34" s="375">
        <f t="shared" si="3"/>
        <v>0</v>
      </c>
      <c r="W34" s="375">
        <f t="shared" si="3"/>
        <v>0</v>
      </c>
      <c r="X34" s="375">
        <f t="shared" si="3"/>
        <v>0</v>
      </c>
      <c r="Y34" s="369"/>
    </row>
    <row r="35" spans="1:25" ht="13.5" thickBot="1" x14ac:dyDescent="0.25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3.5" thickBot="1" x14ac:dyDescent="0.25">
      <c r="A36" s="361" t="s">
        <v>314</v>
      </c>
      <c r="B36" s="359">
        <f>ROW(A36)</f>
        <v>36</v>
      </c>
      <c r="C36" s="363" t="s">
        <v>118</v>
      </c>
      <c r="D36" s="353">
        <f>SUM(B39:Y39)</f>
        <v>17.144499999999997</v>
      </c>
      <c r="E36" s="363" t="s">
        <v>117</v>
      </c>
      <c r="F36" s="399">
        <f>D36/g/J36</f>
        <v>2.9127590893645934</v>
      </c>
      <c r="G36" s="363" t="s">
        <v>59</v>
      </c>
      <c r="H36" s="64">
        <v>0.6</v>
      </c>
      <c r="I36" s="363" t="s">
        <v>274</v>
      </c>
      <c r="J36" s="355">
        <f>H36-L36</f>
        <v>0.6</v>
      </c>
      <c r="K36" s="363" t="s">
        <v>275</v>
      </c>
      <c r="L36" s="64">
        <v>0</v>
      </c>
      <c r="M36" s="363" t="s">
        <v>60</v>
      </c>
      <c r="N36" s="65">
        <f>0.4*R36</f>
        <v>120</v>
      </c>
      <c r="O36" s="363" t="s">
        <v>62</v>
      </c>
      <c r="P36" s="65">
        <v>150</v>
      </c>
      <c r="Q36" s="363" t="s">
        <v>63</v>
      </c>
      <c r="R36" s="65">
        <v>300</v>
      </c>
      <c r="S36" s="363" t="s">
        <v>64</v>
      </c>
      <c r="T36" s="65">
        <v>90</v>
      </c>
      <c r="U36" s="363" t="s">
        <v>57</v>
      </c>
      <c r="V36" s="66" t="s">
        <v>279</v>
      </c>
      <c r="W36" s="12"/>
      <c r="X36" s="12"/>
      <c r="Y36" s="12"/>
    </row>
    <row r="37" spans="1:25" x14ac:dyDescent="0.2">
      <c r="A37" s="362" t="s">
        <v>33</v>
      </c>
      <c r="B37" s="370">
        <v>0</v>
      </c>
      <c r="C37" s="371">
        <v>1E-3</v>
      </c>
      <c r="D37" s="371">
        <v>0.02</v>
      </c>
      <c r="E37" s="371">
        <v>0.04</v>
      </c>
      <c r="F37" s="371">
        <v>0.06</v>
      </c>
      <c r="G37" s="371">
        <v>0.08</v>
      </c>
      <c r="H37" s="371">
        <v>8.7999999999999995E-2</v>
      </c>
      <c r="I37" s="371">
        <v>8.8999999999999996E-2</v>
      </c>
      <c r="J37" s="371">
        <v>8.8999999999999996E-2</v>
      </c>
      <c r="K37" s="371">
        <v>8.8999999999999996E-2</v>
      </c>
      <c r="L37" s="371">
        <v>8.8999999999999996E-2</v>
      </c>
      <c r="M37" s="371">
        <v>8.8999999999999996E-2</v>
      </c>
      <c r="N37" s="371">
        <v>8.8999999999999996E-2</v>
      </c>
      <c r="O37" s="371">
        <v>8.8999999999999996E-2</v>
      </c>
      <c r="P37" s="371">
        <v>8.8999999999999996E-2</v>
      </c>
      <c r="Q37" s="371">
        <v>8.8999999999999996E-2</v>
      </c>
      <c r="R37" s="371">
        <v>8.8999999999999996E-2</v>
      </c>
      <c r="S37" s="371">
        <v>8.8999999999999996E-2</v>
      </c>
      <c r="T37" s="371">
        <v>8.8999999999999996E-2</v>
      </c>
      <c r="U37" s="371">
        <v>8.8999999999999996E-2</v>
      </c>
      <c r="V37" s="371">
        <v>8.8999999999999996E-2</v>
      </c>
      <c r="W37" s="371">
        <v>8.8999999999999996E-2</v>
      </c>
      <c r="X37" s="371">
        <v>8.8999999999999996E-2</v>
      </c>
      <c r="Y37" s="381">
        <v>1000</v>
      </c>
    </row>
    <row r="38" spans="1:25" x14ac:dyDescent="0.2">
      <c r="A38" s="378" t="s">
        <v>34</v>
      </c>
      <c r="B38" s="372">
        <v>0</v>
      </c>
      <c r="C38" s="373">
        <v>310</v>
      </c>
      <c r="D38" s="373">
        <v>240</v>
      </c>
      <c r="E38" s="373">
        <v>190</v>
      </c>
      <c r="F38" s="373">
        <v>157</v>
      </c>
      <c r="G38" s="373">
        <v>133</v>
      </c>
      <c r="H38" s="373">
        <v>125</v>
      </c>
      <c r="I38" s="373">
        <v>0</v>
      </c>
      <c r="J38" s="373">
        <v>0</v>
      </c>
      <c r="K38" s="373">
        <v>0</v>
      </c>
      <c r="L38" s="373">
        <v>0</v>
      </c>
      <c r="M38" s="373">
        <v>0</v>
      </c>
      <c r="N38" s="373">
        <v>0</v>
      </c>
      <c r="O38" s="373">
        <v>0</v>
      </c>
      <c r="P38" s="373">
        <v>0</v>
      </c>
      <c r="Q38" s="373">
        <v>0</v>
      </c>
      <c r="R38" s="373">
        <v>0</v>
      </c>
      <c r="S38" s="373">
        <v>0</v>
      </c>
      <c r="T38" s="373">
        <v>0</v>
      </c>
      <c r="U38" s="373">
        <v>0</v>
      </c>
      <c r="V38" s="373">
        <v>0</v>
      </c>
      <c r="W38" s="373">
        <v>0</v>
      </c>
      <c r="X38" s="373">
        <v>0</v>
      </c>
      <c r="Y38" s="382">
        <v>0</v>
      </c>
    </row>
    <row r="39" spans="1:25" ht="13.5" thickBot="1" x14ac:dyDescent="0.25">
      <c r="A39" s="379" t="s">
        <v>119</v>
      </c>
      <c r="B39" s="374">
        <f t="shared" ref="B39:X39" si="4">(C38+B38)*(C37-B37)/2</f>
        <v>0.155</v>
      </c>
      <c r="C39" s="375">
        <f t="shared" si="4"/>
        <v>5.2249999999999996</v>
      </c>
      <c r="D39" s="375">
        <f t="shared" si="4"/>
        <v>4.3</v>
      </c>
      <c r="E39" s="375">
        <f t="shared" si="4"/>
        <v>3.4699999999999993</v>
      </c>
      <c r="F39" s="375">
        <f t="shared" si="4"/>
        <v>2.9000000000000004</v>
      </c>
      <c r="G39" s="375">
        <f t="shared" si="4"/>
        <v>1.0319999999999991</v>
      </c>
      <c r="H39" s="375">
        <f t="shared" si="4"/>
        <v>6.2500000000000056E-2</v>
      </c>
      <c r="I39" s="375">
        <f t="shared" si="4"/>
        <v>0</v>
      </c>
      <c r="J39" s="375">
        <f t="shared" si="4"/>
        <v>0</v>
      </c>
      <c r="K39" s="375">
        <f t="shared" si="4"/>
        <v>0</v>
      </c>
      <c r="L39" s="375">
        <f t="shared" si="4"/>
        <v>0</v>
      </c>
      <c r="M39" s="375">
        <f t="shared" si="4"/>
        <v>0</v>
      </c>
      <c r="N39" s="375">
        <f t="shared" si="4"/>
        <v>0</v>
      </c>
      <c r="O39" s="375">
        <f t="shared" si="4"/>
        <v>0</v>
      </c>
      <c r="P39" s="375">
        <f t="shared" si="4"/>
        <v>0</v>
      </c>
      <c r="Q39" s="375">
        <f t="shared" si="4"/>
        <v>0</v>
      </c>
      <c r="R39" s="375">
        <f t="shared" si="4"/>
        <v>0</v>
      </c>
      <c r="S39" s="375">
        <f t="shared" si="4"/>
        <v>0</v>
      </c>
      <c r="T39" s="375">
        <f t="shared" si="4"/>
        <v>0</v>
      </c>
      <c r="U39" s="375">
        <f t="shared" si="4"/>
        <v>0</v>
      </c>
      <c r="V39" s="375">
        <f t="shared" si="4"/>
        <v>0</v>
      </c>
      <c r="W39" s="375">
        <f t="shared" si="4"/>
        <v>0</v>
      </c>
      <c r="X39" s="375">
        <f t="shared" si="4"/>
        <v>0</v>
      </c>
      <c r="Y39" s="369"/>
    </row>
    <row r="40" spans="1:25" ht="13.5" thickBot="1" x14ac:dyDescent="0.25">
      <c r="A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3.5" thickBot="1" x14ac:dyDescent="0.25">
      <c r="A41" s="361" t="s">
        <v>315</v>
      </c>
      <c r="B41" s="359">
        <f>ROW(A41)</f>
        <v>41</v>
      </c>
      <c r="C41" s="363" t="s">
        <v>118</v>
      </c>
      <c r="D41" s="353">
        <f>SUM(B44:Y44)</f>
        <v>19.415000000000003</v>
      </c>
      <c r="E41" s="363" t="s">
        <v>117</v>
      </c>
      <c r="F41" s="399">
        <f>D41/g/J41</f>
        <v>2.6388039415562354</v>
      </c>
      <c r="G41" s="363" t="s">
        <v>59</v>
      </c>
      <c r="H41" s="64">
        <v>0.75</v>
      </c>
      <c r="I41" s="363" t="s">
        <v>274</v>
      </c>
      <c r="J41" s="355">
        <f>H41-L41</f>
        <v>0.75</v>
      </c>
      <c r="K41" s="363" t="s">
        <v>275</v>
      </c>
      <c r="L41" s="64">
        <v>0</v>
      </c>
      <c r="M41" s="363" t="s">
        <v>60</v>
      </c>
      <c r="N41" s="65">
        <f>0.5*R41</f>
        <v>150</v>
      </c>
      <c r="O41" s="363" t="s">
        <v>62</v>
      </c>
      <c r="P41" s="65">
        <v>150</v>
      </c>
      <c r="Q41" s="363" t="s">
        <v>63</v>
      </c>
      <c r="R41" s="65">
        <v>300</v>
      </c>
      <c r="S41" s="363" t="s">
        <v>64</v>
      </c>
      <c r="T41" s="65">
        <v>90</v>
      </c>
      <c r="U41" s="363" t="s">
        <v>57</v>
      </c>
      <c r="V41" s="66" t="s">
        <v>279</v>
      </c>
      <c r="W41" s="12"/>
      <c r="X41" s="12"/>
      <c r="Y41" s="12"/>
    </row>
    <row r="42" spans="1:25" x14ac:dyDescent="0.2">
      <c r="A42" s="362" t="s">
        <v>33</v>
      </c>
      <c r="B42" s="370">
        <v>0</v>
      </c>
      <c r="C42" s="371">
        <v>1E-3</v>
      </c>
      <c r="D42" s="371">
        <v>0.02</v>
      </c>
      <c r="E42" s="371">
        <v>0.04</v>
      </c>
      <c r="F42" s="371">
        <v>0.06</v>
      </c>
      <c r="G42" s="371">
        <v>0.08</v>
      </c>
      <c r="H42" s="371">
        <v>0.1</v>
      </c>
      <c r="I42" s="371">
        <v>0.123</v>
      </c>
      <c r="J42" s="371">
        <v>0.124</v>
      </c>
      <c r="K42" s="371">
        <v>0.124</v>
      </c>
      <c r="L42" s="371">
        <v>0.124</v>
      </c>
      <c r="M42" s="371">
        <v>0.124</v>
      </c>
      <c r="N42" s="371">
        <v>0.124</v>
      </c>
      <c r="O42" s="371">
        <v>0.124</v>
      </c>
      <c r="P42" s="371">
        <v>0.124</v>
      </c>
      <c r="Q42" s="371">
        <v>0.124</v>
      </c>
      <c r="R42" s="371">
        <v>0.124</v>
      </c>
      <c r="S42" s="371">
        <v>0.124</v>
      </c>
      <c r="T42" s="371">
        <v>0.124</v>
      </c>
      <c r="U42" s="371">
        <v>0.124</v>
      </c>
      <c r="V42" s="371">
        <v>0.124</v>
      </c>
      <c r="W42" s="371">
        <v>0.124</v>
      </c>
      <c r="X42" s="371">
        <v>0.124</v>
      </c>
      <c r="Y42" s="381">
        <v>1000</v>
      </c>
    </row>
    <row r="43" spans="1:25" x14ac:dyDescent="0.2">
      <c r="A43" s="378" t="s">
        <v>34</v>
      </c>
      <c r="B43" s="372">
        <v>0</v>
      </c>
      <c r="C43" s="373">
        <v>310</v>
      </c>
      <c r="D43" s="373">
        <v>230</v>
      </c>
      <c r="E43" s="373">
        <v>175</v>
      </c>
      <c r="F43" s="373">
        <v>140</v>
      </c>
      <c r="G43" s="373">
        <v>118</v>
      </c>
      <c r="H43" s="373">
        <v>100</v>
      </c>
      <c r="I43" s="373">
        <v>85</v>
      </c>
      <c r="J43" s="373">
        <v>0</v>
      </c>
      <c r="K43" s="373">
        <v>0</v>
      </c>
      <c r="L43" s="373">
        <v>0</v>
      </c>
      <c r="M43" s="373">
        <v>0</v>
      </c>
      <c r="N43" s="373">
        <v>0</v>
      </c>
      <c r="O43" s="373">
        <v>0</v>
      </c>
      <c r="P43" s="373">
        <v>0</v>
      </c>
      <c r="Q43" s="373">
        <v>0</v>
      </c>
      <c r="R43" s="373">
        <v>0</v>
      </c>
      <c r="S43" s="373">
        <v>0</v>
      </c>
      <c r="T43" s="373">
        <v>0</v>
      </c>
      <c r="U43" s="373">
        <v>0</v>
      </c>
      <c r="V43" s="373">
        <v>0</v>
      </c>
      <c r="W43" s="373">
        <v>0</v>
      </c>
      <c r="X43" s="373">
        <v>0</v>
      </c>
      <c r="Y43" s="382">
        <v>0</v>
      </c>
    </row>
    <row r="44" spans="1:25" ht="13.5" thickBot="1" x14ac:dyDescent="0.25">
      <c r="A44" s="379" t="s">
        <v>119</v>
      </c>
      <c r="B44" s="374">
        <f t="shared" ref="B44:X44" si="5">(C43+B43)*(C42-B42)/2</f>
        <v>0.155</v>
      </c>
      <c r="C44" s="375">
        <f t="shared" si="5"/>
        <v>5.13</v>
      </c>
      <c r="D44" s="375">
        <f t="shared" si="5"/>
        <v>4.05</v>
      </c>
      <c r="E44" s="375">
        <f t="shared" si="5"/>
        <v>3.1499999999999995</v>
      </c>
      <c r="F44" s="375">
        <f t="shared" si="5"/>
        <v>2.5800000000000005</v>
      </c>
      <c r="G44" s="375">
        <f t="shared" si="5"/>
        <v>2.1800000000000006</v>
      </c>
      <c r="H44" s="375">
        <f t="shared" si="5"/>
        <v>2.1274999999999995</v>
      </c>
      <c r="I44" s="375">
        <f t="shared" si="5"/>
        <v>4.2500000000000038E-2</v>
      </c>
      <c r="J44" s="375">
        <f t="shared" si="5"/>
        <v>0</v>
      </c>
      <c r="K44" s="375">
        <f t="shared" si="5"/>
        <v>0</v>
      </c>
      <c r="L44" s="375">
        <f t="shared" si="5"/>
        <v>0</v>
      </c>
      <c r="M44" s="375">
        <f t="shared" si="5"/>
        <v>0</v>
      </c>
      <c r="N44" s="375">
        <f t="shared" si="5"/>
        <v>0</v>
      </c>
      <c r="O44" s="375">
        <f t="shared" si="5"/>
        <v>0</v>
      </c>
      <c r="P44" s="375">
        <f t="shared" si="5"/>
        <v>0</v>
      </c>
      <c r="Q44" s="375">
        <f t="shared" si="5"/>
        <v>0</v>
      </c>
      <c r="R44" s="375">
        <f t="shared" si="5"/>
        <v>0</v>
      </c>
      <c r="S44" s="375">
        <f t="shared" si="5"/>
        <v>0</v>
      </c>
      <c r="T44" s="375">
        <f t="shared" si="5"/>
        <v>0</v>
      </c>
      <c r="U44" s="375">
        <f t="shared" si="5"/>
        <v>0</v>
      </c>
      <c r="V44" s="375">
        <f t="shared" si="5"/>
        <v>0</v>
      </c>
      <c r="W44" s="375">
        <f t="shared" si="5"/>
        <v>0</v>
      </c>
      <c r="X44" s="375">
        <f t="shared" si="5"/>
        <v>0</v>
      </c>
      <c r="Y44" s="369"/>
    </row>
    <row r="45" spans="1:25" ht="13.5" thickBot="1" x14ac:dyDescent="0.25"/>
    <row r="46" spans="1:25" ht="13.5" thickBot="1" x14ac:dyDescent="0.25">
      <c r="A46" s="361" t="s">
        <v>280</v>
      </c>
      <c r="B46" s="359">
        <f>ROW(A46)</f>
        <v>46</v>
      </c>
      <c r="C46" s="363" t="s">
        <v>118</v>
      </c>
      <c r="D46" s="353">
        <f>SUM(B49:Y49)</f>
        <v>12.8695</v>
      </c>
      <c r="E46" s="363" t="s">
        <v>117</v>
      </c>
      <c r="F46" s="399">
        <f>D46/g/J46</f>
        <v>3.2796890927624869</v>
      </c>
      <c r="G46" s="363" t="s">
        <v>59</v>
      </c>
      <c r="H46" s="64">
        <v>0.5</v>
      </c>
      <c r="I46" s="363" t="s">
        <v>274</v>
      </c>
      <c r="J46" s="355">
        <f>H46-L46</f>
        <v>0.4</v>
      </c>
      <c r="K46" s="363" t="s">
        <v>275</v>
      </c>
      <c r="L46" s="64">
        <v>0.1</v>
      </c>
      <c r="M46" s="363" t="s">
        <v>60</v>
      </c>
      <c r="N46" s="65">
        <f>0.2*R46</f>
        <v>60</v>
      </c>
      <c r="O46" s="363" t="s">
        <v>62</v>
      </c>
      <c r="P46" s="65">
        <v>150</v>
      </c>
      <c r="Q46" s="363" t="s">
        <v>63</v>
      </c>
      <c r="R46" s="65">
        <v>300</v>
      </c>
      <c r="S46" s="363" t="s">
        <v>64</v>
      </c>
      <c r="T46" s="65">
        <v>98</v>
      </c>
      <c r="U46" s="363" t="s">
        <v>57</v>
      </c>
      <c r="V46" s="66" t="s">
        <v>279</v>
      </c>
      <c r="W46" s="12"/>
      <c r="X46" s="12"/>
      <c r="Y46" s="12"/>
    </row>
    <row r="47" spans="1:25" x14ac:dyDescent="0.2">
      <c r="A47" s="362" t="s">
        <v>33</v>
      </c>
      <c r="B47" s="370">
        <v>0</v>
      </c>
      <c r="C47" s="371">
        <v>1E-3</v>
      </c>
      <c r="D47" s="371">
        <v>0.02</v>
      </c>
      <c r="E47" s="371">
        <v>0.04</v>
      </c>
      <c r="F47" s="371">
        <v>0.05</v>
      </c>
      <c r="G47" s="371">
        <v>5.0999999999999997E-2</v>
      </c>
      <c r="H47" s="371">
        <v>5.0999999999999997E-2</v>
      </c>
      <c r="I47" s="371">
        <v>5.0999999999999997E-2</v>
      </c>
      <c r="J47" s="371">
        <v>5.0999999999999997E-2</v>
      </c>
      <c r="K47" s="371">
        <v>5.0999999999999997E-2</v>
      </c>
      <c r="L47" s="371">
        <v>5.0999999999999997E-2</v>
      </c>
      <c r="M47" s="371">
        <v>5.0999999999999997E-2</v>
      </c>
      <c r="N47" s="371">
        <v>5.0999999999999997E-2</v>
      </c>
      <c r="O47" s="371">
        <v>5.0999999999999997E-2</v>
      </c>
      <c r="P47" s="371">
        <v>5.0999999999999997E-2</v>
      </c>
      <c r="Q47" s="371">
        <v>5.0999999999999997E-2</v>
      </c>
      <c r="R47" s="371">
        <v>5.0999999999999997E-2</v>
      </c>
      <c r="S47" s="371">
        <v>5.0999999999999997E-2</v>
      </c>
      <c r="T47" s="371">
        <v>5.0999999999999997E-2</v>
      </c>
      <c r="U47" s="371">
        <v>5.0999999999999997E-2</v>
      </c>
      <c r="V47" s="371">
        <v>5.0999999999999997E-2</v>
      </c>
      <c r="W47" s="371">
        <v>5.0999999999999997E-2</v>
      </c>
      <c r="X47" s="371">
        <v>5.0999999999999997E-2</v>
      </c>
      <c r="Y47" s="381">
        <v>1000</v>
      </c>
    </row>
    <row r="48" spans="1:25" x14ac:dyDescent="0.2">
      <c r="A48" s="378" t="s">
        <v>34</v>
      </c>
      <c r="B48" s="372">
        <v>0</v>
      </c>
      <c r="C48" s="373">
        <v>310</v>
      </c>
      <c r="D48" s="373">
        <v>264</v>
      </c>
      <c r="E48" s="373">
        <v>230</v>
      </c>
      <c r="F48" s="373">
        <v>213</v>
      </c>
      <c r="G48" s="373">
        <v>0</v>
      </c>
      <c r="H48" s="373">
        <v>0</v>
      </c>
      <c r="I48" s="373">
        <v>0</v>
      </c>
      <c r="J48" s="373">
        <v>0</v>
      </c>
      <c r="K48" s="373">
        <v>0</v>
      </c>
      <c r="L48" s="373">
        <v>0</v>
      </c>
      <c r="M48" s="373">
        <v>0</v>
      </c>
      <c r="N48" s="373">
        <v>0</v>
      </c>
      <c r="O48" s="373">
        <v>0</v>
      </c>
      <c r="P48" s="373">
        <v>0</v>
      </c>
      <c r="Q48" s="373">
        <v>0</v>
      </c>
      <c r="R48" s="373">
        <v>0</v>
      </c>
      <c r="S48" s="373">
        <v>0</v>
      </c>
      <c r="T48" s="373">
        <v>0</v>
      </c>
      <c r="U48" s="373">
        <v>0</v>
      </c>
      <c r="V48" s="373">
        <v>0</v>
      </c>
      <c r="W48" s="373">
        <v>0</v>
      </c>
      <c r="X48" s="373">
        <v>0</v>
      </c>
      <c r="Y48" s="382">
        <v>0</v>
      </c>
    </row>
    <row r="49" spans="1:25" ht="13.5" thickBot="1" x14ac:dyDescent="0.25">
      <c r="A49" s="379" t="s">
        <v>119</v>
      </c>
      <c r="B49" s="374">
        <f t="shared" ref="B49:X49" si="6">(C48+B48)*(C47-B47)/2</f>
        <v>0.155</v>
      </c>
      <c r="C49" s="375">
        <f t="shared" si="6"/>
        <v>5.4530000000000003</v>
      </c>
      <c r="D49" s="375">
        <f t="shared" si="6"/>
        <v>4.9400000000000004</v>
      </c>
      <c r="E49" s="375">
        <f t="shared" si="6"/>
        <v>2.2150000000000003</v>
      </c>
      <c r="F49" s="375">
        <f t="shared" si="6"/>
        <v>0.10649999999999936</v>
      </c>
      <c r="G49" s="375">
        <f t="shared" si="6"/>
        <v>0</v>
      </c>
      <c r="H49" s="375">
        <f t="shared" si="6"/>
        <v>0</v>
      </c>
      <c r="I49" s="375">
        <f t="shared" si="6"/>
        <v>0</v>
      </c>
      <c r="J49" s="375">
        <f t="shared" si="6"/>
        <v>0</v>
      </c>
      <c r="K49" s="375">
        <f t="shared" si="6"/>
        <v>0</v>
      </c>
      <c r="L49" s="375">
        <f t="shared" si="6"/>
        <v>0</v>
      </c>
      <c r="M49" s="375">
        <f t="shared" si="6"/>
        <v>0</v>
      </c>
      <c r="N49" s="375">
        <f t="shared" si="6"/>
        <v>0</v>
      </c>
      <c r="O49" s="375">
        <f t="shared" si="6"/>
        <v>0</v>
      </c>
      <c r="P49" s="375">
        <f t="shared" si="6"/>
        <v>0</v>
      </c>
      <c r="Q49" s="375">
        <f t="shared" si="6"/>
        <v>0</v>
      </c>
      <c r="R49" s="375">
        <f t="shared" si="6"/>
        <v>0</v>
      </c>
      <c r="S49" s="375">
        <f t="shared" si="6"/>
        <v>0</v>
      </c>
      <c r="T49" s="375">
        <f t="shared" si="6"/>
        <v>0</v>
      </c>
      <c r="U49" s="375">
        <f t="shared" si="6"/>
        <v>0</v>
      </c>
      <c r="V49" s="375">
        <f t="shared" si="6"/>
        <v>0</v>
      </c>
      <c r="W49" s="375">
        <f t="shared" si="6"/>
        <v>0</v>
      </c>
      <c r="X49" s="375">
        <f t="shared" si="6"/>
        <v>0</v>
      </c>
      <c r="Y49" s="369"/>
    </row>
    <row r="50" spans="1:25" ht="13.5" thickBot="1" x14ac:dyDescent="0.25">
      <c r="A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3.5" thickBot="1" x14ac:dyDescent="0.25">
      <c r="A51" s="361" t="s">
        <v>281</v>
      </c>
      <c r="B51" s="359">
        <f>ROW(A51)</f>
        <v>51</v>
      </c>
      <c r="C51" s="363" t="s">
        <v>118</v>
      </c>
      <c r="D51" s="353">
        <f>SUM(B54:Y54)</f>
        <v>18.123500000000003</v>
      </c>
      <c r="E51" s="363" t="s">
        <v>117</v>
      </c>
      <c r="F51" s="399">
        <f>D51/g/J51</f>
        <v>3.0790859667006463</v>
      </c>
      <c r="G51" s="363" t="s">
        <v>59</v>
      </c>
      <c r="H51" s="64">
        <v>0.7</v>
      </c>
      <c r="I51" s="363" t="s">
        <v>274</v>
      </c>
      <c r="J51" s="355">
        <f>H51-L51</f>
        <v>0.6</v>
      </c>
      <c r="K51" s="363" t="s">
        <v>275</v>
      </c>
      <c r="L51" s="64">
        <v>0.1</v>
      </c>
      <c r="M51" s="363" t="s">
        <v>60</v>
      </c>
      <c r="N51" s="65">
        <f>0.3*R51</f>
        <v>90</v>
      </c>
      <c r="O51" s="363" t="s">
        <v>62</v>
      </c>
      <c r="P51" s="65">
        <v>150</v>
      </c>
      <c r="Q51" s="363" t="s">
        <v>63</v>
      </c>
      <c r="R51" s="65">
        <v>300</v>
      </c>
      <c r="S51" s="363" t="s">
        <v>64</v>
      </c>
      <c r="T51" s="65">
        <v>98</v>
      </c>
      <c r="U51" s="363" t="s">
        <v>57</v>
      </c>
      <c r="V51" s="66" t="s">
        <v>279</v>
      </c>
      <c r="W51" s="12"/>
      <c r="X51" s="12"/>
      <c r="Y51" s="12"/>
    </row>
    <row r="52" spans="1:25" x14ac:dyDescent="0.2">
      <c r="A52" s="362" t="s">
        <v>33</v>
      </c>
      <c r="B52" s="370">
        <v>0</v>
      </c>
      <c r="C52" s="371">
        <v>1E-3</v>
      </c>
      <c r="D52" s="371">
        <v>0.02</v>
      </c>
      <c r="E52" s="371">
        <v>0.04</v>
      </c>
      <c r="F52" s="371">
        <v>0.06</v>
      </c>
      <c r="G52" s="371">
        <v>0.08</v>
      </c>
      <c r="H52" s="371">
        <v>8.1000000000000003E-2</v>
      </c>
      <c r="I52" s="371">
        <v>8.1000000000000003E-2</v>
      </c>
      <c r="J52" s="371">
        <v>8.1000000000000003E-2</v>
      </c>
      <c r="K52" s="371">
        <v>8.1000000000000003E-2</v>
      </c>
      <c r="L52" s="371">
        <v>8.1000000000000003E-2</v>
      </c>
      <c r="M52" s="371">
        <v>8.1000000000000003E-2</v>
      </c>
      <c r="N52" s="371">
        <v>8.1000000000000003E-2</v>
      </c>
      <c r="O52" s="371">
        <v>8.1000000000000003E-2</v>
      </c>
      <c r="P52" s="371">
        <v>8.1000000000000003E-2</v>
      </c>
      <c r="Q52" s="371">
        <v>8.1000000000000003E-2</v>
      </c>
      <c r="R52" s="371">
        <v>8.1000000000000003E-2</v>
      </c>
      <c r="S52" s="371">
        <v>8.1000000000000003E-2</v>
      </c>
      <c r="T52" s="371">
        <v>8.1000000000000003E-2</v>
      </c>
      <c r="U52" s="371">
        <v>8.1000000000000003E-2</v>
      </c>
      <c r="V52" s="371">
        <v>8.1000000000000003E-2</v>
      </c>
      <c r="W52" s="371">
        <v>8.1000000000000003E-2</v>
      </c>
      <c r="X52" s="371">
        <v>8.1000000000000003E-2</v>
      </c>
      <c r="Y52" s="381">
        <v>1000</v>
      </c>
    </row>
    <row r="53" spans="1:25" x14ac:dyDescent="0.2">
      <c r="A53" s="378" t="s">
        <v>34</v>
      </c>
      <c r="B53" s="372">
        <v>0</v>
      </c>
      <c r="C53" s="373">
        <v>310</v>
      </c>
      <c r="D53" s="373">
        <v>260</v>
      </c>
      <c r="E53" s="373">
        <v>220</v>
      </c>
      <c r="F53" s="373">
        <v>190</v>
      </c>
      <c r="G53" s="373">
        <v>167</v>
      </c>
      <c r="H53" s="373">
        <v>0</v>
      </c>
      <c r="I53" s="373">
        <v>0</v>
      </c>
      <c r="J53" s="373">
        <v>0</v>
      </c>
      <c r="K53" s="373">
        <v>0</v>
      </c>
      <c r="L53" s="373">
        <v>0</v>
      </c>
      <c r="M53" s="373">
        <v>0</v>
      </c>
      <c r="N53" s="373">
        <v>0</v>
      </c>
      <c r="O53" s="373">
        <v>0</v>
      </c>
      <c r="P53" s="373">
        <v>0</v>
      </c>
      <c r="Q53" s="373">
        <v>0</v>
      </c>
      <c r="R53" s="373">
        <v>0</v>
      </c>
      <c r="S53" s="373">
        <v>0</v>
      </c>
      <c r="T53" s="373">
        <v>0</v>
      </c>
      <c r="U53" s="373">
        <v>0</v>
      </c>
      <c r="V53" s="373">
        <v>0</v>
      </c>
      <c r="W53" s="373">
        <v>0</v>
      </c>
      <c r="X53" s="373">
        <v>0</v>
      </c>
      <c r="Y53" s="382">
        <v>0</v>
      </c>
    </row>
    <row r="54" spans="1:25" ht="13.5" thickBot="1" x14ac:dyDescent="0.25">
      <c r="A54" s="379" t="s">
        <v>119</v>
      </c>
      <c r="B54" s="374">
        <f t="shared" ref="B54:X54" si="7">(C53+B53)*(C52-B52)/2</f>
        <v>0.155</v>
      </c>
      <c r="C54" s="375">
        <f t="shared" si="7"/>
        <v>5.415</v>
      </c>
      <c r="D54" s="375">
        <f t="shared" si="7"/>
        <v>4.8</v>
      </c>
      <c r="E54" s="375">
        <f t="shared" si="7"/>
        <v>4.0999999999999996</v>
      </c>
      <c r="F54" s="375">
        <f t="shared" si="7"/>
        <v>3.5700000000000007</v>
      </c>
      <c r="G54" s="375">
        <f t="shared" si="7"/>
        <v>8.3500000000000074E-2</v>
      </c>
      <c r="H54" s="375">
        <f t="shared" si="7"/>
        <v>0</v>
      </c>
      <c r="I54" s="375">
        <f t="shared" si="7"/>
        <v>0</v>
      </c>
      <c r="J54" s="375">
        <f t="shared" si="7"/>
        <v>0</v>
      </c>
      <c r="K54" s="375">
        <f t="shared" si="7"/>
        <v>0</v>
      </c>
      <c r="L54" s="375">
        <f t="shared" si="7"/>
        <v>0</v>
      </c>
      <c r="M54" s="375">
        <f t="shared" si="7"/>
        <v>0</v>
      </c>
      <c r="N54" s="375">
        <f t="shared" si="7"/>
        <v>0</v>
      </c>
      <c r="O54" s="375">
        <f t="shared" si="7"/>
        <v>0</v>
      </c>
      <c r="P54" s="375">
        <f t="shared" si="7"/>
        <v>0</v>
      </c>
      <c r="Q54" s="375">
        <f t="shared" si="7"/>
        <v>0</v>
      </c>
      <c r="R54" s="375">
        <f t="shared" si="7"/>
        <v>0</v>
      </c>
      <c r="S54" s="375">
        <f t="shared" si="7"/>
        <v>0</v>
      </c>
      <c r="T54" s="375">
        <f t="shared" si="7"/>
        <v>0</v>
      </c>
      <c r="U54" s="375">
        <f t="shared" si="7"/>
        <v>0</v>
      </c>
      <c r="V54" s="375">
        <f t="shared" si="7"/>
        <v>0</v>
      </c>
      <c r="W54" s="375">
        <f t="shared" si="7"/>
        <v>0</v>
      </c>
      <c r="X54" s="375">
        <f t="shared" si="7"/>
        <v>0</v>
      </c>
      <c r="Y54" s="369"/>
    </row>
    <row r="55" spans="1:25" ht="13.5" thickBot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3.5" thickBot="1" x14ac:dyDescent="0.25">
      <c r="A56" s="361" t="s">
        <v>282</v>
      </c>
      <c r="B56" s="359">
        <f>ROW(A56)</f>
        <v>56</v>
      </c>
      <c r="C56" s="363" t="s">
        <v>118</v>
      </c>
      <c r="D56" s="353">
        <f>SUM(B59:Y59)</f>
        <v>22.610000000000003</v>
      </c>
      <c r="E56" s="363" t="s">
        <v>117</v>
      </c>
      <c r="F56" s="399">
        <f>D56/g/J56</f>
        <v>2.88098878695209</v>
      </c>
      <c r="G56" s="363" t="s">
        <v>59</v>
      </c>
      <c r="H56" s="64">
        <v>0.9</v>
      </c>
      <c r="I56" s="363" t="s">
        <v>274</v>
      </c>
      <c r="J56" s="355">
        <f>H56-L56</f>
        <v>0.8</v>
      </c>
      <c r="K56" s="363" t="s">
        <v>275</v>
      </c>
      <c r="L56" s="64">
        <v>0.1</v>
      </c>
      <c r="M56" s="363" t="s">
        <v>60</v>
      </c>
      <c r="N56" s="65">
        <f>0.4*R56</f>
        <v>120</v>
      </c>
      <c r="O56" s="363" t="s">
        <v>62</v>
      </c>
      <c r="P56" s="65">
        <v>150</v>
      </c>
      <c r="Q56" s="363" t="s">
        <v>63</v>
      </c>
      <c r="R56" s="65">
        <v>300</v>
      </c>
      <c r="S56" s="363" t="s">
        <v>64</v>
      </c>
      <c r="T56" s="65">
        <v>98</v>
      </c>
      <c r="U56" s="363" t="s">
        <v>57</v>
      </c>
      <c r="V56" s="66" t="s">
        <v>279</v>
      </c>
      <c r="W56" s="12"/>
      <c r="X56" s="12"/>
      <c r="Y56" s="12"/>
    </row>
    <row r="57" spans="1:25" x14ac:dyDescent="0.2">
      <c r="A57" s="362" t="s">
        <v>33</v>
      </c>
      <c r="B57" s="370">
        <v>0</v>
      </c>
      <c r="C57" s="371">
        <v>1E-3</v>
      </c>
      <c r="D57" s="371">
        <v>0.02</v>
      </c>
      <c r="E57" s="371">
        <v>0.04</v>
      </c>
      <c r="F57" s="371">
        <v>0.06</v>
      </c>
      <c r="G57" s="371">
        <v>0.08</v>
      </c>
      <c r="H57" s="371">
        <v>0.1</v>
      </c>
      <c r="I57" s="371">
        <v>0.11700000000000001</v>
      </c>
      <c r="J57" s="371">
        <v>0.11799999999999999</v>
      </c>
      <c r="K57" s="371">
        <v>0.11799999999999999</v>
      </c>
      <c r="L57" s="371">
        <v>0.11799999999999999</v>
      </c>
      <c r="M57" s="371">
        <v>0.11799999999999999</v>
      </c>
      <c r="N57" s="371">
        <v>0.11799999999999999</v>
      </c>
      <c r="O57" s="371">
        <v>0.11799999999999999</v>
      </c>
      <c r="P57" s="371">
        <v>0.11799999999999999</v>
      </c>
      <c r="Q57" s="371">
        <v>0.11799999999999999</v>
      </c>
      <c r="R57" s="371">
        <v>0.11799999999999999</v>
      </c>
      <c r="S57" s="371">
        <v>0.11799999999999999</v>
      </c>
      <c r="T57" s="371">
        <v>0.11799999999999999</v>
      </c>
      <c r="U57" s="371">
        <v>0.11799999999999999</v>
      </c>
      <c r="V57" s="371">
        <v>0.11799999999999999</v>
      </c>
      <c r="W57" s="371">
        <v>0.11799999999999999</v>
      </c>
      <c r="X57" s="371">
        <v>0.11799999999999999</v>
      </c>
      <c r="Y57" s="381">
        <v>1000</v>
      </c>
    </row>
    <row r="58" spans="1:25" x14ac:dyDescent="0.2">
      <c r="A58" s="378" t="s">
        <v>34</v>
      </c>
      <c r="B58" s="372">
        <v>0</v>
      </c>
      <c r="C58" s="373">
        <v>310</v>
      </c>
      <c r="D58" s="373">
        <v>250</v>
      </c>
      <c r="E58" s="373">
        <v>210</v>
      </c>
      <c r="F58" s="373">
        <v>180</v>
      </c>
      <c r="G58" s="373">
        <v>156</v>
      </c>
      <c r="H58" s="373">
        <v>140</v>
      </c>
      <c r="I58" s="373">
        <v>125</v>
      </c>
      <c r="J58" s="373">
        <v>0</v>
      </c>
      <c r="K58" s="373">
        <v>0</v>
      </c>
      <c r="L58" s="373">
        <v>0</v>
      </c>
      <c r="M58" s="373">
        <v>0</v>
      </c>
      <c r="N58" s="373">
        <v>0</v>
      </c>
      <c r="O58" s="373">
        <v>0</v>
      </c>
      <c r="P58" s="373">
        <v>0</v>
      </c>
      <c r="Q58" s="373">
        <v>0</v>
      </c>
      <c r="R58" s="373">
        <v>0</v>
      </c>
      <c r="S58" s="373">
        <v>0</v>
      </c>
      <c r="T58" s="373">
        <v>0</v>
      </c>
      <c r="U58" s="373">
        <v>0</v>
      </c>
      <c r="V58" s="373">
        <v>0</v>
      </c>
      <c r="W58" s="373">
        <v>0</v>
      </c>
      <c r="X58" s="373">
        <v>0</v>
      </c>
      <c r="Y58" s="382">
        <v>0</v>
      </c>
    </row>
    <row r="59" spans="1:25" ht="13.5" thickBot="1" x14ac:dyDescent="0.25">
      <c r="A59" s="379" t="s">
        <v>119</v>
      </c>
      <c r="B59" s="374">
        <f t="shared" ref="B59:X59" si="8">(C58+B58)*(C57-B57)/2</f>
        <v>0.155</v>
      </c>
      <c r="C59" s="375">
        <f t="shared" si="8"/>
        <v>5.32</v>
      </c>
      <c r="D59" s="375">
        <f t="shared" si="8"/>
        <v>4.6000000000000005</v>
      </c>
      <c r="E59" s="375">
        <f t="shared" si="8"/>
        <v>3.8999999999999995</v>
      </c>
      <c r="F59" s="375">
        <f t="shared" si="8"/>
        <v>3.3600000000000008</v>
      </c>
      <c r="G59" s="375">
        <f t="shared" si="8"/>
        <v>2.9600000000000004</v>
      </c>
      <c r="H59" s="375">
        <f t="shared" si="8"/>
        <v>2.2524999999999999</v>
      </c>
      <c r="I59" s="375">
        <f t="shared" si="8"/>
        <v>6.2499999999999188E-2</v>
      </c>
      <c r="J59" s="375">
        <f t="shared" si="8"/>
        <v>0</v>
      </c>
      <c r="K59" s="375">
        <f t="shared" si="8"/>
        <v>0</v>
      </c>
      <c r="L59" s="375">
        <f t="shared" si="8"/>
        <v>0</v>
      </c>
      <c r="M59" s="375">
        <f t="shared" si="8"/>
        <v>0</v>
      </c>
      <c r="N59" s="375">
        <f t="shared" si="8"/>
        <v>0</v>
      </c>
      <c r="O59" s="375">
        <f t="shared" si="8"/>
        <v>0</v>
      </c>
      <c r="P59" s="375">
        <f t="shared" si="8"/>
        <v>0</v>
      </c>
      <c r="Q59" s="375">
        <f t="shared" si="8"/>
        <v>0</v>
      </c>
      <c r="R59" s="375">
        <f t="shared" si="8"/>
        <v>0</v>
      </c>
      <c r="S59" s="375">
        <f t="shared" si="8"/>
        <v>0</v>
      </c>
      <c r="T59" s="375">
        <f t="shared" si="8"/>
        <v>0</v>
      </c>
      <c r="U59" s="375">
        <f t="shared" si="8"/>
        <v>0</v>
      </c>
      <c r="V59" s="375">
        <f t="shared" si="8"/>
        <v>0</v>
      </c>
      <c r="W59" s="375">
        <f t="shared" si="8"/>
        <v>0</v>
      </c>
      <c r="X59" s="375">
        <f t="shared" si="8"/>
        <v>0</v>
      </c>
      <c r="Y59" s="369"/>
    </row>
    <row r="60" spans="1:25" ht="13.5" thickBot="1" x14ac:dyDescent="0.25">
      <c r="A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3.5" thickBot="1" x14ac:dyDescent="0.25">
      <c r="A61" s="361" t="s">
        <v>283</v>
      </c>
      <c r="B61" s="359">
        <f>ROW(A61)</f>
        <v>61</v>
      </c>
      <c r="C61" s="363" t="s">
        <v>118</v>
      </c>
      <c r="D61" s="353">
        <f>SUM(B64:Y64)</f>
        <v>25.874000000000006</v>
      </c>
      <c r="E61" s="363" t="s">
        <v>117</v>
      </c>
      <c r="F61" s="399">
        <f>D61/g/J61</f>
        <v>2.6375127420998985</v>
      </c>
      <c r="G61" s="363" t="s">
        <v>59</v>
      </c>
      <c r="H61" s="64">
        <v>1.1000000000000001</v>
      </c>
      <c r="I61" s="363" t="s">
        <v>274</v>
      </c>
      <c r="J61" s="355">
        <f>H61-L61</f>
        <v>1</v>
      </c>
      <c r="K61" s="363" t="s">
        <v>275</v>
      </c>
      <c r="L61" s="64">
        <v>0.1</v>
      </c>
      <c r="M61" s="363" t="s">
        <v>60</v>
      </c>
      <c r="N61" s="65">
        <f>0.5*R61</f>
        <v>150</v>
      </c>
      <c r="O61" s="363" t="s">
        <v>62</v>
      </c>
      <c r="P61" s="65">
        <v>150</v>
      </c>
      <c r="Q61" s="363" t="s">
        <v>63</v>
      </c>
      <c r="R61" s="65">
        <v>300</v>
      </c>
      <c r="S61" s="363" t="s">
        <v>64</v>
      </c>
      <c r="T61" s="65">
        <v>98</v>
      </c>
      <c r="U61" s="363" t="s">
        <v>57</v>
      </c>
      <c r="V61" s="66" t="s">
        <v>279</v>
      </c>
      <c r="W61" s="12"/>
      <c r="X61" s="12"/>
      <c r="Y61" s="12"/>
    </row>
    <row r="62" spans="1:25" x14ac:dyDescent="0.2">
      <c r="A62" s="362" t="s">
        <v>33</v>
      </c>
      <c r="B62" s="370">
        <v>0</v>
      </c>
      <c r="C62" s="371">
        <v>1E-3</v>
      </c>
      <c r="D62" s="371">
        <v>0.02</v>
      </c>
      <c r="E62" s="371">
        <v>0.04</v>
      </c>
      <c r="F62" s="371">
        <v>0.06</v>
      </c>
      <c r="G62" s="371">
        <v>0.08</v>
      </c>
      <c r="H62" s="371">
        <v>0.1</v>
      </c>
      <c r="I62" s="371">
        <v>0.12</v>
      </c>
      <c r="J62" s="371">
        <v>0.14000000000000001</v>
      </c>
      <c r="K62" s="371">
        <v>0.16400000000000001</v>
      </c>
      <c r="L62" s="371">
        <v>0.16500000000000001</v>
      </c>
      <c r="M62" s="371">
        <v>0.16500000000000001</v>
      </c>
      <c r="N62" s="371">
        <v>0.16500000000000001</v>
      </c>
      <c r="O62" s="371">
        <v>0.16500000000000001</v>
      </c>
      <c r="P62" s="371">
        <v>0.16500000000000001</v>
      </c>
      <c r="Q62" s="371">
        <v>0.16500000000000001</v>
      </c>
      <c r="R62" s="371">
        <v>0.16500000000000001</v>
      </c>
      <c r="S62" s="371">
        <v>0.16500000000000001</v>
      </c>
      <c r="T62" s="371">
        <v>0.16500000000000001</v>
      </c>
      <c r="U62" s="371">
        <v>0.16500000000000001</v>
      </c>
      <c r="V62" s="371">
        <v>0.16500000000000001</v>
      </c>
      <c r="W62" s="371">
        <v>0.16500000000000001</v>
      </c>
      <c r="X62" s="371">
        <v>0.16500000000000001</v>
      </c>
      <c r="Y62" s="381">
        <v>1000</v>
      </c>
    </row>
    <row r="63" spans="1:25" x14ac:dyDescent="0.2">
      <c r="A63" s="378" t="s">
        <v>34</v>
      </c>
      <c r="B63" s="372">
        <v>0</v>
      </c>
      <c r="C63" s="373">
        <v>310</v>
      </c>
      <c r="D63" s="373">
        <v>245</v>
      </c>
      <c r="E63" s="373">
        <v>200</v>
      </c>
      <c r="F63" s="373">
        <v>165</v>
      </c>
      <c r="G63" s="373">
        <v>143</v>
      </c>
      <c r="H63" s="373">
        <v>124</v>
      </c>
      <c r="I63" s="373">
        <v>108</v>
      </c>
      <c r="J63" s="373">
        <v>97</v>
      </c>
      <c r="K63" s="373">
        <v>85</v>
      </c>
      <c r="L63" s="373">
        <v>0</v>
      </c>
      <c r="M63" s="373">
        <v>0</v>
      </c>
      <c r="N63" s="373">
        <v>0</v>
      </c>
      <c r="O63" s="373">
        <v>0</v>
      </c>
      <c r="P63" s="373">
        <v>0</v>
      </c>
      <c r="Q63" s="373">
        <v>0</v>
      </c>
      <c r="R63" s="373">
        <v>0</v>
      </c>
      <c r="S63" s="373">
        <v>0</v>
      </c>
      <c r="T63" s="373">
        <v>0</v>
      </c>
      <c r="U63" s="373">
        <v>0</v>
      </c>
      <c r="V63" s="373">
        <v>0</v>
      </c>
      <c r="W63" s="373">
        <v>0</v>
      </c>
      <c r="X63" s="373">
        <v>0</v>
      </c>
      <c r="Y63" s="382">
        <v>0</v>
      </c>
    </row>
    <row r="64" spans="1:25" ht="13.5" thickBot="1" x14ac:dyDescent="0.25">
      <c r="A64" s="379" t="s">
        <v>119</v>
      </c>
      <c r="B64" s="374">
        <f t="shared" ref="B64:X64" si="9">(C63+B63)*(C62-B62)/2</f>
        <v>0.155</v>
      </c>
      <c r="C64" s="375">
        <f t="shared" si="9"/>
        <v>5.2725</v>
      </c>
      <c r="D64" s="375">
        <f t="shared" si="9"/>
        <v>4.45</v>
      </c>
      <c r="E64" s="375">
        <f t="shared" si="9"/>
        <v>3.6499999999999995</v>
      </c>
      <c r="F64" s="375">
        <f t="shared" si="9"/>
        <v>3.0800000000000005</v>
      </c>
      <c r="G64" s="375">
        <f t="shared" si="9"/>
        <v>2.6700000000000004</v>
      </c>
      <c r="H64" s="375">
        <f t="shared" si="9"/>
        <v>2.319999999999999</v>
      </c>
      <c r="I64" s="375">
        <f t="shared" si="9"/>
        <v>2.0500000000000016</v>
      </c>
      <c r="J64" s="375">
        <f t="shared" si="9"/>
        <v>2.1839999999999993</v>
      </c>
      <c r="K64" s="375">
        <f t="shared" si="9"/>
        <v>4.2500000000000038E-2</v>
      </c>
      <c r="L64" s="375">
        <f t="shared" si="9"/>
        <v>0</v>
      </c>
      <c r="M64" s="375">
        <f t="shared" si="9"/>
        <v>0</v>
      </c>
      <c r="N64" s="375">
        <f t="shared" si="9"/>
        <v>0</v>
      </c>
      <c r="O64" s="375">
        <f t="shared" si="9"/>
        <v>0</v>
      </c>
      <c r="P64" s="375">
        <f t="shared" si="9"/>
        <v>0</v>
      </c>
      <c r="Q64" s="375">
        <f t="shared" si="9"/>
        <v>0</v>
      </c>
      <c r="R64" s="375">
        <f t="shared" si="9"/>
        <v>0</v>
      </c>
      <c r="S64" s="375">
        <f t="shared" si="9"/>
        <v>0</v>
      </c>
      <c r="T64" s="375">
        <f t="shared" si="9"/>
        <v>0</v>
      </c>
      <c r="U64" s="375">
        <f t="shared" si="9"/>
        <v>0</v>
      </c>
      <c r="V64" s="375">
        <f t="shared" si="9"/>
        <v>0</v>
      </c>
      <c r="W64" s="375">
        <f t="shared" si="9"/>
        <v>0</v>
      </c>
      <c r="X64" s="375">
        <f t="shared" si="9"/>
        <v>0</v>
      </c>
      <c r="Y64" s="369"/>
    </row>
    <row r="66" spans="1:26" ht="13.5" thickBot="1" x14ac:dyDescent="0.25">
      <c r="A66" s="6" t="s">
        <v>184</v>
      </c>
    </row>
    <row r="67" spans="1:26" ht="13.5" thickBot="1" x14ac:dyDescent="0.25">
      <c r="A67" s="361" t="s">
        <v>114</v>
      </c>
      <c r="B67" s="359">
        <f>ROW(A67)</f>
        <v>67</v>
      </c>
      <c r="C67" s="363" t="s">
        <v>118</v>
      </c>
      <c r="D67" s="353">
        <f>SUM(B70:Y70)</f>
        <v>2.65</v>
      </c>
      <c r="E67" s="363" t="s">
        <v>117</v>
      </c>
      <c r="F67" s="354">
        <f>D67/g/J67</f>
        <v>54.026503567787969</v>
      </c>
      <c r="G67" s="363" t="s">
        <v>59</v>
      </c>
      <c r="H67" s="64">
        <v>1.4999999999999999E-2</v>
      </c>
      <c r="I67" s="363" t="s">
        <v>274</v>
      </c>
      <c r="J67" s="355">
        <f>H67-L67</f>
        <v>4.9999999999999992E-3</v>
      </c>
      <c r="K67" s="363" t="s">
        <v>275</v>
      </c>
      <c r="L67" s="64">
        <v>0.01</v>
      </c>
      <c r="M67" s="363" t="s">
        <v>60</v>
      </c>
      <c r="N67" s="65">
        <v>30</v>
      </c>
      <c r="O67" s="363" t="s">
        <v>62</v>
      </c>
      <c r="P67" s="65">
        <v>30</v>
      </c>
      <c r="Q67" s="363" t="s">
        <v>63</v>
      </c>
      <c r="R67" s="65">
        <v>70</v>
      </c>
      <c r="S67" s="363" t="s">
        <v>64</v>
      </c>
      <c r="T67" s="65">
        <v>15</v>
      </c>
      <c r="U67" s="363" t="s">
        <v>57</v>
      </c>
      <c r="V67" s="66" t="s">
        <v>120</v>
      </c>
      <c r="W67" s="463" t="s">
        <v>398</v>
      </c>
      <c r="X67" s="465">
        <v>0.32</v>
      </c>
      <c r="Y67" s="463" t="s">
        <v>397</v>
      </c>
      <c r="Z67" s="358">
        <v>3</v>
      </c>
    </row>
    <row r="68" spans="1:26" x14ac:dyDescent="0.2">
      <c r="A68" s="362" t="s">
        <v>33</v>
      </c>
      <c r="B68" s="370">
        <v>0</v>
      </c>
      <c r="C68" s="371">
        <v>0.2</v>
      </c>
      <c r="D68" s="371">
        <v>0.3</v>
      </c>
      <c r="E68" s="371">
        <v>0.4</v>
      </c>
      <c r="F68" s="371">
        <v>0.5</v>
      </c>
      <c r="G68" s="371">
        <v>0.55000000000000004</v>
      </c>
      <c r="H68" s="371">
        <v>0.6</v>
      </c>
      <c r="I68" s="371">
        <v>0.6</v>
      </c>
      <c r="J68" s="371">
        <v>0.6</v>
      </c>
      <c r="K68" s="371">
        <v>0.6</v>
      </c>
      <c r="L68" s="371">
        <v>0.6</v>
      </c>
      <c r="M68" s="371">
        <v>0.6</v>
      </c>
      <c r="N68" s="371">
        <v>0.6</v>
      </c>
      <c r="O68" s="371">
        <v>0.6</v>
      </c>
      <c r="P68" s="371">
        <v>0.6</v>
      </c>
      <c r="Q68" s="371">
        <v>0.6</v>
      </c>
      <c r="R68" s="371">
        <v>0.6</v>
      </c>
      <c r="S68" s="371">
        <v>0.6</v>
      </c>
      <c r="T68" s="371">
        <v>0.6</v>
      </c>
      <c r="U68" s="371">
        <v>0.6</v>
      </c>
      <c r="V68" s="371">
        <v>0.6</v>
      </c>
      <c r="W68" s="371">
        <v>0.6</v>
      </c>
      <c r="X68" s="371">
        <v>0.6</v>
      </c>
      <c r="Y68" s="381">
        <v>1000</v>
      </c>
    </row>
    <row r="69" spans="1:26" x14ac:dyDescent="0.2">
      <c r="A69" s="378" t="s">
        <v>34</v>
      </c>
      <c r="B69" s="372">
        <v>0</v>
      </c>
      <c r="C69" s="373">
        <v>9</v>
      </c>
      <c r="D69" s="373">
        <v>4.5</v>
      </c>
      <c r="E69" s="373">
        <v>4</v>
      </c>
      <c r="F69" s="373">
        <v>4</v>
      </c>
      <c r="G69" s="373">
        <v>3</v>
      </c>
      <c r="H69" s="373">
        <v>0</v>
      </c>
      <c r="I69" s="373">
        <v>0</v>
      </c>
      <c r="J69" s="373">
        <v>0</v>
      </c>
      <c r="K69" s="373">
        <v>0</v>
      </c>
      <c r="L69" s="373">
        <v>0</v>
      </c>
      <c r="M69" s="373">
        <v>0</v>
      </c>
      <c r="N69" s="373">
        <v>0</v>
      </c>
      <c r="O69" s="373">
        <v>0</v>
      </c>
      <c r="P69" s="373">
        <v>0</v>
      </c>
      <c r="Q69" s="373">
        <v>0</v>
      </c>
      <c r="R69" s="373">
        <v>0</v>
      </c>
      <c r="S69" s="373">
        <v>0</v>
      </c>
      <c r="T69" s="373">
        <v>0</v>
      </c>
      <c r="U69" s="373">
        <v>0</v>
      </c>
      <c r="V69" s="373">
        <v>0</v>
      </c>
      <c r="W69" s="373">
        <v>0</v>
      </c>
      <c r="X69" s="373">
        <v>0</v>
      </c>
      <c r="Y69" s="382">
        <v>0</v>
      </c>
    </row>
    <row r="70" spans="1:26" ht="13.5" thickBot="1" x14ac:dyDescent="0.25">
      <c r="A70" s="379" t="s">
        <v>119</v>
      </c>
      <c r="B70" s="374">
        <f t="shared" ref="B70:X70" si="10">(C69+B69)*(C68-B68)/2</f>
        <v>0.9</v>
      </c>
      <c r="C70" s="375">
        <f t="shared" si="10"/>
        <v>0.67499999999999982</v>
      </c>
      <c r="D70" s="375">
        <f t="shared" si="10"/>
        <v>0.42500000000000016</v>
      </c>
      <c r="E70" s="375">
        <f t="shared" si="10"/>
        <v>0.39999999999999991</v>
      </c>
      <c r="F70" s="375">
        <f t="shared" si="10"/>
        <v>0.17500000000000016</v>
      </c>
      <c r="G70" s="375">
        <f t="shared" si="10"/>
        <v>7.49999999999999E-2</v>
      </c>
      <c r="H70" s="375">
        <f t="shared" si="10"/>
        <v>0</v>
      </c>
      <c r="I70" s="375">
        <f t="shared" si="10"/>
        <v>0</v>
      </c>
      <c r="J70" s="375">
        <f t="shared" si="10"/>
        <v>0</v>
      </c>
      <c r="K70" s="375">
        <f t="shared" si="10"/>
        <v>0</v>
      </c>
      <c r="L70" s="375">
        <f t="shared" si="10"/>
        <v>0</v>
      </c>
      <c r="M70" s="375">
        <f t="shared" si="10"/>
        <v>0</v>
      </c>
      <c r="N70" s="375">
        <f t="shared" si="10"/>
        <v>0</v>
      </c>
      <c r="O70" s="375">
        <f t="shared" si="10"/>
        <v>0</v>
      </c>
      <c r="P70" s="375">
        <f t="shared" si="10"/>
        <v>0</v>
      </c>
      <c r="Q70" s="375">
        <f t="shared" si="10"/>
        <v>0</v>
      </c>
      <c r="R70" s="375">
        <f t="shared" si="10"/>
        <v>0</v>
      </c>
      <c r="S70" s="375">
        <f t="shared" si="10"/>
        <v>0</v>
      </c>
      <c r="T70" s="375">
        <f t="shared" si="10"/>
        <v>0</v>
      </c>
      <c r="U70" s="375">
        <f t="shared" si="10"/>
        <v>0</v>
      </c>
      <c r="V70" s="375">
        <f t="shared" si="10"/>
        <v>0</v>
      </c>
      <c r="W70" s="375">
        <f t="shared" si="10"/>
        <v>0</v>
      </c>
      <c r="X70" s="375">
        <f t="shared" si="10"/>
        <v>0</v>
      </c>
      <c r="Y70" s="369"/>
    </row>
    <row r="71" spans="1:26" ht="13.5" thickBot="1" x14ac:dyDescent="0.25">
      <c r="A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6" ht="13.5" thickBot="1" x14ac:dyDescent="0.25">
      <c r="A72" s="361" t="s">
        <v>115</v>
      </c>
      <c r="B72" s="359">
        <f>ROW(A72)</f>
        <v>72</v>
      </c>
      <c r="C72" s="363" t="s">
        <v>118</v>
      </c>
      <c r="D72" s="353">
        <f>SUM(B75:Y75)</f>
        <v>5.25</v>
      </c>
      <c r="E72" s="363" t="s">
        <v>117</v>
      </c>
      <c r="F72" s="354">
        <f>D72/g/J72</f>
        <v>89.1946992864424</v>
      </c>
      <c r="G72" s="363" t="s">
        <v>59</v>
      </c>
      <c r="H72" s="64">
        <v>0.02</v>
      </c>
      <c r="I72" s="363" t="s">
        <v>274</v>
      </c>
      <c r="J72" s="355">
        <f>H72-L72</f>
        <v>6.0000000000000001E-3</v>
      </c>
      <c r="K72" s="363" t="s">
        <v>275</v>
      </c>
      <c r="L72" s="64">
        <v>1.4E-2</v>
      </c>
      <c r="M72" s="363" t="s">
        <v>60</v>
      </c>
      <c r="N72" s="65">
        <v>30</v>
      </c>
      <c r="O72" s="363" t="s">
        <v>62</v>
      </c>
      <c r="P72" s="65">
        <v>30</v>
      </c>
      <c r="Q72" s="363" t="s">
        <v>63</v>
      </c>
      <c r="R72" s="65">
        <v>70</v>
      </c>
      <c r="S72" s="363" t="s">
        <v>64</v>
      </c>
      <c r="T72" s="65">
        <v>15</v>
      </c>
      <c r="U72" s="363" t="s">
        <v>57</v>
      </c>
      <c r="V72" s="66" t="s">
        <v>120</v>
      </c>
      <c r="W72" s="463" t="s">
        <v>398</v>
      </c>
      <c r="X72" s="465">
        <v>1.2</v>
      </c>
      <c r="Y72" s="463" t="s">
        <v>397</v>
      </c>
      <c r="Z72" s="358">
        <v>4</v>
      </c>
    </row>
    <row r="73" spans="1:26" x14ac:dyDescent="0.2">
      <c r="A73" s="362" t="s">
        <v>33</v>
      </c>
      <c r="B73" s="370">
        <v>0</v>
      </c>
      <c r="C73" s="371">
        <v>0.2</v>
      </c>
      <c r="D73" s="371">
        <v>0.3</v>
      </c>
      <c r="E73" s="371">
        <v>0.55000000000000004</v>
      </c>
      <c r="F73" s="371">
        <v>1.05</v>
      </c>
      <c r="G73" s="371">
        <v>1.1499999999999999</v>
      </c>
      <c r="H73" s="371">
        <v>1.1499999999999999</v>
      </c>
      <c r="I73" s="371">
        <v>1.1499999999999999</v>
      </c>
      <c r="J73" s="371">
        <v>1.1499999999999999</v>
      </c>
      <c r="K73" s="371">
        <v>1.1499999999999999</v>
      </c>
      <c r="L73" s="371">
        <v>1.1499999999999999</v>
      </c>
      <c r="M73" s="371">
        <v>1.1499999999999999</v>
      </c>
      <c r="N73" s="371">
        <v>1.1499999999999999</v>
      </c>
      <c r="O73" s="371">
        <v>1.1499999999999999</v>
      </c>
      <c r="P73" s="371">
        <v>1.1499999999999999</v>
      </c>
      <c r="Q73" s="371">
        <v>1.1499999999999999</v>
      </c>
      <c r="R73" s="371">
        <v>1.1499999999999999</v>
      </c>
      <c r="S73" s="371">
        <v>1.1499999999999999</v>
      </c>
      <c r="T73" s="371">
        <v>1.1499999999999999</v>
      </c>
      <c r="U73" s="371">
        <v>1.1499999999999999</v>
      </c>
      <c r="V73" s="371">
        <v>1.1499999999999999</v>
      </c>
      <c r="W73" s="371">
        <v>1.1499999999999999</v>
      </c>
      <c r="X73" s="371">
        <v>1.1499999999999999</v>
      </c>
      <c r="Y73" s="381">
        <v>1000</v>
      </c>
    </row>
    <row r="74" spans="1:26" x14ac:dyDescent="0.2">
      <c r="A74" s="378" t="s">
        <v>34</v>
      </c>
      <c r="B74" s="372">
        <v>0</v>
      </c>
      <c r="C74" s="373">
        <v>10</v>
      </c>
      <c r="D74" s="373">
        <v>6</v>
      </c>
      <c r="E74" s="373">
        <v>4</v>
      </c>
      <c r="F74" s="373">
        <v>4</v>
      </c>
      <c r="G74" s="373">
        <v>0</v>
      </c>
      <c r="H74" s="373">
        <v>0</v>
      </c>
      <c r="I74" s="373">
        <v>0</v>
      </c>
      <c r="J74" s="373">
        <v>0</v>
      </c>
      <c r="K74" s="373">
        <v>0</v>
      </c>
      <c r="L74" s="373">
        <v>0</v>
      </c>
      <c r="M74" s="373">
        <v>0</v>
      </c>
      <c r="N74" s="373">
        <v>0</v>
      </c>
      <c r="O74" s="373">
        <v>0</v>
      </c>
      <c r="P74" s="373">
        <v>0</v>
      </c>
      <c r="Q74" s="373">
        <v>0</v>
      </c>
      <c r="R74" s="373">
        <v>0</v>
      </c>
      <c r="S74" s="373">
        <v>0</v>
      </c>
      <c r="T74" s="373">
        <v>0</v>
      </c>
      <c r="U74" s="373">
        <v>0</v>
      </c>
      <c r="V74" s="373">
        <v>0</v>
      </c>
      <c r="W74" s="373">
        <v>0</v>
      </c>
      <c r="X74" s="373">
        <v>0</v>
      </c>
      <c r="Y74" s="382">
        <v>0</v>
      </c>
    </row>
    <row r="75" spans="1:26" ht="13.5" thickBot="1" x14ac:dyDescent="0.25">
      <c r="A75" s="379" t="s">
        <v>119</v>
      </c>
      <c r="B75" s="374">
        <f t="shared" ref="B75:V75" si="11">(C74+B74)*(C73-B73)/2</f>
        <v>1</v>
      </c>
      <c r="C75" s="375">
        <f t="shared" si="11"/>
        <v>0.79999999999999982</v>
      </c>
      <c r="D75" s="375">
        <f t="shared" si="11"/>
        <v>1.2500000000000002</v>
      </c>
      <c r="E75" s="375">
        <f t="shared" si="11"/>
        <v>2</v>
      </c>
      <c r="F75" s="375">
        <f t="shared" si="11"/>
        <v>0.19999999999999973</v>
      </c>
      <c r="G75" s="375">
        <f t="shared" si="11"/>
        <v>0</v>
      </c>
      <c r="H75" s="375">
        <f t="shared" si="11"/>
        <v>0</v>
      </c>
      <c r="I75" s="375">
        <f t="shared" si="11"/>
        <v>0</v>
      </c>
      <c r="J75" s="375">
        <f>(K74+J74)*(K73-J73)/2</f>
        <v>0</v>
      </c>
      <c r="K75" s="375">
        <f t="shared" si="11"/>
        <v>0</v>
      </c>
      <c r="L75" s="375">
        <f t="shared" si="11"/>
        <v>0</v>
      </c>
      <c r="M75" s="375">
        <f t="shared" si="11"/>
        <v>0</v>
      </c>
      <c r="N75" s="375">
        <f t="shared" si="11"/>
        <v>0</v>
      </c>
      <c r="O75" s="375">
        <f t="shared" si="11"/>
        <v>0</v>
      </c>
      <c r="P75" s="375">
        <f t="shared" si="11"/>
        <v>0</v>
      </c>
      <c r="Q75" s="375">
        <f t="shared" si="11"/>
        <v>0</v>
      </c>
      <c r="R75" s="375">
        <f t="shared" si="11"/>
        <v>0</v>
      </c>
      <c r="S75" s="375">
        <f>(T74+S74)*(T73-S73)/2</f>
        <v>0</v>
      </c>
      <c r="T75" s="375">
        <f t="shared" si="11"/>
        <v>0</v>
      </c>
      <c r="U75" s="375">
        <f t="shared" si="11"/>
        <v>0</v>
      </c>
      <c r="V75" s="375">
        <f t="shared" si="11"/>
        <v>0</v>
      </c>
      <c r="W75" s="375">
        <f>(X74+W74)*(X73-W73)/2</f>
        <v>0</v>
      </c>
      <c r="X75" s="375">
        <f>(Y74+X74)*(Y73-X73)/2</f>
        <v>0</v>
      </c>
      <c r="Y75" s="369"/>
    </row>
    <row r="76" spans="1:26" ht="13.5" thickBot="1" x14ac:dyDescent="0.2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6" ht="13.5" thickBot="1" x14ac:dyDescent="0.25">
      <c r="A77" s="361" t="s">
        <v>116</v>
      </c>
      <c r="B77" s="359">
        <f>ROW(A77)</f>
        <v>77</v>
      </c>
      <c r="C77" s="363" t="s">
        <v>118</v>
      </c>
      <c r="D77" s="353">
        <f>SUM(B80:Y80)</f>
        <v>10.26</v>
      </c>
      <c r="E77" s="363" t="s">
        <v>117</v>
      </c>
      <c r="F77" s="354">
        <f>D77/g/J77</f>
        <v>80.451658433309802</v>
      </c>
      <c r="G77" s="363" t="s">
        <v>59</v>
      </c>
      <c r="H77" s="64">
        <v>2.4E-2</v>
      </c>
      <c r="I77" s="363" t="s">
        <v>274</v>
      </c>
      <c r="J77" s="355">
        <f>H77-L77</f>
        <v>1.3000000000000001E-2</v>
      </c>
      <c r="K77" s="363" t="s">
        <v>275</v>
      </c>
      <c r="L77" s="64">
        <v>1.0999999999999999E-2</v>
      </c>
      <c r="M77" s="363" t="s">
        <v>60</v>
      </c>
      <c r="N77" s="65">
        <v>30</v>
      </c>
      <c r="O77" s="363" t="s">
        <v>62</v>
      </c>
      <c r="P77" s="65">
        <v>30</v>
      </c>
      <c r="Q77" s="363" t="s">
        <v>63</v>
      </c>
      <c r="R77" s="65">
        <v>70</v>
      </c>
      <c r="S77" s="363" t="s">
        <v>64</v>
      </c>
      <c r="T77" s="65">
        <v>15</v>
      </c>
      <c r="U77" s="363" t="s">
        <v>57</v>
      </c>
      <c r="V77" s="66" t="s">
        <v>120</v>
      </c>
      <c r="W77" s="463" t="s">
        <v>398</v>
      </c>
      <c r="X77" s="465">
        <v>1.7</v>
      </c>
      <c r="Y77" s="463" t="s">
        <v>397</v>
      </c>
      <c r="Z77" s="358">
        <v>3</v>
      </c>
    </row>
    <row r="78" spans="1:26" x14ac:dyDescent="0.2">
      <c r="A78" s="362" t="s">
        <v>33</v>
      </c>
      <c r="B78" s="370">
        <v>0</v>
      </c>
      <c r="C78" s="371">
        <v>0.2</v>
      </c>
      <c r="D78" s="371">
        <v>0.3</v>
      </c>
      <c r="E78" s="371">
        <v>0.6</v>
      </c>
      <c r="F78" s="371">
        <v>0.8</v>
      </c>
      <c r="G78" s="371">
        <v>2</v>
      </c>
      <c r="H78" s="371">
        <v>2.1</v>
      </c>
      <c r="I78" s="371">
        <v>2.1</v>
      </c>
      <c r="J78" s="371">
        <v>2.1</v>
      </c>
      <c r="K78" s="371">
        <v>2.1</v>
      </c>
      <c r="L78" s="371">
        <v>2.1</v>
      </c>
      <c r="M78" s="371">
        <v>2.1</v>
      </c>
      <c r="N78" s="371">
        <v>2.1</v>
      </c>
      <c r="O78" s="371">
        <v>2.1</v>
      </c>
      <c r="P78" s="371">
        <v>2.1</v>
      </c>
      <c r="Q78" s="371">
        <v>2.1</v>
      </c>
      <c r="R78" s="371">
        <v>2.1</v>
      </c>
      <c r="S78" s="371">
        <v>2.1</v>
      </c>
      <c r="T78" s="371">
        <v>2.1</v>
      </c>
      <c r="U78" s="371">
        <v>2.1</v>
      </c>
      <c r="V78" s="371">
        <v>2.1</v>
      </c>
      <c r="W78" s="371">
        <v>2.1</v>
      </c>
      <c r="X78" s="371">
        <v>2.1</v>
      </c>
      <c r="Y78" s="381">
        <v>1000</v>
      </c>
    </row>
    <row r="79" spans="1:26" x14ac:dyDescent="0.2">
      <c r="A79" s="378" t="s">
        <v>34</v>
      </c>
      <c r="B79" s="372">
        <v>0</v>
      </c>
      <c r="C79" s="373">
        <v>11</v>
      </c>
      <c r="D79" s="373">
        <v>7</v>
      </c>
      <c r="E79" s="373">
        <v>4</v>
      </c>
      <c r="F79" s="373">
        <v>4.5999999999999996</v>
      </c>
      <c r="G79" s="373">
        <v>4.5999999999999996</v>
      </c>
      <c r="H79" s="373">
        <v>0</v>
      </c>
      <c r="I79" s="373">
        <v>0</v>
      </c>
      <c r="J79" s="373">
        <v>0</v>
      </c>
      <c r="K79" s="373">
        <v>0</v>
      </c>
      <c r="L79" s="373">
        <v>0</v>
      </c>
      <c r="M79" s="373">
        <v>0</v>
      </c>
      <c r="N79" s="373">
        <v>0</v>
      </c>
      <c r="O79" s="373">
        <v>0</v>
      </c>
      <c r="P79" s="373">
        <v>0</v>
      </c>
      <c r="Q79" s="373">
        <v>0</v>
      </c>
      <c r="R79" s="373">
        <v>0</v>
      </c>
      <c r="S79" s="373">
        <v>0</v>
      </c>
      <c r="T79" s="373">
        <v>0</v>
      </c>
      <c r="U79" s="373">
        <v>0</v>
      </c>
      <c r="V79" s="373">
        <v>0</v>
      </c>
      <c r="W79" s="373">
        <v>0</v>
      </c>
      <c r="X79" s="373">
        <v>0</v>
      </c>
      <c r="Y79" s="382">
        <v>0</v>
      </c>
    </row>
    <row r="80" spans="1:26" ht="13.5" thickBot="1" x14ac:dyDescent="0.25">
      <c r="A80" s="379" t="s">
        <v>119</v>
      </c>
      <c r="B80" s="374">
        <f t="shared" ref="B80:G80" si="12">(C79+B79)*(C78-B78)/2</f>
        <v>1.1000000000000001</v>
      </c>
      <c r="C80" s="375">
        <f t="shared" si="12"/>
        <v>0.8999999999999998</v>
      </c>
      <c r="D80" s="375">
        <f t="shared" si="12"/>
        <v>1.65</v>
      </c>
      <c r="E80" s="375">
        <f t="shared" si="12"/>
        <v>0.86000000000000021</v>
      </c>
      <c r="F80" s="375">
        <f t="shared" si="12"/>
        <v>5.52</v>
      </c>
      <c r="G80" s="375">
        <f t="shared" si="12"/>
        <v>0.23000000000000018</v>
      </c>
      <c r="H80" s="375">
        <f t="shared" ref="H80:V80" si="13">(I79+H79)*(I78-H78)/2</f>
        <v>0</v>
      </c>
      <c r="I80" s="375">
        <f t="shared" si="13"/>
        <v>0</v>
      </c>
      <c r="J80" s="375">
        <f>(K79+J79)*(K78-J78)/2</f>
        <v>0</v>
      </c>
      <c r="K80" s="375">
        <f t="shared" si="13"/>
        <v>0</v>
      </c>
      <c r="L80" s="375">
        <f t="shared" si="13"/>
        <v>0</v>
      </c>
      <c r="M80" s="375">
        <f t="shared" si="13"/>
        <v>0</v>
      </c>
      <c r="N80" s="375">
        <f t="shared" si="13"/>
        <v>0</v>
      </c>
      <c r="O80" s="375">
        <f t="shared" si="13"/>
        <v>0</v>
      </c>
      <c r="P80" s="375">
        <f t="shared" si="13"/>
        <v>0</v>
      </c>
      <c r="Q80" s="375">
        <f t="shared" si="13"/>
        <v>0</v>
      </c>
      <c r="R80" s="375">
        <f t="shared" si="13"/>
        <v>0</v>
      </c>
      <c r="S80" s="375">
        <f>(T79+S79)*(T78-S78)/2</f>
        <v>0</v>
      </c>
      <c r="T80" s="375">
        <f t="shared" si="13"/>
        <v>0</v>
      </c>
      <c r="U80" s="375">
        <f t="shared" si="13"/>
        <v>0</v>
      </c>
      <c r="V80" s="375">
        <f t="shared" si="13"/>
        <v>0</v>
      </c>
      <c r="W80" s="375">
        <f>(X79+W79)*(X78-W78)/2</f>
        <v>0</v>
      </c>
      <c r="X80" s="375">
        <f>(Y79+X79)*(Y78-X78)/2</f>
        <v>0</v>
      </c>
      <c r="Y80" s="369"/>
    </row>
    <row r="81" spans="1:26" ht="13.5" thickBot="1" x14ac:dyDescent="0.25">
      <c r="A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6" ht="13.5" thickBot="1" x14ac:dyDescent="0.25">
      <c r="A82" s="361" t="s">
        <v>333</v>
      </c>
      <c r="B82" s="359">
        <f>ROW(A82)</f>
        <v>82</v>
      </c>
      <c r="C82" s="363" t="s">
        <v>118</v>
      </c>
      <c r="D82" s="353">
        <f>SUM(B85:Y85)</f>
        <v>20.52</v>
      </c>
      <c r="E82" s="363" t="s">
        <v>117</v>
      </c>
      <c r="F82" s="354">
        <f>D82/g/J82</f>
        <v>80.451658433309802</v>
      </c>
      <c r="G82" s="363" t="s">
        <v>59</v>
      </c>
      <c r="H82" s="64">
        <f>H77*2</f>
        <v>4.8000000000000001E-2</v>
      </c>
      <c r="I82" s="363" t="s">
        <v>274</v>
      </c>
      <c r="J82" s="355">
        <f>H82-L82</f>
        <v>2.6000000000000002E-2</v>
      </c>
      <c r="K82" s="363" t="s">
        <v>275</v>
      </c>
      <c r="L82" s="64">
        <f>L77*2</f>
        <v>2.1999999999999999E-2</v>
      </c>
      <c r="M82" s="363" t="s">
        <v>60</v>
      </c>
      <c r="N82" s="65">
        <v>30</v>
      </c>
      <c r="O82" s="363" t="s">
        <v>62</v>
      </c>
      <c r="P82" s="65">
        <v>30</v>
      </c>
      <c r="Q82" s="363" t="s">
        <v>63</v>
      </c>
      <c r="R82" s="65">
        <v>70</v>
      </c>
      <c r="S82" s="363" t="s">
        <v>64</v>
      </c>
      <c r="T82" s="65">
        <v>30</v>
      </c>
      <c r="U82" s="363" t="s">
        <v>57</v>
      </c>
      <c r="V82" s="66" t="s">
        <v>120</v>
      </c>
      <c r="W82" s="463" t="s">
        <v>398</v>
      </c>
      <c r="X82" s="465">
        <v>1.7</v>
      </c>
      <c r="Y82" s="463" t="s">
        <v>397</v>
      </c>
      <c r="Z82" s="358">
        <v>3</v>
      </c>
    </row>
    <row r="83" spans="1:26" x14ac:dyDescent="0.2">
      <c r="A83" s="362" t="s">
        <v>33</v>
      </c>
      <c r="B83" s="370">
        <v>0</v>
      </c>
      <c r="C83" s="371">
        <v>0.2</v>
      </c>
      <c r="D83" s="371">
        <v>0.3</v>
      </c>
      <c r="E83" s="371">
        <v>0.6</v>
      </c>
      <c r="F83" s="371">
        <v>0.8</v>
      </c>
      <c r="G83" s="371">
        <v>2</v>
      </c>
      <c r="H83" s="371">
        <v>2.1</v>
      </c>
      <c r="I83" s="371">
        <v>2.1</v>
      </c>
      <c r="J83" s="371">
        <v>2.1</v>
      </c>
      <c r="K83" s="371">
        <v>2.1</v>
      </c>
      <c r="L83" s="371">
        <v>2.1</v>
      </c>
      <c r="M83" s="371">
        <v>2.1</v>
      </c>
      <c r="N83" s="371">
        <v>2.1</v>
      </c>
      <c r="O83" s="371">
        <v>2.1</v>
      </c>
      <c r="P83" s="371">
        <v>2.1</v>
      </c>
      <c r="Q83" s="371">
        <v>2.1</v>
      </c>
      <c r="R83" s="371">
        <v>2.1</v>
      </c>
      <c r="S83" s="371">
        <v>2.1</v>
      </c>
      <c r="T83" s="371">
        <v>2.1</v>
      </c>
      <c r="U83" s="371">
        <v>2.1</v>
      </c>
      <c r="V83" s="371">
        <v>2.1</v>
      </c>
      <c r="W83" s="371">
        <v>2.1</v>
      </c>
      <c r="X83" s="371">
        <v>2.1</v>
      </c>
      <c r="Y83" s="381">
        <v>1000</v>
      </c>
    </row>
    <row r="84" spans="1:26" x14ac:dyDescent="0.2">
      <c r="A84" s="378" t="s">
        <v>34</v>
      </c>
      <c r="B84" s="372">
        <f>B79*2</f>
        <v>0</v>
      </c>
      <c r="C84" s="373">
        <f t="shared" ref="C84:X84" si="14">C79*2</f>
        <v>22</v>
      </c>
      <c r="D84" s="373">
        <f t="shared" si="14"/>
        <v>14</v>
      </c>
      <c r="E84" s="373">
        <f t="shared" si="14"/>
        <v>8</v>
      </c>
      <c r="F84" s="373">
        <f t="shared" si="14"/>
        <v>9.1999999999999993</v>
      </c>
      <c r="G84" s="373">
        <f t="shared" si="14"/>
        <v>9.1999999999999993</v>
      </c>
      <c r="H84" s="373">
        <f t="shared" si="14"/>
        <v>0</v>
      </c>
      <c r="I84" s="373">
        <f t="shared" si="14"/>
        <v>0</v>
      </c>
      <c r="J84" s="373">
        <f t="shared" si="14"/>
        <v>0</v>
      </c>
      <c r="K84" s="373">
        <f t="shared" si="14"/>
        <v>0</v>
      </c>
      <c r="L84" s="373">
        <f t="shared" si="14"/>
        <v>0</v>
      </c>
      <c r="M84" s="373">
        <f t="shared" si="14"/>
        <v>0</v>
      </c>
      <c r="N84" s="373">
        <f t="shared" si="14"/>
        <v>0</v>
      </c>
      <c r="O84" s="373">
        <f t="shared" si="14"/>
        <v>0</v>
      </c>
      <c r="P84" s="373">
        <f t="shared" si="14"/>
        <v>0</v>
      </c>
      <c r="Q84" s="373">
        <f t="shared" si="14"/>
        <v>0</v>
      </c>
      <c r="R84" s="373">
        <f t="shared" si="14"/>
        <v>0</v>
      </c>
      <c r="S84" s="373">
        <f t="shared" si="14"/>
        <v>0</v>
      </c>
      <c r="T84" s="373">
        <f t="shared" si="14"/>
        <v>0</v>
      </c>
      <c r="U84" s="373">
        <f t="shared" si="14"/>
        <v>0</v>
      </c>
      <c r="V84" s="373">
        <f t="shared" si="14"/>
        <v>0</v>
      </c>
      <c r="W84" s="373">
        <f t="shared" si="14"/>
        <v>0</v>
      </c>
      <c r="X84" s="373">
        <f t="shared" si="14"/>
        <v>0</v>
      </c>
      <c r="Y84" s="382">
        <v>0</v>
      </c>
    </row>
    <row r="85" spans="1:26" ht="13.5" thickBot="1" x14ac:dyDescent="0.25">
      <c r="A85" s="379" t="s">
        <v>119</v>
      </c>
      <c r="B85" s="374">
        <f t="shared" ref="B85:X85" si="15">(C84+B84)*(C83-B83)/2</f>
        <v>2.2000000000000002</v>
      </c>
      <c r="C85" s="375">
        <f t="shared" si="15"/>
        <v>1.7999999999999996</v>
      </c>
      <c r="D85" s="375">
        <f t="shared" si="15"/>
        <v>3.3</v>
      </c>
      <c r="E85" s="375">
        <f t="shared" si="15"/>
        <v>1.7200000000000004</v>
      </c>
      <c r="F85" s="375">
        <f t="shared" si="15"/>
        <v>11.04</v>
      </c>
      <c r="G85" s="375">
        <f t="shared" si="15"/>
        <v>0.46000000000000035</v>
      </c>
      <c r="H85" s="375">
        <f t="shared" si="15"/>
        <v>0</v>
      </c>
      <c r="I85" s="375">
        <f t="shared" si="15"/>
        <v>0</v>
      </c>
      <c r="J85" s="375">
        <f t="shared" si="15"/>
        <v>0</v>
      </c>
      <c r="K85" s="375">
        <f t="shared" si="15"/>
        <v>0</v>
      </c>
      <c r="L85" s="375">
        <f t="shared" si="15"/>
        <v>0</v>
      </c>
      <c r="M85" s="375">
        <f t="shared" si="15"/>
        <v>0</v>
      </c>
      <c r="N85" s="375">
        <f t="shared" si="15"/>
        <v>0</v>
      </c>
      <c r="O85" s="375">
        <f t="shared" si="15"/>
        <v>0</v>
      </c>
      <c r="P85" s="375">
        <f t="shared" si="15"/>
        <v>0</v>
      </c>
      <c r="Q85" s="375">
        <f t="shared" si="15"/>
        <v>0</v>
      </c>
      <c r="R85" s="375">
        <f t="shared" si="15"/>
        <v>0</v>
      </c>
      <c r="S85" s="375">
        <f t="shared" si="15"/>
        <v>0</v>
      </c>
      <c r="T85" s="375">
        <f t="shared" si="15"/>
        <v>0</v>
      </c>
      <c r="U85" s="375">
        <f t="shared" si="15"/>
        <v>0</v>
      </c>
      <c r="V85" s="375">
        <f t="shared" si="15"/>
        <v>0</v>
      </c>
      <c r="W85" s="375">
        <f t="shared" si="15"/>
        <v>0</v>
      </c>
      <c r="X85" s="375">
        <f t="shared" si="15"/>
        <v>0</v>
      </c>
      <c r="Y85" s="369"/>
    </row>
    <row r="86" spans="1:26" ht="13.5" thickBot="1" x14ac:dyDescent="0.2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6" ht="13.5" thickBot="1" x14ac:dyDescent="0.25">
      <c r="A87" s="361" t="s">
        <v>334</v>
      </c>
      <c r="B87" s="359">
        <f>ROW(A87)</f>
        <v>87</v>
      </c>
      <c r="C87" s="363" t="s">
        <v>118</v>
      </c>
      <c r="D87" s="353">
        <f>SUM(B90:Y90)</f>
        <v>30.779999999999998</v>
      </c>
      <c r="E87" s="363" t="s">
        <v>117</v>
      </c>
      <c r="F87" s="354">
        <f>D87/g/J87</f>
        <v>80.451658433309774</v>
      </c>
      <c r="G87" s="363" t="s">
        <v>59</v>
      </c>
      <c r="H87" s="64">
        <f>H77*3</f>
        <v>7.2000000000000008E-2</v>
      </c>
      <c r="I87" s="363" t="s">
        <v>274</v>
      </c>
      <c r="J87" s="355">
        <f>H87-L87</f>
        <v>3.9000000000000007E-2</v>
      </c>
      <c r="K87" s="363" t="s">
        <v>275</v>
      </c>
      <c r="L87" s="64">
        <f>L77*3</f>
        <v>3.3000000000000002E-2</v>
      </c>
      <c r="M87" s="363" t="s">
        <v>60</v>
      </c>
      <c r="N87" s="65">
        <v>30</v>
      </c>
      <c r="O87" s="363" t="s">
        <v>62</v>
      </c>
      <c r="P87" s="65">
        <v>30</v>
      </c>
      <c r="Q87" s="363" t="s">
        <v>63</v>
      </c>
      <c r="R87" s="65">
        <v>70</v>
      </c>
      <c r="S87" s="363" t="s">
        <v>64</v>
      </c>
      <c r="T87" s="65">
        <v>40</v>
      </c>
      <c r="U87" s="363" t="s">
        <v>57</v>
      </c>
      <c r="V87" s="66" t="s">
        <v>120</v>
      </c>
      <c r="W87" s="463" t="s">
        <v>398</v>
      </c>
      <c r="X87" s="465">
        <v>1.7</v>
      </c>
      <c r="Y87" s="463" t="s">
        <v>397</v>
      </c>
      <c r="Z87" s="358">
        <v>3</v>
      </c>
    </row>
    <row r="88" spans="1:26" x14ac:dyDescent="0.2">
      <c r="A88" s="362" t="s">
        <v>33</v>
      </c>
      <c r="B88" s="370">
        <v>0</v>
      </c>
      <c r="C88" s="371">
        <v>0.2</v>
      </c>
      <c r="D88" s="371">
        <v>0.3</v>
      </c>
      <c r="E88" s="371">
        <v>0.6</v>
      </c>
      <c r="F88" s="371">
        <v>0.8</v>
      </c>
      <c r="G88" s="371">
        <v>2</v>
      </c>
      <c r="H88" s="371">
        <v>2.1</v>
      </c>
      <c r="I88" s="371">
        <v>2.1</v>
      </c>
      <c r="J88" s="371">
        <v>2.1</v>
      </c>
      <c r="K88" s="371">
        <v>2.1</v>
      </c>
      <c r="L88" s="371">
        <v>2.1</v>
      </c>
      <c r="M88" s="371">
        <v>2.1</v>
      </c>
      <c r="N88" s="371">
        <v>2.1</v>
      </c>
      <c r="O88" s="371">
        <v>2.1</v>
      </c>
      <c r="P88" s="371">
        <v>2.1</v>
      </c>
      <c r="Q88" s="371">
        <v>2.1</v>
      </c>
      <c r="R88" s="371">
        <v>2.1</v>
      </c>
      <c r="S88" s="371">
        <v>2.1</v>
      </c>
      <c r="T88" s="371">
        <v>2.1</v>
      </c>
      <c r="U88" s="371">
        <v>2.1</v>
      </c>
      <c r="V88" s="371">
        <v>2.1</v>
      </c>
      <c r="W88" s="371">
        <v>2.1</v>
      </c>
      <c r="X88" s="371">
        <v>2.1</v>
      </c>
      <c r="Y88" s="381">
        <v>1000</v>
      </c>
    </row>
    <row r="89" spans="1:26" x14ac:dyDescent="0.2">
      <c r="A89" s="378" t="s">
        <v>34</v>
      </c>
      <c r="B89" s="372">
        <f>B79*3</f>
        <v>0</v>
      </c>
      <c r="C89" s="373">
        <f t="shared" ref="C89:X89" si="16">C79*3</f>
        <v>33</v>
      </c>
      <c r="D89" s="373">
        <f t="shared" si="16"/>
        <v>21</v>
      </c>
      <c r="E89" s="373">
        <f t="shared" si="16"/>
        <v>12</v>
      </c>
      <c r="F89" s="373">
        <f t="shared" si="16"/>
        <v>13.799999999999999</v>
      </c>
      <c r="G89" s="373">
        <f t="shared" si="16"/>
        <v>13.799999999999999</v>
      </c>
      <c r="H89" s="373">
        <f t="shared" si="16"/>
        <v>0</v>
      </c>
      <c r="I89" s="373">
        <f t="shared" si="16"/>
        <v>0</v>
      </c>
      <c r="J89" s="373">
        <f t="shared" si="16"/>
        <v>0</v>
      </c>
      <c r="K89" s="373">
        <f t="shared" si="16"/>
        <v>0</v>
      </c>
      <c r="L89" s="373">
        <f t="shared" si="16"/>
        <v>0</v>
      </c>
      <c r="M89" s="373">
        <f t="shared" si="16"/>
        <v>0</v>
      </c>
      <c r="N89" s="373">
        <f t="shared" si="16"/>
        <v>0</v>
      </c>
      <c r="O89" s="373">
        <f t="shared" si="16"/>
        <v>0</v>
      </c>
      <c r="P89" s="373">
        <f t="shared" si="16"/>
        <v>0</v>
      </c>
      <c r="Q89" s="373">
        <f t="shared" si="16"/>
        <v>0</v>
      </c>
      <c r="R89" s="373">
        <f t="shared" si="16"/>
        <v>0</v>
      </c>
      <c r="S89" s="373">
        <f t="shared" si="16"/>
        <v>0</v>
      </c>
      <c r="T89" s="373">
        <f t="shared" si="16"/>
        <v>0</v>
      </c>
      <c r="U89" s="373">
        <f t="shared" si="16"/>
        <v>0</v>
      </c>
      <c r="V89" s="373">
        <f t="shared" si="16"/>
        <v>0</v>
      </c>
      <c r="W89" s="373">
        <f t="shared" si="16"/>
        <v>0</v>
      </c>
      <c r="X89" s="373">
        <f t="shared" si="16"/>
        <v>0</v>
      </c>
      <c r="Y89" s="382">
        <v>0</v>
      </c>
    </row>
    <row r="90" spans="1:26" ht="13.5" thickBot="1" x14ac:dyDescent="0.25">
      <c r="A90" s="379" t="s">
        <v>119</v>
      </c>
      <c r="B90" s="374">
        <f t="shared" ref="B90:X90" si="17">(C89+B89)*(C88-B88)/2</f>
        <v>3.3000000000000003</v>
      </c>
      <c r="C90" s="375">
        <f t="shared" si="17"/>
        <v>2.6999999999999993</v>
      </c>
      <c r="D90" s="375">
        <f t="shared" si="17"/>
        <v>4.95</v>
      </c>
      <c r="E90" s="375">
        <f t="shared" si="17"/>
        <v>2.5800000000000005</v>
      </c>
      <c r="F90" s="375">
        <f t="shared" si="17"/>
        <v>16.559999999999999</v>
      </c>
      <c r="G90" s="375">
        <f t="shared" si="17"/>
        <v>0.69000000000000061</v>
      </c>
      <c r="H90" s="375">
        <f t="shared" si="17"/>
        <v>0</v>
      </c>
      <c r="I90" s="375">
        <f t="shared" si="17"/>
        <v>0</v>
      </c>
      <c r="J90" s="375">
        <f t="shared" si="17"/>
        <v>0</v>
      </c>
      <c r="K90" s="375">
        <f t="shared" si="17"/>
        <v>0</v>
      </c>
      <c r="L90" s="375">
        <f t="shared" si="17"/>
        <v>0</v>
      </c>
      <c r="M90" s="375">
        <f t="shared" si="17"/>
        <v>0</v>
      </c>
      <c r="N90" s="375">
        <f t="shared" si="17"/>
        <v>0</v>
      </c>
      <c r="O90" s="375">
        <f t="shared" si="17"/>
        <v>0</v>
      </c>
      <c r="P90" s="375">
        <f t="shared" si="17"/>
        <v>0</v>
      </c>
      <c r="Q90" s="375">
        <f t="shared" si="17"/>
        <v>0</v>
      </c>
      <c r="R90" s="375">
        <f t="shared" si="17"/>
        <v>0</v>
      </c>
      <c r="S90" s="375">
        <f t="shared" si="17"/>
        <v>0</v>
      </c>
      <c r="T90" s="375">
        <f t="shared" si="17"/>
        <v>0</v>
      </c>
      <c r="U90" s="375">
        <f t="shared" si="17"/>
        <v>0</v>
      </c>
      <c r="V90" s="375">
        <f t="shared" si="17"/>
        <v>0</v>
      </c>
      <c r="W90" s="375">
        <f t="shared" si="17"/>
        <v>0</v>
      </c>
      <c r="X90" s="375">
        <f t="shared" si="17"/>
        <v>0</v>
      </c>
      <c r="Y90" s="369"/>
    </row>
    <row r="91" spans="1:26" ht="13.5" thickBot="1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6" ht="13.5" thickBot="1" x14ac:dyDescent="0.25">
      <c r="A92" s="361" t="s">
        <v>545</v>
      </c>
      <c r="B92" s="359">
        <f>ROW(A92)</f>
        <v>92</v>
      </c>
      <c r="C92" s="363" t="s">
        <v>118</v>
      </c>
      <c r="D92" s="353">
        <f>SUM(B95:Y95)</f>
        <v>19.961989000000003</v>
      </c>
      <c r="E92" s="363" t="s">
        <v>117</v>
      </c>
      <c r="F92" s="354">
        <f>D92/g/J92</f>
        <v>118.30588744280873</v>
      </c>
      <c r="G92" s="363" t="s">
        <v>59</v>
      </c>
      <c r="H92" s="64">
        <v>2.8199999999999999E-2</v>
      </c>
      <c r="I92" s="363" t="s">
        <v>274</v>
      </c>
      <c r="J92" s="355">
        <f>H92-L92</f>
        <v>1.72E-2</v>
      </c>
      <c r="K92" s="363" t="s">
        <v>275</v>
      </c>
      <c r="L92" s="64">
        <v>1.0999999999999999E-2</v>
      </c>
      <c r="M92" s="363" t="s">
        <v>60</v>
      </c>
      <c r="N92" s="65">
        <v>30</v>
      </c>
      <c r="O92" s="363" t="s">
        <v>62</v>
      </c>
      <c r="P92" s="65">
        <v>30</v>
      </c>
      <c r="Q92" s="363" t="s">
        <v>63</v>
      </c>
      <c r="R92" s="65">
        <v>70</v>
      </c>
      <c r="S92" s="363" t="s">
        <v>64</v>
      </c>
      <c r="T92" s="65">
        <v>18</v>
      </c>
      <c r="U92" s="363" t="s">
        <v>57</v>
      </c>
      <c r="V92" s="66" t="s">
        <v>405</v>
      </c>
      <c r="W92" s="463" t="s">
        <v>398</v>
      </c>
      <c r="X92" s="465">
        <v>2.1</v>
      </c>
      <c r="Y92" s="463" t="s">
        <v>397</v>
      </c>
      <c r="Z92" s="358">
        <v>7</v>
      </c>
    </row>
    <row r="93" spans="1:26" x14ac:dyDescent="0.2">
      <c r="A93" s="362" t="s">
        <v>33</v>
      </c>
      <c r="B93" s="370">
        <v>0</v>
      </c>
      <c r="C93" s="472">
        <v>0.04</v>
      </c>
      <c r="D93" s="472">
        <v>0.11600000000000001</v>
      </c>
      <c r="E93" s="472">
        <v>0.21299999999999999</v>
      </c>
      <c r="F93" s="472">
        <v>0.28599999999999998</v>
      </c>
      <c r="G93" s="472">
        <v>0.32900000000000001</v>
      </c>
      <c r="H93" s="472">
        <v>0.36899999999999999</v>
      </c>
      <c r="I93" s="472">
        <v>0.42</v>
      </c>
      <c r="J93" s="472">
        <v>0.495</v>
      </c>
      <c r="K93" s="472">
        <v>0.59699999999999998</v>
      </c>
      <c r="L93" s="472">
        <v>1.7110000000000001</v>
      </c>
      <c r="M93" s="472">
        <v>1.8260000000000001</v>
      </c>
      <c r="N93" s="472">
        <v>1.917</v>
      </c>
      <c r="O93" s="472">
        <v>1.9750000000000001</v>
      </c>
      <c r="P93" s="472">
        <v>2.206</v>
      </c>
      <c r="Q93" s="472">
        <v>2.242</v>
      </c>
      <c r="R93" s="371">
        <v>2.5</v>
      </c>
      <c r="S93" s="371">
        <v>2.5</v>
      </c>
      <c r="T93" s="371">
        <v>2.5</v>
      </c>
      <c r="U93" s="371">
        <v>2.5</v>
      </c>
      <c r="V93" s="371">
        <v>2.5</v>
      </c>
      <c r="W93" s="371">
        <v>2.5</v>
      </c>
      <c r="X93" s="371">
        <v>2.5</v>
      </c>
      <c r="Y93" s="381">
        <v>1000</v>
      </c>
    </row>
    <row r="94" spans="1:26" x14ac:dyDescent="0.2">
      <c r="A94" s="378" t="s">
        <v>34</v>
      </c>
      <c r="B94" s="372">
        <v>0</v>
      </c>
      <c r="C94" s="472">
        <v>2.1110000000000002</v>
      </c>
      <c r="D94" s="472">
        <v>9.6850000000000005</v>
      </c>
      <c r="E94" s="472">
        <v>25</v>
      </c>
      <c r="F94" s="472">
        <v>15.738</v>
      </c>
      <c r="G94" s="472">
        <v>12.472</v>
      </c>
      <c r="H94" s="472">
        <v>10.67</v>
      </c>
      <c r="I94" s="472">
        <v>9.7129999999999992</v>
      </c>
      <c r="J94" s="472">
        <v>9.1780000000000008</v>
      </c>
      <c r="K94" s="472">
        <v>8.8960000000000008</v>
      </c>
      <c r="L94" s="472">
        <v>8.9250000000000007</v>
      </c>
      <c r="M94" s="472">
        <v>8.6989999999999998</v>
      </c>
      <c r="N94" s="472">
        <v>8.0519999999999996</v>
      </c>
      <c r="O94" s="472">
        <v>6.9539999999999997</v>
      </c>
      <c r="P94" s="472">
        <v>1.07</v>
      </c>
      <c r="Q94" s="472">
        <v>0</v>
      </c>
      <c r="R94" s="373">
        <v>0</v>
      </c>
      <c r="S94" s="373">
        <v>0</v>
      </c>
      <c r="T94" s="373">
        <v>0</v>
      </c>
      <c r="U94" s="373">
        <v>0</v>
      </c>
      <c r="V94" s="373">
        <v>0</v>
      </c>
      <c r="W94" s="373">
        <v>0</v>
      </c>
      <c r="X94" s="373">
        <v>0</v>
      </c>
      <c r="Y94" s="382">
        <v>0</v>
      </c>
    </row>
    <row r="95" spans="1:26" ht="13.5" thickBot="1" x14ac:dyDescent="0.25">
      <c r="A95" s="379" t="s">
        <v>119</v>
      </c>
      <c r="B95" s="374">
        <f t="shared" ref="B95:X95" si="18">(C94+B94)*(C93-B93)/2</f>
        <v>4.2220000000000008E-2</v>
      </c>
      <c r="C95" s="375">
        <f t="shared" si="18"/>
        <v>0.44824800000000009</v>
      </c>
      <c r="D95" s="375">
        <f t="shared" si="18"/>
        <v>1.6822225</v>
      </c>
      <c r="E95" s="375">
        <f t="shared" si="18"/>
        <v>1.4869369999999995</v>
      </c>
      <c r="F95" s="375">
        <f t="shared" si="18"/>
        <v>0.60651500000000058</v>
      </c>
      <c r="G95" s="375">
        <f t="shared" si="18"/>
        <v>0.46283999999999975</v>
      </c>
      <c r="H95" s="375">
        <f t="shared" si="18"/>
        <v>0.51976649999999991</v>
      </c>
      <c r="I95" s="375">
        <f t="shared" si="18"/>
        <v>0.7084125</v>
      </c>
      <c r="J95" s="375">
        <f t="shared" si="18"/>
        <v>0.92177399999999987</v>
      </c>
      <c r="K95" s="375">
        <f t="shared" si="18"/>
        <v>9.9262970000000017</v>
      </c>
      <c r="L95" s="375">
        <f t="shared" si="18"/>
        <v>1.0133799999999999</v>
      </c>
      <c r="M95" s="375">
        <f t="shared" si="18"/>
        <v>0.76217049999999964</v>
      </c>
      <c r="N95" s="375">
        <f t="shared" si="18"/>
        <v>0.43517400000000039</v>
      </c>
      <c r="O95" s="375">
        <f t="shared" si="18"/>
        <v>0.92677199999999937</v>
      </c>
      <c r="P95" s="375">
        <f t="shared" si="18"/>
        <v>1.9260000000000017E-2</v>
      </c>
      <c r="Q95" s="375">
        <f t="shared" si="18"/>
        <v>0</v>
      </c>
      <c r="R95" s="375">
        <f t="shared" si="18"/>
        <v>0</v>
      </c>
      <c r="S95" s="375">
        <f t="shared" si="18"/>
        <v>0</v>
      </c>
      <c r="T95" s="375">
        <f t="shared" si="18"/>
        <v>0</v>
      </c>
      <c r="U95" s="375">
        <f t="shared" si="18"/>
        <v>0</v>
      </c>
      <c r="V95" s="375">
        <f t="shared" si="18"/>
        <v>0</v>
      </c>
      <c r="W95" s="375">
        <f t="shared" si="18"/>
        <v>0</v>
      </c>
      <c r="X95" s="375">
        <f t="shared" si="18"/>
        <v>0</v>
      </c>
      <c r="Y95" s="369"/>
    </row>
    <row r="96" spans="1:26" ht="13.5" thickBot="1" x14ac:dyDescent="0.25">
      <c r="A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6" ht="13.5" thickBot="1" x14ac:dyDescent="0.25">
      <c r="A97" s="361" t="s">
        <v>543</v>
      </c>
      <c r="B97" s="359">
        <f>ROW(A97)</f>
        <v>97</v>
      </c>
      <c r="C97" s="363" t="s">
        <v>118</v>
      </c>
      <c r="D97" s="353">
        <f>SUM(B100:Y100)</f>
        <v>39.923978000000005</v>
      </c>
      <c r="E97" s="363" t="s">
        <v>117</v>
      </c>
      <c r="F97" s="354">
        <f>D97/g/J97</f>
        <v>118.30588744280873</v>
      </c>
      <c r="G97" s="363" t="s">
        <v>59</v>
      </c>
      <c r="H97" s="64">
        <f>H92*2</f>
        <v>5.6399999999999999E-2</v>
      </c>
      <c r="I97" s="363" t="s">
        <v>274</v>
      </c>
      <c r="J97" s="355">
        <f>H97-L97</f>
        <v>3.44E-2</v>
      </c>
      <c r="K97" s="363" t="s">
        <v>275</v>
      </c>
      <c r="L97" s="64">
        <f>L92*2</f>
        <v>2.1999999999999999E-2</v>
      </c>
      <c r="M97" s="363" t="s">
        <v>60</v>
      </c>
      <c r="N97" s="65">
        <v>30</v>
      </c>
      <c r="O97" s="363" t="s">
        <v>62</v>
      </c>
      <c r="P97" s="65">
        <v>30</v>
      </c>
      <c r="Q97" s="363" t="s">
        <v>63</v>
      </c>
      <c r="R97" s="65">
        <v>70</v>
      </c>
      <c r="S97" s="363" t="s">
        <v>64</v>
      </c>
      <c r="T97" s="65">
        <v>30</v>
      </c>
      <c r="U97" s="363" t="s">
        <v>57</v>
      </c>
      <c r="V97" s="66" t="s">
        <v>405</v>
      </c>
      <c r="W97" s="463" t="s">
        <v>398</v>
      </c>
      <c r="X97" s="465">
        <v>2.1</v>
      </c>
      <c r="Y97" s="463" t="s">
        <v>397</v>
      </c>
      <c r="Z97" s="358">
        <v>7</v>
      </c>
    </row>
    <row r="98" spans="1:26" x14ac:dyDescent="0.2">
      <c r="A98" s="362" t="s">
        <v>33</v>
      </c>
      <c r="B98" s="370">
        <v>0</v>
      </c>
      <c r="C98" s="371">
        <f>C93</f>
        <v>0.04</v>
      </c>
      <c r="D98" s="371">
        <f t="shared" ref="D98:X98" si="19">D93</f>
        <v>0.11600000000000001</v>
      </c>
      <c r="E98" s="371">
        <f t="shared" si="19"/>
        <v>0.21299999999999999</v>
      </c>
      <c r="F98" s="371">
        <f t="shared" si="19"/>
        <v>0.28599999999999998</v>
      </c>
      <c r="G98" s="371">
        <f t="shared" si="19"/>
        <v>0.32900000000000001</v>
      </c>
      <c r="H98" s="371">
        <f t="shared" si="19"/>
        <v>0.36899999999999999</v>
      </c>
      <c r="I98" s="371">
        <f t="shared" si="19"/>
        <v>0.42</v>
      </c>
      <c r="J98" s="371">
        <f t="shared" si="19"/>
        <v>0.495</v>
      </c>
      <c r="K98" s="371">
        <f t="shared" si="19"/>
        <v>0.59699999999999998</v>
      </c>
      <c r="L98" s="371">
        <f t="shared" si="19"/>
        <v>1.7110000000000001</v>
      </c>
      <c r="M98" s="371">
        <f t="shared" si="19"/>
        <v>1.8260000000000001</v>
      </c>
      <c r="N98" s="371">
        <f t="shared" si="19"/>
        <v>1.917</v>
      </c>
      <c r="O98" s="371">
        <f t="shared" si="19"/>
        <v>1.9750000000000001</v>
      </c>
      <c r="P98" s="371">
        <f t="shared" si="19"/>
        <v>2.206</v>
      </c>
      <c r="Q98" s="371">
        <f t="shared" si="19"/>
        <v>2.242</v>
      </c>
      <c r="R98" s="371">
        <f t="shared" si="19"/>
        <v>2.5</v>
      </c>
      <c r="S98" s="371">
        <f>S93</f>
        <v>2.5</v>
      </c>
      <c r="T98" s="371">
        <f t="shared" si="19"/>
        <v>2.5</v>
      </c>
      <c r="U98" s="371">
        <f t="shared" si="19"/>
        <v>2.5</v>
      </c>
      <c r="V98" s="371">
        <f t="shared" si="19"/>
        <v>2.5</v>
      </c>
      <c r="W98" s="371">
        <f t="shared" si="19"/>
        <v>2.5</v>
      </c>
      <c r="X98" s="371">
        <f t="shared" si="19"/>
        <v>2.5</v>
      </c>
      <c r="Y98" s="381">
        <v>1000</v>
      </c>
    </row>
    <row r="99" spans="1:26" x14ac:dyDescent="0.2">
      <c r="A99" s="378" t="s">
        <v>34</v>
      </c>
      <c r="B99" s="372">
        <f>B94*2</f>
        <v>0</v>
      </c>
      <c r="C99" s="373">
        <f t="shared" ref="C99:X99" si="20">C94*2</f>
        <v>4.2220000000000004</v>
      </c>
      <c r="D99" s="373">
        <f t="shared" si="20"/>
        <v>19.37</v>
      </c>
      <c r="E99" s="373">
        <f t="shared" si="20"/>
        <v>50</v>
      </c>
      <c r="F99" s="373">
        <f t="shared" si="20"/>
        <v>31.475999999999999</v>
      </c>
      <c r="G99" s="373">
        <f t="shared" si="20"/>
        <v>24.943999999999999</v>
      </c>
      <c r="H99" s="373">
        <f t="shared" si="20"/>
        <v>21.34</v>
      </c>
      <c r="I99" s="373">
        <f t="shared" si="20"/>
        <v>19.425999999999998</v>
      </c>
      <c r="J99" s="373">
        <f t="shared" si="20"/>
        <v>18.356000000000002</v>
      </c>
      <c r="K99" s="373">
        <f t="shared" si="20"/>
        <v>17.792000000000002</v>
      </c>
      <c r="L99" s="373">
        <f t="shared" si="20"/>
        <v>17.850000000000001</v>
      </c>
      <c r="M99" s="373">
        <f t="shared" si="20"/>
        <v>17.398</v>
      </c>
      <c r="N99" s="373">
        <f t="shared" si="20"/>
        <v>16.103999999999999</v>
      </c>
      <c r="O99" s="373">
        <f t="shared" si="20"/>
        <v>13.907999999999999</v>
      </c>
      <c r="P99" s="373">
        <f t="shared" si="20"/>
        <v>2.14</v>
      </c>
      <c r="Q99" s="373">
        <f t="shared" si="20"/>
        <v>0</v>
      </c>
      <c r="R99" s="373">
        <f t="shared" si="20"/>
        <v>0</v>
      </c>
      <c r="S99" s="373">
        <f t="shared" si="20"/>
        <v>0</v>
      </c>
      <c r="T99" s="373">
        <f t="shared" si="20"/>
        <v>0</v>
      </c>
      <c r="U99" s="373">
        <f t="shared" si="20"/>
        <v>0</v>
      </c>
      <c r="V99" s="373">
        <f t="shared" si="20"/>
        <v>0</v>
      </c>
      <c r="W99" s="373">
        <f t="shared" si="20"/>
        <v>0</v>
      </c>
      <c r="X99" s="373">
        <f t="shared" si="20"/>
        <v>0</v>
      </c>
      <c r="Y99" s="382">
        <v>0</v>
      </c>
    </row>
    <row r="100" spans="1:26" ht="13.5" thickBot="1" x14ac:dyDescent="0.25">
      <c r="A100" s="379" t="s">
        <v>119</v>
      </c>
      <c r="B100" s="374">
        <f t="shared" ref="B100:X100" si="21">(C99+B99)*(C98-B98)/2</f>
        <v>8.4440000000000015E-2</v>
      </c>
      <c r="C100" s="375">
        <f t="shared" si="21"/>
        <v>0.89649600000000018</v>
      </c>
      <c r="D100" s="375">
        <f t="shared" si="21"/>
        <v>3.3644449999999999</v>
      </c>
      <c r="E100" s="375">
        <f t="shared" si="21"/>
        <v>2.973873999999999</v>
      </c>
      <c r="F100" s="375">
        <f t="shared" si="21"/>
        <v>1.2130300000000012</v>
      </c>
      <c r="G100" s="375">
        <f t="shared" si="21"/>
        <v>0.9256799999999995</v>
      </c>
      <c r="H100" s="375">
        <f t="shared" si="21"/>
        <v>1.0395329999999998</v>
      </c>
      <c r="I100" s="375">
        <f t="shared" si="21"/>
        <v>1.416825</v>
      </c>
      <c r="J100" s="375">
        <f t="shared" si="21"/>
        <v>1.8435479999999997</v>
      </c>
      <c r="K100" s="375">
        <f t="shared" si="21"/>
        <v>19.852594000000003</v>
      </c>
      <c r="L100" s="375">
        <f t="shared" si="21"/>
        <v>2.0267599999999999</v>
      </c>
      <c r="M100" s="375">
        <f t="shared" si="21"/>
        <v>1.5243409999999993</v>
      </c>
      <c r="N100" s="375">
        <f t="shared" si="21"/>
        <v>0.87034800000000079</v>
      </c>
      <c r="O100" s="375">
        <f t="shared" si="21"/>
        <v>1.8535439999999987</v>
      </c>
      <c r="P100" s="375">
        <f t="shared" si="21"/>
        <v>3.8520000000000033E-2</v>
      </c>
      <c r="Q100" s="375">
        <f t="shared" si="21"/>
        <v>0</v>
      </c>
      <c r="R100" s="375">
        <f t="shared" si="21"/>
        <v>0</v>
      </c>
      <c r="S100" s="375">
        <f t="shared" si="21"/>
        <v>0</v>
      </c>
      <c r="T100" s="375">
        <f t="shared" si="21"/>
        <v>0</v>
      </c>
      <c r="U100" s="375">
        <f t="shared" si="21"/>
        <v>0</v>
      </c>
      <c r="V100" s="375">
        <f t="shared" si="21"/>
        <v>0</v>
      </c>
      <c r="W100" s="375">
        <f t="shared" si="21"/>
        <v>0</v>
      </c>
      <c r="X100" s="375">
        <f t="shared" si="21"/>
        <v>0</v>
      </c>
      <c r="Y100" s="369"/>
    </row>
    <row r="101" spans="1:26" ht="13.5" thickBot="1" x14ac:dyDescent="0.2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6" ht="13.5" thickBot="1" x14ac:dyDescent="0.25">
      <c r="A102" s="361" t="s">
        <v>544</v>
      </c>
      <c r="B102" s="359">
        <f>ROW(A102)</f>
        <v>102</v>
      </c>
      <c r="C102" s="363" t="s">
        <v>118</v>
      </c>
      <c r="D102" s="353">
        <f>SUM(B105:Y105)</f>
        <v>59.885967000000008</v>
      </c>
      <c r="E102" s="363" t="s">
        <v>117</v>
      </c>
      <c r="F102" s="354">
        <f>D102/g/J102</f>
        <v>118.30588744280874</v>
      </c>
      <c r="G102" s="363" t="s">
        <v>59</v>
      </c>
      <c r="H102" s="64">
        <f>H92*3</f>
        <v>8.4599999999999995E-2</v>
      </c>
      <c r="I102" s="363" t="s">
        <v>274</v>
      </c>
      <c r="J102" s="355">
        <f>H102-L102</f>
        <v>5.1599999999999993E-2</v>
      </c>
      <c r="K102" s="363" t="s">
        <v>275</v>
      </c>
      <c r="L102" s="64">
        <f>L92*3</f>
        <v>3.3000000000000002E-2</v>
      </c>
      <c r="M102" s="363" t="s">
        <v>60</v>
      </c>
      <c r="N102" s="65">
        <v>30</v>
      </c>
      <c r="O102" s="363" t="s">
        <v>62</v>
      </c>
      <c r="P102" s="65">
        <v>30</v>
      </c>
      <c r="Q102" s="363" t="s">
        <v>63</v>
      </c>
      <c r="R102" s="65">
        <v>70</v>
      </c>
      <c r="S102" s="363" t="s">
        <v>64</v>
      </c>
      <c r="T102" s="65">
        <v>40</v>
      </c>
      <c r="U102" s="363" t="s">
        <v>57</v>
      </c>
      <c r="V102" s="66" t="s">
        <v>405</v>
      </c>
      <c r="W102" s="463" t="s">
        <v>398</v>
      </c>
      <c r="X102" s="465">
        <v>2.1</v>
      </c>
      <c r="Y102" s="463" t="s">
        <v>397</v>
      </c>
      <c r="Z102" s="358">
        <v>7</v>
      </c>
    </row>
    <row r="103" spans="1:26" x14ac:dyDescent="0.2">
      <c r="A103" s="362" t="s">
        <v>33</v>
      </c>
      <c r="B103" s="370">
        <v>0</v>
      </c>
      <c r="C103" s="371">
        <f>C93</f>
        <v>0.04</v>
      </c>
      <c r="D103" s="371">
        <f t="shared" ref="D103:X103" si="22">D93</f>
        <v>0.11600000000000001</v>
      </c>
      <c r="E103" s="371">
        <f t="shared" si="22"/>
        <v>0.21299999999999999</v>
      </c>
      <c r="F103" s="371">
        <f t="shared" si="22"/>
        <v>0.28599999999999998</v>
      </c>
      <c r="G103" s="371">
        <f t="shared" si="22"/>
        <v>0.32900000000000001</v>
      </c>
      <c r="H103" s="371">
        <f t="shared" si="22"/>
        <v>0.36899999999999999</v>
      </c>
      <c r="I103" s="371">
        <f t="shared" si="22"/>
        <v>0.42</v>
      </c>
      <c r="J103" s="371">
        <f t="shared" si="22"/>
        <v>0.495</v>
      </c>
      <c r="K103" s="371">
        <f t="shared" si="22"/>
        <v>0.59699999999999998</v>
      </c>
      <c r="L103" s="371">
        <f t="shared" si="22"/>
        <v>1.7110000000000001</v>
      </c>
      <c r="M103" s="371">
        <f t="shared" si="22"/>
        <v>1.8260000000000001</v>
      </c>
      <c r="N103" s="371">
        <f t="shared" si="22"/>
        <v>1.917</v>
      </c>
      <c r="O103" s="371">
        <f t="shared" si="22"/>
        <v>1.9750000000000001</v>
      </c>
      <c r="P103" s="371">
        <f t="shared" si="22"/>
        <v>2.206</v>
      </c>
      <c r="Q103" s="371">
        <f t="shared" si="22"/>
        <v>2.242</v>
      </c>
      <c r="R103" s="371">
        <f t="shared" si="22"/>
        <v>2.5</v>
      </c>
      <c r="S103" s="371">
        <f t="shared" si="22"/>
        <v>2.5</v>
      </c>
      <c r="T103" s="371">
        <f t="shared" si="22"/>
        <v>2.5</v>
      </c>
      <c r="U103" s="371">
        <f t="shared" si="22"/>
        <v>2.5</v>
      </c>
      <c r="V103" s="371">
        <f t="shared" si="22"/>
        <v>2.5</v>
      </c>
      <c r="W103" s="371">
        <f t="shared" si="22"/>
        <v>2.5</v>
      </c>
      <c r="X103" s="371">
        <f t="shared" si="22"/>
        <v>2.5</v>
      </c>
      <c r="Y103" s="381">
        <v>1000</v>
      </c>
    </row>
    <row r="104" spans="1:26" x14ac:dyDescent="0.2">
      <c r="A104" s="378" t="s">
        <v>34</v>
      </c>
      <c r="B104" s="372">
        <f>B94*3</f>
        <v>0</v>
      </c>
      <c r="C104" s="373">
        <f t="shared" ref="C104:X104" si="23">C94*3</f>
        <v>6.3330000000000002</v>
      </c>
      <c r="D104" s="373">
        <f t="shared" si="23"/>
        <v>29.055</v>
      </c>
      <c r="E104" s="373">
        <f t="shared" si="23"/>
        <v>75</v>
      </c>
      <c r="F104" s="373">
        <f t="shared" si="23"/>
        <v>47.213999999999999</v>
      </c>
      <c r="G104" s="373">
        <f t="shared" si="23"/>
        <v>37.415999999999997</v>
      </c>
      <c r="H104" s="373">
        <f t="shared" si="23"/>
        <v>32.01</v>
      </c>
      <c r="I104" s="373">
        <f t="shared" si="23"/>
        <v>29.138999999999996</v>
      </c>
      <c r="J104" s="373">
        <f t="shared" si="23"/>
        <v>27.534000000000002</v>
      </c>
      <c r="K104" s="373">
        <f t="shared" si="23"/>
        <v>26.688000000000002</v>
      </c>
      <c r="L104" s="373">
        <f t="shared" si="23"/>
        <v>26.775000000000002</v>
      </c>
      <c r="M104" s="373">
        <f t="shared" si="23"/>
        <v>26.097000000000001</v>
      </c>
      <c r="N104" s="373">
        <f t="shared" si="23"/>
        <v>24.155999999999999</v>
      </c>
      <c r="O104" s="373">
        <f t="shared" si="23"/>
        <v>20.861999999999998</v>
      </c>
      <c r="P104" s="373">
        <f t="shared" si="23"/>
        <v>3.21</v>
      </c>
      <c r="Q104" s="373">
        <f t="shared" si="23"/>
        <v>0</v>
      </c>
      <c r="R104" s="373">
        <f t="shared" si="23"/>
        <v>0</v>
      </c>
      <c r="S104" s="373">
        <f t="shared" si="23"/>
        <v>0</v>
      </c>
      <c r="T104" s="373">
        <f t="shared" si="23"/>
        <v>0</v>
      </c>
      <c r="U104" s="373">
        <f t="shared" si="23"/>
        <v>0</v>
      </c>
      <c r="V104" s="373">
        <f t="shared" si="23"/>
        <v>0</v>
      </c>
      <c r="W104" s="373">
        <f t="shared" si="23"/>
        <v>0</v>
      </c>
      <c r="X104" s="373">
        <f t="shared" si="23"/>
        <v>0</v>
      </c>
      <c r="Y104" s="382">
        <v>0</v>
      </c>
    </row>
    <row r="105" spans="1:26" ht="13.5" thickBot="1" x14ac:dyDescent="0.25">
      <c r="A105" s="379" t="s">
        <v>119</v>
      </c>
      <c r="B105" s="374">
        <f t="shared" ref="B105:X105" si="24">(C104+B104)*(C103-B103)/2</f>
        <v>0.12665999999999999</v>
      </c>
      <c r="C105" s="375">
        <f t="shared" si="24"/>
        <v>1.3447440000000002</v>
      </c>
      <c r="D105" s="375">
        <f t="shared" si="24"/>
        <v>5.0466674999999999</v>
      </c>
      <c r="E105" s="375">
        <f t="shared" si="24"/>
        <v>4.4608109999999987</v>
      </c>
      <c r="F105" s="375">
        <f t="shared" si="24"/>
        <v>1.8195450000000015</v>
      </c>
      <c r="G105" s="375">
        <f t="shared" si="24"/>
        <v>1.3885199999999991</v>
      </c>
      <c r="H105" s="375">
        <f t="shared" si="24"/>
        <v>1.5592994999999996</v>
      </c>
      <c r="I105" s="375">
        <f t="shared" si="24"/>
        <v>2.1252375000000003</v>
      </c>
      <c r="J105" s="375">
        <f t="shared" si="24"/>
        <v>2.7653219999999998</v>
      </c>
      <c r="K105" s="375">
        <f t="shared" si="24"/>
        <v>29.778891000000009</v>
      </c>
      <c r="L105" s="375">
        <f t="shared" si="24"/>
        <v>3.0401399999999996</v>
      </c>
      <c r="M105" s="375">
        <f t="shared" si="24"/>
        <v>2.2865114999999991</v>
      </c>
      <c r="N105" s="375">
        <f t="shared" si="24"/>
        <v>1.3055220000000012</v>
      </c>
      <c r="O105" s="375">
        <f t="shared" si="24"/>
        <v>2.7803159999999982</v>
      </c>
      <c r="P105" s="375">
        <f t="shared" si="24"/>
        <v>5.7780000000000054E-2</v>
      </c>
      <c r="Q105" s="375">
        <f t="shared" si="24"/>
        <v>0</v>
      </c>
      <c r="R105" s="375">
        <f t="shared" si="24"/>
        <v>0</v>
      </c>
      <c r="S105" s="375">
        <f t="shared" si="24"/>
        <v>0</v>
      </c>
      <c r="T105" s="375">
        <f t="shared" si="24"/>
        <v>0</v>
      </c>
      <c r="U105" s="375">
        <f t="shared" si="24"/>
        <v>0</v>
      </c>
      <c r="V105" s="375">
        <f t="shared" si="24"/>
        <v>0</v>
      </c>
      <c r="W105" s="375">
        <f t="shared" si="24"/>
        <v>0</v>
      </c>
      <c r="X105" s="375">
        <f t="shared" si="24"/>
        <v>0</v>
      </c>
      <c r="Y105" s="369"/>
    </row>
    <row r="107" spans="1:26" ht="13.5" thickBot="1" x14ac:dyDescent="0.25">
      <c r="A107" s="6" t="s">
        <v>320</v>
      </c>
    </row>
    <row r="108" spans="1:26" ht="13.5" thickBot="1" x14ac:dyDescent="0.25">
      <c r="A108" s="361" t="s">
        <v>323</v>
      </c>
      <c r="B108" s="359">
        <f>ROW(A108)</f>
        <v>108</v>
      </c>
      <c r="C108" s="363" t="s">
        <v>118</v>
      </c>
      <c r="D108" s="353">
        <f>SUM(B111:Y111)</f>
        <v>24.269519000000003</v>
      </c>
      <c r="E108" s="363" t="s">
        <v>117</v>
      </c>
      <c r="F108" s="354">
        <f>D108/g/J108</f>
        <v>154.62231778797147</v>
      </c>
      <c r="G108" s="363" t="s">
        <v>59</v>
      </c>
      <c r="H108" s="64">
        <v>5.1999999999999998E-2</v>
      </c>
      <c r="I108" s="363" t="s">
        <v>274</v>
      </c>
      <c r="J108" s="355">
        <f>H108-L108</f>
        <v>1.6E-2</v>
      </c>
      <c r="K108" s="363" t="s">
        <v>275</v>
      </c>
      <c r="L108" s="64">
        <v>3.5999999999999997E-2</v>
      </c>
      <c r="M108" s="363" t="s">
        <v>60</v>
      </c>
      <c r="N108" s="396">
        <v>35</v>
      </c>
      <c r="O108" s="363" t="s">
        <v>62</v>
      </c>
      <c r="P108" s="396">
        <v>35</v>
      </c>
      <c r="Q108" s="363" t="s">
        <v>63</v>
      </c>
      <c r="R108" s="65">
        <v>69</v>
      </c>
      <c r="S108" s="363" t="s">
        <v>64</v>
      </c>
      <c r="T108" s="65">
        <v>24</v>
      </c>
      <c r="U108" s="363" t="s">
        <v>57</v>
      </c>
      <c r="V108" s="66" t="s">
        <v>403</v>
      </c>
      <c r="W108" s="463" t="s">
        <v>398</v>
      </c>
      <c r="X108" s="465">
        <v>1</v>
      </c>
      <c r="Y108" s="463" t="s">
        <v>397</v>
      </c>
      <c r="Z108" s="358">
        <v>13</v>
      </c>
    </row>
    <row r="109" spans="1:26" x14ac:dyDescent="0.2">
      <c r="A109" s="362" t="s">
        <v>33</v>
      </c>
      <c r="B109" s="370">
        <v>0</v>
      </c>
      <c r="C109" s="371">
        <v>8.0000000000000002E-3</v>
      </c>
      <c r="D109" s="371">
        <v>2.5999999999999999E-2</v>
      </c>
      <c r="E109" s="371">
        <v>3.7999999999999999E-2</v>
      </c>
      <c r="F109" s="371">
        <v>6.7000000000000004E-2</v>
      </c>
      <c r="G109" s="371">
        <v>0.10100000000000001</v>
      </c>
      <c r="H109" s="371">
        <v>0.33</v>
      </c>
      <c r="I109" s="371">
        <v>0.52800000000000002</v>
      </c>
      <c r="J109" s="371">
        <v>0.71599999999999997</v>
      </c>
      <c r="K109" s="371">
        <v>0.84099999999999997</v>
      </c>
      <c r="L109" s="371">
        <v>0.91200000000000003</v>
      </c>
      <c r="M109" s="371">
        <v>0.98699999999999999</v>
      </c>
      <c r="N109" s="371">
        <v>1.016</v>
      </c>
      <c r="O109" s="371">
        <v>1.0649999999999999</v>
      </c>
      <c r="P109" s="371">
        <v>1.087</v>
      </c>
      <c r="Q109" s="371">
        <v>2</v>
      </c>
      <c r="R109" s="371">
        <v>2</v>
      </c>
      <c r="S109" s="371">
        <v>2</v>
      </c>
      <c r="T109" s="371">
        <v>2</v>
      </c>
      <c r="U109" s="371">
        <v>2</v>
      </c>
      <c r="V109" s="371">
        <v>2</v>
      </c>
      <c r="W109" s="371">
        <v>2</v>
      </c>
      <c r="X109" s="371">
        <v>2</v>
      </c>
      <c r="Y109" s="381">
        <v>1000</v>
      </c>
    </row>
    <row r="110" spans="1:26" x14ac:dyDescent="0.2">
      <c r="A110" s="378" t="s">
        <v>34</v>
      </c>
      <c r="B110" s="372">
        <v>0</v>
      </c>
      <c r="C110" s="373">
        <v>18.292000000000002</v>
      </c>
      <c r="D110" s="373">
        <v>30</v>
      </c>
      <c r="E110" s="373">
        <v>30.792000000000002</v>
      </c>
      <c r="F110" s="373">
        <v>18.707999999999998</v>
      </c>
      <c r="G110" s="373">
        <v>21.875</v>
      </c>
      <c r="H110" s="373">
        <v>26.082999999999998</v>
      </c>
      <c r="I110" s="373">
        <v>28.042000000000002</v>
      </c>
      <c r="J110" s="373">
        <v>27.875</v>
      </c>
      <c r="K110" s="373">
        <v>23.542000000000002</v>
      </c>
      <c r="L110" s="373">
        <v>17.832999999999998</v>
      </c>
      <c r="M110" s="373">
        <v>7</v>
      </c>
      <c r="N110" s="373">
        <v>3.3330000000000002</v>
      </c>
      <c r="O110" s="373">
        <v>1.083</v>
      </c>
      <c r="P110" s="373">
        <v>0</v>
      </c>
      <c r="Q110" s="373">
        <v>0</v>
      </c>
      <c r="R110" s="373">
        <v>0</v>
      </c>
      <c r="S110" s="373">
        <v>0</v>
      </c>
      <c r="T110" s="373">
        <f>S110</f>
        <v>0</v>
      </c>
      <c r="U110" s="373">
        <f>T110</f>
        <v>0</v>
      </c>
      <c r="V110" s="373">
        <f>U110</f>
        <v>0</v>
      </c>
      <c r="W110" s="373">
        <f>V110</f>
        <v>0</v>
      </c>
      <c r="X110" s="373">
        <f>W110</f>
        <v>0</v>
      </c>
      <c r="Y110" s="382">
        <v>0</v>
      </c>
    </row>
    <row r="111" spans="1:26" ht="13.5" thickBot="1" x14ac:dyDescent="0.25">
      <c r="A111" s="379" t="s">
        <v>119</v>
      </c>
      <c r="B111" s="374">
        <f t="shared" ref="B111:V111" si="25">(C110+B110)*(C109-B109)/2</f>
        <v>7.3168000000000011E-2</v>
      </c>
      <c r="C111" s="375">
        <f t="shared" si="25"/>
        <v>0.43462799999999996</v>
      </c>
      <c r="D111" s="375">
        <f t="shared" si="25"/>
        <v>0.36475200000000002</v>
      </c>
      <c r="E111" s="375">
        <f t="shared" si="25"/>
        <v>0.71775000000000011</v>
      </c>
      <c r="F111" s="375">
        <f t="shared" si="25"/>
        <v>0.68991100000000005</v>
      </c>
      <c r="G111" s="375">
        <f t="shared" si="25"/>
        <v>5.4911909999999997</v>
      </c>
      <c r="H111" s="375">
        <f t="shared" si="25"/>
        <v>5.3583750000000006</v>
      </c>
      <c r="I111" s="375">
        <f t="shared" si="25"/>
        <v>5.2561979999999986</v>
      </c>
      <c r="J111" s="375">
        <f>(K110+J110)*(K109-J109)/2</f>
        <v>3.2135625000000001</v>
      </c>
      <c r="K111" s="375">
        <f t="shared" si="25"/>
        <v>1.4688125000000014</v>
      </c>
      <c r="L111" s="375">
        <f t="shared" si="25"/>
        <v>0.93123749999999939</v>
      </c>
      <c r="M111" s="375">
        <f t="shared" si="25"/>
        <v>0.14982850000000014</v>
      </c>
      <c r="N111" s="375">
        <f t="shared" si="25"/>
        <v>0.10819199999999986</v>
      </c>
      <c r="O111" s="375">
        <f t="shared" si="25"/>
        <v>1.191300000000001E-2</v>
      </c>
      <c r="P111" s="375">
        <f t="shared" si="25"/>
        <v>0</v>
      </c>
      <c r="Q111" s="375">
        <f t="shared" si="25"/>
        <v>0</v>
      </c>
      <c r="R111" s="375">
        <f t="shared" si="25"/>
        <v>0</v>
      </c>
      <c r="S111" s="375">
        <f>(T110+S110)*(T109-S109)/2</f>
        <v>0</v>
      </c>
      <c r="T111" s="375">
        <f t="shared" si="25"/>
        <v>0</v>
      </c>
      <c r="U111" s="375">
        <f t="shared" si="25"/>
        <v>0</v>
      </c>
      <c r="V111" s="375">
        <f t="shared" si="25"/>
        <v>0</v>
      </c>
      <c r="W111" s="375">
        <f>(X110+W110)*(X109-W109)/2</f>
        <v>0</v>
      </c>
      <c r="X111" s="375">
        <f>(Y110+X110)*(Y109-X109)/2</f>
        <v>0</v>
      </c>
      <c r="Y111" s="369"/>
    </row>
    <row r="112" spans="1:26" ht="13.5" thickBot="1" x14ac:dyDescent="0.25"/>
    <row r="113" spans="1:26" ht="13.5" thickBot="1" x14ac:dyDescent="0.25">
      <c r="A113" s="361" t="s">
        <v>421</v>
      </c>
      <c r="B113" s="359">
        <f>ROW(A113)</f>
        <v>113</v>
      </c>
      <c r="C113" s="363" t="s">
        <v>118</v>
      </c>
      <c r="D113" s="353">
        <f>SUM(B116:Y116)</f>
        <v>24.488898000000002</v>
      </c>
      <c r="E113" s="363" t="s">
        <v>117</v>
      </c>
      <c r="F113" s="354">
        <f>D113/g/J113</f>
        <v>121.771701350041</v>
      </c>
      <c r="G113" s="363" t="s">
        <v>59</v>
      </c>
      <c r="H113" s="64">
        <v>5.6500000000000002E-2</v>
      </c>
      <c r="I113" s="363" t="s">
        <v>274</v>
      </c>
      <c r="J113" s="355">
        <f>H113-L113</f>
        <v>2.0500000000000004E-2</v>
      </c>
      <c r="K113" s="363" t="s">
        <v>275</v>
      </c>
      <c r="L113" s="64">
        <v>3.5999999999999997E-2</v>
      </c>
      <c r="M113" s="363" t="s">
        <v>60</v>
      </c>
      <c r="N113" s="396">
        <v>35</v>
      </c>
      <c r="O113" s="363" t="s">
        <v>62</v>
      </c>
      <c r="P113" s="396">
        <v>35</v>
      </c>
      <c r="Q113" s="363" t="s">
        <v>63</v>
      </c>
      <c r="R113" s="65">
        <v>69</v>
      </c>
      <c r="S113" s="363" t="s">
        <v>64</v>
      </c>
      <c r="T113" s="65">
        <v>24</v>
      </c>
      <c r="U113" s="363" t="s">
        <v>57</v>
      </c>
      <c r="V113" s="66" t="s">
        <v>404</v>
      </c>
      <c r="W113" s="463" t="s">
        <v>398</v>
      </c>
      <c r="X113" s="465">
        <v>0.33</v>
      </c>
      <c r="Y113" s="463" t="s">
        <v>397</v>
      </c>
      <c r="Z113" s="358">
        <v>17</v>
      </c>
    </row>
    <row r="114" spans="1:26" x14ac:dyDescent="0.2">
      <c r="A114" s="362" t="s">
        <v>33</v>
      </c>
      <c r="B114" s="370">
        <v>0</v>
      </c>
      <c r="C114" s="371">
        <v>8.9999999999999993E-3</v>
      </c>
      <c r="D114" s="371">
        <v>1.2E-2</v>
      </c>
      <c r="E114" s="371">
        <v>2.3E-2</v>
      </c>
      <c r="F114" s="371">
        <v>2.7E-2</v>
      </c>
      <c r="G114" s="371">
        <v>4.7E-2</v>
      </c>
      <c r="H114" s="371">
        <v>9.1999999999999998E-2</v>
      </c>
      <c r="I114" s="371">
        <v>0.11799999999999999</v>
      </c>
      <c r="J114" s="371">
        <v>0.14099999999999999</v>
      </c>
      <c r="K114" s="371">
        <v>0.192</v>
      </c>
      <c r="L114" s="371">
        <v>0.222</v>
      </c>
      <c r="M114" s="371">
        <v>0.25</v>
      </c>
      <c r="N114" s="371">
        <v>0.26</v>
      </c>
      <c r="O114" s="371">
        <v>0.28100000000000003</v>
      </c>
      <c r="P114" s="371">
        <v>0.28699999999999998</v>
      </c>
      <c r="Q114" s="371">
        <v>0.30599999999999999</v>
      </c>
      <c r="R114" s="371">
        <v>0.314</v>
      </c>
      <c r="S114" s="371">
        <v>0.32600000000000001</v>
      </c>
      <c r="T114" s="371">
        <v>0.32900000000000001</v>
      </c>
      <c r="U114" s="371">
        <v>0.5</v>
      </c>
      <c r="V114" s="371">
        <v>1</v>
      </c>
      <c r="W114" s="371">
        <v>2</v>
      </c>
      <c r="X114" s="371">
        <v>2</v>
      </c>
      <c r="Y114" s="381">
        <v>1000</v>
      </c>
    </row>
    <row r="115" spans="1:26" x14ac:dyDescent="0.2">
      <c r="A115" s="378" t="s">
        <v>34</v>
      </c>
      <c r="B115" s="372">
        <v>0</v>
      </c>
      <c r="C115" s="373">
        <v>84.212999999999994</v>
      </c>
      <c r="D115" s="373">
        <v>95.099000000000004</v>
      </c>
      <c r="E115" s="373">
        <v>77.08</v>
      </c>
      <c r="F115" s="373">
        <v>68.697000000000003</v>
      </c>
      <c r="G115" s="373">
        <v>73.451999999999998</v>
      </c>
      <c r="H115" s="373">
        <v>81.834999999999994</v>
      </c>
      <c r="I115" s="373">
        <v>83.837000000000003</v>
      </c>
      <c r="J115" s="373">
        <v>86.465000000000003</v>
      </c>
      <c r="K115" s="373">
        <v>86.965999999999994</v>
      </c>
      <c r="L115" s="373">
        <v>85.338999999999999</v>
      </c>
      <c r="M115" s="373">
        <v>80.082999999999998</v>
      </c>
      <c r="N115" s="373">
        <v>78.331999999999994</v>
      </c>
      <c r="O115" s="373">
        <v>82.960999999999999</v>
      </c>
      <c r="P115" s="373">
        <v>78.206000000000003</v>
      </c>
      <c r="Q115" s="373">
        <v>24.776</v>
      </c>
      <c r="R115" s="373">
        <v>14.14</v>
      </c>
      <c r="S115" s="373">
        <v>8.5090000000000003</v>
      </c>
      <c r="T115" s="373">
        <v>0</v>
      </c>
      <c r="U115" s="373">
        <f>T115</f>
        <v>0</v>
      </c>
      <c r="V115" s="373">
        <f>U115</f>
        <v>0</v>
      </c>
      <c r="W115" s="373">
        <f>V115</f>
        <v>0</v>
      </c>
      <c r="X115" s="373">
        <f>W115</f>
        <v>0</v>
      </c>
      <c r="Y115" s="382">
        <v>0</v>
      </c>
    </row>
    <row r="116" spans="1:26" ht="13.5" thickBot="1" x14ac:dyDescent="0.25">
      <c r="A116" s="379" t="s">
        <v>119</v>
      </c>
      <c r="B116" s="374">
        <f t="shared" ref="B116:V116" si="26">(C115+B115)*(C114-B114)/2</f>
        <v>0.37895849999999992</v>
      </c>
      <c r="C116" s="375">
        <f t="shared" si="26"/>
        <v>0.2689680000000001</v>
      </c>
      <c r="D116" s="375">
        <f t="shared" si="26"/>
        <v>0.94698450000000001</v>
      </c>
      <c r="E116" s="375">
        <f t="shared" si="26"/>
        <v>0.29155399999999998</v>
      </c>
      <c r="F116" s="375">
        <f t="shared" si="26"/>
        <v>1.4214900000000001</v>
      </c>
      <c r="G116" s="375">
        <f t="shared" si="26"/>
        <v>3.4939574999999992</v>
      </c>
      <c r="H116" s="375">
        <f t="shared" si="26"/>
        <v>2.1537359999999994</v>
      </c>
      <c r="I116" s="375">
        <f t="shared" si="26"/>
        <v>1.9584729999999997</v>
      </c>
      <c r="J116" s="375">
        <f>(K115+J115)*(K114-J114)/2</f>
        <v>4.4224905000000012</v>
      </c>
      <c r="K116" s="375">
        <f t="shared" si="26"/>
        <v>2.5845750000000001</v>
      </c>
      <c r="L116" s="375">
        <f t="shared" si="26"/>
        <v>2.3159079999999999</v>
      </c>
      <c r="M116" s="375">
        <f t="shared" si="26"/>
        <v>0.79207500000000064</v>
      </c>
      <c r="N116" s="375">
        <f t="shared" si="26"/>
        <v>1.6935765000000016</v>
      </c>
      <c r="O116" s="375">
        <f t="shared" si="26"/>
        <v>0.48350099999999596</v>
      </c>
      <c r="P116" s="375">
        <f t="shared" si="26"/>
        <v>0.97832900000000089</v>
      </c>
      <c r="Q116" s="375">
        <f t="shared" si="26"/>
        <v>0.15566400000000014</v>
      </c>
      <c r="R116" s="375">
        <f t="shared" si="26"/>
        <v>0.13589400000000013</v>
      </c>
      <c r="S116" s="375">
        <f>(T115+S115)*(T114-S114)/2</f>
        <v>1.2763500000000013E-2</v>
      </c>
      <c r="T116" s="375">
        <f t="shared" si="26"/>
        <v>0</v>
      </c>
      <c r="U116" s="375">
        <f t="shared" si="26"/>
        <v>0</v>
      </c>
      <c r="V116" s="375">
        <f t="shared" si="26"/>
        <v>0</v>
      </c>
      <c r="W116" s="375">
        <f>(X115+W115)*(X114-W114)/2</f>
        <v>0</v>
      </c>
      <c r="X116" s="375">
        <f>(Y115+X115)*(Y114-X114)/2</f>
        <v>0</v>
      </c>
      <c r="Y116" s="369"/>
    </row>
    <row r="117" spans="1:26" ht="13.5" thickBot="1" x14ac:dyDescent="0.25"/>
    <row r="118" spans="1:26" ht="13.5" thickBot="1" x14ac:dyDescent="0.25">
      <c r="A118" s="361" t="s">
        <v>324</v>
      </c>
      <c r="B118" s="359">
        <f>ROW(A118)</f>
        <v>118</v>
      </c>
      <c r="C118" s="363" t="s">
        <v>118</v>
      </c>
      <c r="D118" s="353">
        <f>SUM(B121:Y121)</f>
        <v>26.083982500000001</v>
      </c>
      <c r="E118" s="363" t="s">
        <v>117</v>
      </c>
      <c r="F118" s="354">
        <f>D118/g/J118</f>
        <v>166.18235537716615</v>
      </c>
      <c r="G118" s="363" t="s">
        <v>59</v>
      </c>
      <c r="H118" s="64">
        <v>5.1999999999999998E-2</v>
      </c>
      <c r="I118" s="363" t="s">
        <v>274</v>
      </c>
      <c r="J118" s="355">
        <f>H118-L118</f>
        <v>1.6E-2</v>
      </c>
      <c r="K118" s="363" t="s">
        <v>275</v>
      </c>
      <c r="L118" s="64">
        <v>3.5999999999999997E-2</v>
      </c>
      <c r="M118" s="363" t="s">
        <v>60</v>
      </c>
      <c r="N118" s="396">
        <v>35</v>
      </c>
      <c r="O118" s="363" t="s">
        <v>62</v>
      </c>
      <c r="P118" s="396">
        <v>35</v>
      </c>
      <c r="Q118" s="363" t="s">
        <v>63</v>
      </c>
      <c r="R118" s="65">
        <v>69</v>
      </c>
      <c r="S118" s="363" t="s">
        <v>64</v>
      </c>
      <c r="T118" s="65">
        <v>24</v>
      </c>
      <c r="U118" s="363" t="s">
        <v>57</v>
      </c>
      <c r="V118" s="66" t="s">
        <v>403</v>
      </c>
      <c r="W118" s="463" t="s">
        <v>398</v>
      </c>
      <c r="X118" s="465">
        <v>0.85</v>
      </c>
      <c r="Y118" s="463" t="s">
        <v>397</v>
      </c>
      <c r="Z118" s="358">
        <v>15</v>
      </c>
    </row>
    <row r="119" spans="1:26" x14ac:dyDescent="0.2">
      <c r="A119" s="362" t="s">
        <v>33</v>
      </c>
      <c r="B119" s="370">
        <v>0</v>
      </c>
      <c r="C119" s="371">
        <v>0.02</v>
      </c>
      <c r="D119" s="371">
        <v>2.7E-2</v>
      </c>
      <c r="E119" s="371">
        <v>4.9000000000000002E-2</v>
      </c>
      <c r="F119" s="371">
        <v>0.113</v>
      </c>
      <c r="G119" s="371">
        <v>0.193</v>
      </c>
      <c r="H119" s="371">
        <v>0.28199999999999997</v>
      </c>
      <c r="I119" s="371">
        <v>0.5</v>
      </c>
      <c r="J119" s="371">
        <v>0.72699999999999998</v>
      </c>
      <c r="K119" s="371">
        <v>0.77100000000000002</v>
      </c>
      <c r="L119" s="371">
        <v>0.80700000000000005</v>
      </c>
      <c r="M119" s="371">
        <v>0.84</v>
      </c>
      <c r="N119" s="371">
        <v>0.87</v>
      </c>
      <c r="O119" s="371">
        <v>1</v>
      </c>
      <c r="P119" s="371">
        <v>1</v>
      </c>
      <c r="Q119" s="371">
        <v>1</v>
      </c>
      <c r="R119" s="371">
        <v>1</v>
      </c>
      <c r="S119" s="371">
        <v>1</v>
      </c>
      <c r="T119" s="371">
        <v>1</v>
      </c>
      <c r="U119" s="371">
        <v>1</v>
      </c>
      <c r="V119" s="371">
        <v>1</v>
      </c>
      <c r="W119" s="371">
        <v>1</v>
      </c>
      <c r="X119" s="371">
        <v>2</v>
      </c>
      <c r="Y119" s="381">
        <v>1000</v>
      </c>
    </row>
    <row r="120" spans="1:26" x14ac:dyDescent="0.2">
      <c r="A120" s="378" t="s">
        <v>34</v>
      </c>
      <c r="B120" s="372">
        <v>0</v>
      </c>
      <c r="C120" s="373">
        <v>43.823999999999998</v>
      </c>
      <c r="D120" s="373">
        <v>39.963999999999999</v>
      </c>
      <c r="E120" s="373">
        <v>26.780999999999999</v>
      </c>
      <c r="F120" s="373">
        <v>32.600999999999999</v>
      </c>
      <c r="G120" s="373">
        <v>34.738999999999997</v>
      </c>
      <c r="H120" s="373">
        <v>35.808</v>
      </c>
      <c r="I120" s="373">
        <v>34.442</v>
      </c>
      <c r="J120" s="373">
        <v>29.276</v>
      </c>
      <c r="K120" s="373">
        <v>22.742999999999999</v>
      </c>
      <c r="L120" s="373">
        <v>9.5609999999999999</v>
      </c>
      <c r="M120" s="373">
        <v>3.5630000000000002</v>
      </c>
      <c r="N120" s="373">
        <v>0</v>
      </c>
      <c r="O120" s="373">
        <v>0</v>
      </c>
      <c r="P120" s="373">
        <v>0</v>
      </c>
      <c r="Q120" s="373">
        <v>0</v>
      </c>
      <c r="R120" s="373">
        <v>0</v>
      </c>
      <c r="S120" s="373">
        <v>0</v>
      </c>
      <c r="T120" s="373">
        <f>S120</f>
        <v>0</v>
      </c>
      <c r="U120" s="373">
        <f>T120</f>
        <v>0</v>
      </c>
      <c r="V120" s="373">
        <f>U120</f>
        <v>0</v>
      </c>
      <c r="W120" s="373">
        <f>V120</f>
        <v>0</v>
      </c>
      <c r="X120" s="373">
        <f>W120</f>
        <v>0</v>
      </c>
      <c r="Y120" s="382">
        <v>0</v>
      </c>
    </row>
    <row r="121" spans="1:26" ht="13.5" thickBot="1" x14ac:dyDescent="0.25">
      <c r="A121" s="379" t="s">
        <v>119</v>
      </c>
      <c r="B121" s="374">
        <f t="shared" ref="B121:V121" si="27">(C120+B120)*(C119-B119)/2</f>
        <v>0.43823999999999996</v>
      </c>
      <c r="C121" s="375">
        <f t="shared" si="27"/>
        <v>0.29325799999999996</v>
      </c>
      <c r="D121" s="375">
        <f t="shared" si="27"/>
        <v>0.73419500000000015</v>
      </c>
      <c r="E121" s="375">
        <f t="shared" si="27"/>
        <v>1.9002239999999999</v>
      </c>
      <c r="F121" s="375">
        <f t="shared" si="27"/>
        <v>2.6936</v>
      </c>
      <c r="G121" s="375">
        <f t="shared" si="27"/>
        <v>3.1393414999999987</v>
      </c>
      <c r="H121" s="375">
        <f t="shared" si="27"/>
        <v>7.6572500000000012</v>
      </c>
      <c r="I121" s="375">
        <f t="shared" si="27"/>
        <v>7.2319930000000001</v>
      </c>
      <c r="J121" s="375">
        <f>(K120+J120)*(K119-J119)/2</f>
        <v>1.144418000000001</v>
      </c>
      <c r="K121" s="375">
        <f t="shared" si="27"/>
        <v>0.58147200000000054</v>
      </c>
      <c r="L121" s="375">
        <f t="shared" si="27"/>
        <v>0.21654599999999946</v>
      </c>
      <c r="M121" s="375">
        <f t="shared" si="27"/>
        <v>5.3445000000000048E-2</v>
      </c>
      <c r="N121" s="375">
        <f t="shared" si="27"/>
        <v>0</v>
      </c>
      <c r="O121" s="375">
        <f t="shared" si="27"/>
        <v>0</v>
      </c>
      <c r="P121" s="375">
        <f t="shared" si="27"/>
        <v>0</v>
      </c>
      <c r="Q121" s="375">
        <f t="shared" si="27"/>
        <v>0</v>
      </c>
      <c r="R121" s="375">
        <f t="shared" si="27"/>
        <v>0</v>
      </c>
      <c r="S121" s="375">
        <f>(T120+S120)*(T119-S119)/2</f>
        <v>0</v>
      </c>
      <c r="T121" s="375">
        <f t="shared" si="27"/>
        <v>0</v>
      </c>
      <c r="U121" s="375">
        <f t="shared" si="27"/>
        <v>0</v>
      </c>
      <c r="V121" s="375">
        <f t="shared" si="27"/>
        <v>0</v>
      </c>
      <c r="W121" s="375">
        <f>(X120+W120)*(X119-W119)/2</f>
        <v>0</v>
      </c>
      <c r="X121" s="375">
        <f>(Y120+X120)*(Y119-X119)/2</f>
        <v>0</v>
      </c>
      <c r="Y121" s="369"/>
    </row>
    <row r="122" spans="1:26" ht="13.5" thickBot="1" x14ac:dyDescent="0.25">
      <c r="A122" s="6" t="s">
        <v>393</v>
      </c>
    </row>
    <row r="123" spans="1:26" ht="13.5" thickBot="1" x14ac:dyDescent="0.25">
      <c r="A123" s="361" t="s">
        <v>394</v>
      </c>
      <c r="B123" s="359">
        <f>ROW(A123)</f>
        <v>123</v>
      </c>
      <c r="C123" s="363" t="s">
        <v>118</v>
      </c>
      <c r="D123" s="353">
        <f>SUM(B126:Y126)</f>
        <v>49.788765499999997</v>
      </c>
      <c r="E123" s="363" t="s">
        <v>117</v>
      </c>
      <c r="F123" s="354">
        <v>231</v>
      </c>
      <c r="G123" s="363" t="s">
        <v>59</v>
      </c>
      <c r="H123" s="64">
        <v>7.2999999999999995E-2</v>
      </c>
      <c r="I123" s="363" t="s">
        <v>274</v>
      </c>
      <c r="J123" s="355">
        <f>H123-L123</f>
        <v>2.7999999999999997E-2</v>
      </c>
      <c r="K123" s="363" t="s">
        <v>275</v>
      </c>
      <c r="L123" s="64">
        <v>4.4999999999999998E-2</v>
      </c>
      <c r="M123" s="363" t="s">
        <v>60</v>
      </c>
      <c r="N123" s="396">
        <v>50</v>
      </c>
      <c r="O123" s="363" t="s">
        <v>62</v>
      </c>
      <c r="P123" s="396">
        <v>50</v>
      </c>
      <c r="Q123" s="363" t="s">
        <v>63</v>
      </c>
      <c r="R123" s="65">
        <v>101</v>
      </c>
      <c r="S123" s="363" t="s">
        <v>64</v>
      </c>
      <c r="T123" s="65">
        <v>24</v>
      </c>
      <c r="U123" s="363" t="s">
        <v>57</v>
      </c>
      <c r="V123" s="66" t="s">
        <v>122</v>
      </c>
      <c r="W123" s="463" t="s">
        <v>398</v>
      </c>
      <c r="X123" s="465">
        <v>1</v>
      </c>
      <c r="Y123" s="463" t="s">
        <v>397</v>
      </c>
      <c r="Z123" s="358">
        <v>13</v>
      </c>
    </row>
    <row r="124" spans="1:26" x14ac:dyDescent="0.2">
      <c r="A124" s="362" t="s">
        <v>33</v>
      </c>
      <c r="B124" s="471">
        <v>0</v>
      </c>
      <c r="C124" s="471">
        <v>1E-3</v>
      </c>
      <c r="D124" s="471">
        <v>2.7E-2</v>
      </c>
      <c r="E124" s="471">
        <v>5.0999999999999997E-2</v>
      </c>
      <c r="F124" s="471">
        <v>0.06</v>
      </c>
      <c r="G124" s="471">
        <v>9.1999999999999998E-2</v>
      </c>
      <c r="H124" s="471">
        <v>0.11899999999999999</v>
      </c>
      <c r="I124" s="471">
        <v>0.17</v>
      </c>
      <c r="J124" s="471">
        <v>0.3</v>
      </c>
      <c r="K124" s="471">
        <v>0.46200000000000002</v>
      </c>
      <c r="L124" s="471">
        <v>0.56899999999999995</v>
      </c>
      <c r="M124" s="471">
        <v>0.67500000000000004</v>
      </c>
      <c r="N124" s="471">
        <v>0.77800000000000002</v>
      </c>
      <c r="O124" s="471">
        <v>0.84599999999999997</v>
      </c>
      <c r="P124" s="471">
        <v>0.91700000000000004</v>
      </c>
      <c r="Q124" s="471">
        <v>1.0089999999999999</v>
      </c>
      <c r="R124" s="471">
        <v>1.032</v>
      </c>
      <c r="S124" s="471">
        <v>1.0449999999999999</v>
      </c>
      <c r="T124" s="371">
        <v>2</v>
      </c>
      <c r="U124" s="371">
        <v>2</v>
      </c>
      <c r="V124" s="371">
        <v>2</v>
      </c>
      <c r="W124" s="371">
        <v>2</v>
      </c>
      <c r="X124" s="371">
        <v>2</v>
      </c>
      <c r="Y124" s="381">
        <v>1000</v>
      </c>
    </row>
    <row r="125" spans="1:26" x14ac:dyDescent="0.2">
      <c r="A125" s="378" t="s">
        <v>34</v>
      </c>
      <c r="B125" s="471">
        <v>0</v>
      </c>
      <c r="C125" s="471">
        <v>5.1449999999999996</v>
      </c>
      <c r="D125" s="471">
        <v>67.975999999999999</v>
      </c>
      <c r="E125" s="471">
        <v>53.807000000000002</v>
      </c>
      <c r="F125" s="471">
        <v>52.88</v>
      </c>
      <c r="G125" s="471">
        <v>55.915999999999997</v>
      </c>
      <c r="H125" s="471">
        <v>57.94</v>
      </c>
      <c r="I125" s="471">
        <v>59.710999999999999</v>
      </c>
      <c r="J125" s="471">
        <v>61.145000000000003</v>
      </c>
      <c r="K125" s="471">
        <v>58.951999999999998</v>
      </c>
      <c r="L125" s="471">
        <v>55.578000000000003</v>
      </c>
      <c r="M125" s="471">
        <v>52.204999999999998</v>
      </c>
      <c r="N125" s="471">
        <v>46.386000000000003</v>
      </c>
      <c r="O125" s="471">
        <v>38.119999999999997</v>
      </c>
      <c r="P125" s="471">
        <v>20.324999999999999</v>
      </c>
      <c r="Q125" s="471">
        <v>3.5419999999999998</v>
      </c>
      <c r="R125" s="471">
        <v>1.6020000000000001</v>
      </c>
      <c r="S125" s="471">
        <v>0</v>
      </c>
      <c r="T125" s="373">
        <f>S125</f>
        <v>0</v>
      </c>
      <c r="U125" s="373">
        <f>T125</f>
        <v>0</v>
      </c>
      <c r="V125" s="373">
        <f>U125</f>
        <v>0</v>
      </c>
      <c r="W125" s="373">
        <f>V125</f>
        <v>0</v>
      </c>
      <c r="X125" s="373">
        <f>W125</f>
        <v>0</v>
      </c>
      <c r="Y125" s="382">
        <v>0</v>
      </c>
    </row>
    <row r="126" spans="1:26" ht="13.5" thickBot="1" x14ac:dyDescent="0.25">
      <c r="A126" s="379" t="s">
        <v>119</v>
      </c>
      <c r="B126" s="374">
        <f t="shared" ref="B126:X126" si="28">(C125+B125)*(C124-B124)/2</f>
        <v>2.5724999999999997E-3</v>
      </c>
      <c r="C126" s="375">
        <f t="shared" si="28"/>
        <v>0.95057299999999989</v>
      </c>
      <c r="D126" s="375">
        <f t="shared" si="28"/>
        <v>1.4613959999999999</v>
      </c>
      <c r="E126" s="375">
        <f t="shared" si="28"/>
        <v>0.48009150000000012</v>
      </c>
      <c r="F126" s="375">
        <f t="shared" si="28"/>
        <v>1.7407359999999998</v>
      </c>
      <c r="G126" s="375">
        <f t="shared" si="28"/>
        <v>1.5370559999999998</v>
      </c>
      <c r="H126" s="375">
        <f t="shared" si="28"/>
        <v>3.0001005000000007</v>
      </c>
      <c r="I126" s="375">
        <f t="shared" si="28"/>
        <v>7.8556399999999984</v>
      </c>
      <c r="J126" s="375">
        <f t="shared" si="28"/>
        <v>9.727857000000002</v>
      </c>
      <c r="K126" s="375">
        <f t="shared" si="28"/>
        <v>6.1273549999999961</v>
      </c>
      <c r="L126" s="375">
        <f t="shared" si="28"/>
        <v>5.7124990000000055</v>
      </c>
      <c r="M126" s="375">
        <f t="shared" si="28"/>
        <v>5.0774364999999992</v>
      </c>
      <c r="N126" s="375">
        <f t="shared" si="28"/>
        <v>2.8732039999999976</v>
      </c>
      <c r="O126" s="375">
        <f t="shared" si="28"/>
        <v>2.0747975000000016</v>
      </c>
      <c r="P126" s="375">
        <f t="shared" si="28"/>
        <v>1.0978819999999982</v>
      </c>
      <c r="Q126" s="375">
        <f t="shared" si="28"/>
        <v>5.915600000000034E-2</v>
      </c>
      <c r="R126" s="375">
        <f t="shared" si="28"/>
        <v>1.0412999999999921E-2</v>
      </c>
      <c r="S126" s="375">
        <f t="shared" si="28"/>
        <v>0</v>
      </c>
      <c r="T126" s="375">
        <f t="shared" si="28"/>
        <v>0</v>
      </c>
      <c r="U126" s="375">
        <f t="shared" si="28"/>
        <v>0</v>
      </c>
      <c r="V126" s="375">
        <f t="shared" si="28"/>
        <v>0</v>
      </c>
      <c r="W126" s="375">
        <f t="shared" si="28"/>
        <v>0</v>
      </c>
      <c r="X126" s="375">
        <f t="shared" si="28"/>
        <v>0</v>
      </c>
      <c r="Y126" s="369"/>
    </row>
    <row r="127" spans="1:26" ht="13.5" thickBot="1" x14ac:dyDescent="0.25"/>
    <row r="128" spans="1:26" ht="13.5" thickBot="1" x14ac:dyDescent="0.25">
      <c r="A128" s="361" t="s">
        <v>395</v>
      </c>
      <c r="B128" s="359">
        <f>ROW(A128)</f>
        <v>128</v>
      </c>
      <c r="C128" s="363" t="s">
        <v>118</v>
      </c>
      <c r="D128" s="353">
        <f>SUM(B131:Y131)</f>
        <v>52.815674000000008</v>
      </c>
      <c r="E128" s="363" t="s">
        <v>117</v>
      </c>
      <c r="F128" s="354">
        <v>239</v>
      </c>
      <c r="G128" s="363" t="s">
        <v>59</v>
      </c>
      <c r="H128" s="64">
        <v>7.2999999999999995E-2</v>
      </c>
      <c r="I128" s="363" t="s">
        <v>274</v>
      </c>
      <c r="J128" s="355">
        <f>H128-L128</f>
        <v>2.8999999999999998E-2</v>
      </c>
      <c r="K128" s="363" t="s">
        <v>275</v>
      </c>
      <c r="L128" s="64">
        <v>4.3999999999999997E-2</v>
      </c>
      <c r="M128" s="363" t="s">
        <v>60</v>
      </c>
      <c r="N128" s="396">
        <v>50</v>
      </c>
      <c r="O128" s="363" t="s">
        <v>62</v>
      </c>
      <c r="P128" s="396">
        <v>50</v>
      </c>
      <c r="Q128" s="363" t="s">
        <v>63</v>
      </c>
      <c r="R128" s="65">
        <v>101</v>
      </c>
      <c r="S128" s="363" t="s">
        <v>64</v>
      </c>
      <c r="T128" s="65">
        <v>24</v>
      </c>
      <c r="U128" s="363" t="s">
        <v>57</v>
      </c>
      <c r="V128" s="66" t="s">
        <v>122</v>
      </c>
      <c r="W128" s="463" t="s">
        <v>398</v>
      </c>
      <c r="X128" s="465">
        <v>0.77</v>
      </c>
      <c r="Y128" s="463" t="s">
        <v>397</v>
      </c>
      <c r="Z128" s="358">
        <v>14</v>
      </c>
    </row>
    <row r="129" spans="1:26" x14ac:dyDescent="0.2">
      <c r="A129" s="362" t="s">
        <v>33</v>
      </c>
      <c r="B129" s="471">
        <v>0</v>
      </c>
      <c r="C129" s="471">
        <v>1E-3</v>
      </c>
      <c r="D129" s="471">
        <v>1.2999999999999999E-2</v>
      </c>
      <c r="E129" s="471">
        <v>2.3E-2</v>
      </c>
      <c r="F129" s="471">
        <v>5.1999999999999998E-2</v>
      </c>
      <c r="G129" s="471">
        <v>0.1</v>
      </c>
      <c r="H129" s="471">
        <v>0.379</v>
      </c>
      <c r="I129" s="471">
        <v>0.64100000000000001</v>
      </c>
      <c r="J129" s="471">
        <v>0.66500000000000004</v>
      </c>
      <c r="K129" s="471">
        <v>0.70599999999999996</v>
      </c>
      <c r="L129" s="471">
        <v>0.74399999999999999</v>
      </c>
      <c r="M129" s="471">
        <v>0.78700000000000003</v>
      </c>
      <c r="N129" s="471">
        <v>0.81599999999999995</v>
      </c>
      <c r="O129" s="371">
        <v>1</v>
      </c>
      <c r="P129" s="371">
        <v>1</v>
      </c>
      <c r="Q129" s="371">
        <v>1</v>
      </c>
      <c r="R129" s="371">
        <v>1</v>
      </c>
      <c r="S129" s="371">
        <v>1</v>
      </c>
      <c r="T129" s="371">
        <v>1</v>
      </c>
      <c r="U129" s="371">
        <v>1</v>
      </c>
      <c r="V129" s="371">
        <v>1</v>
      </c>
      <c r="W129" s="371">
        <v>2</v>
      </c>
      <c r="X129" s="371">
        <v>2</v>
      </c>
      <c r="Y129" s="381">
        <v>1000</v>
      </c>
    </row>
    <row r="130" spans="1:26" x14ac:dyDescent="0.2">
      <c r="A130" s="378" t="s">
        <v>34</v>
      </c>
      <c r="B130" s="471">
        <v>0</v>
      </c>
      <c r="C130" s="471">
        <v>8.3030000000000008</v>
      </c>
      <c r="D130" s="471">
        <v>85.68</v>
      </c>
      <c r="E130" s="471">
        <v>96.149000000000001</v>
      </c>
      <c r="F130" s="471">
        <v>78.820999999999998</v>
      </c>
      <c r="G130" s="471">
        <v>83.634</v>
      </c>
      <c r="H130" s="471">
        <v>77.858000000000004</v>
      </c>
      <c r="I130" s="471">
        <v>62.575000000000003</v>
      </c>
      <c r="J130" s="471">
        <v>55.716000000000001</v>
      </c>
      <c r="K130" s="471">
        <v>23.946999999999999</v>
      </c>
      <c r="L130" s="471">
        <v>9.1460000000000008</v>
      </c>
      <c r="M130" s="471">
        <v>2.7679999999999998</v>
      </c>
      <c r="N130" s="471">
        <v>0</v>
      </c>
      <c r="O130" s="373">
        <v>0</v>
      </c>
      <c r="P130" s="373">
        <v>0</v>
      </c>
      <c r="Q130" s="373">
        <v>0</v>
      </c>
      <c r="R130" s="373">
        <v>0</v>
      </c>
      <c r="S130" s="373">
        <v>0</v>
      </c>
      <c r="T130" s="373">
        <v>0</v>
      </c>
      <c r="U130" s="373">
        <v>0</v>
      </c>
      <c r="V130" s="373">
        <f>U130</f>
        <v>0</v>
      </c>
      <c r="W130" s="373">
        <f>V130</f>
        <v>0</v>
      </c>
      <c r="X130" s="373">
        <f>W130</f>
        <v>0</v>
      </c>
      <c r="Y130" s="382">
        <v>0</v>
      </c>
    </row>
    <row r="131" spans="1:26" ht="13.5" thickBot="1" x14ac:dyDescent="0.25">
      <c r="A131" s="379" t="s">
        <v>119</v>
      </c>
      <c r="B131" s="374">
        <f t="shared" ref="B131:X131" si="29">(C130+B130)*(C129-B129)/2</f>
        <v>4.1515000000000007E-3</v>
      </c>
      <c r="C131" s="375">
        <f t="shared" si="29"/>
        <v>0.56389800000000001</v>
      </c>
      <c r="D131" s="375">
        <f t="shared" si="29"/>
        <v>0.90914500000000009</v>
      </c>
      <c r="E131" s="375">
        <f t="shared" si="29"/>
        <v>2.5370649999999997</v>
      </c>
      <c r="F131" s="375">
        <f t="shared" si="29"/>
        <v>3.8989200000000004</v>
      </c>
      <c r="G131" s="375">
        <f t="shared" si="29"/>
        <v>22.528134000000005</v>
      </c>
      <c r="H131" s="375">
        <f t="shared" si="29"/>
        <v>18.396723000000001</v>
      </c>
      <c r="I131" s="375">
        <f t="shared" si="29"/>
        <v>1.4194920000000013</v>
      </c>
      <c r="J131" s="375">
        <f t="shared" si="29"/>
        <v>1.633091499999997</v>
      </c>
      <c r="K131" s="375">
        <f t="shared" si="29"/>
        <v>0.62876700000000063</v>
      </c>
      <c r="L131" s="375">
        <f t="shared" si="29"/>
        <v>0.25615100000000024</v>
      </c>
      <c r="M131" s="375">
        <f t="shared" si="29"/>
        <v>4.013599999999988E-2</v>
      </c>
      <c r="N131" s="375">
        <f t="shared" si="29"/>
        <v>0</v>
      </c>
      <c r="O131" s="375">
        <f t="shared" si="29"/>
        <v>0</v>
      </c>
      <c r="P131" s="375">
        <f t="shared" si="29"/>
        <v>0</v>
      </c>
      <c r="Q131" s="375">
        <f t="shared" si="29"/>
        <v>0</v>
      </c>
      <c r="R131" s="375">
        <f t="shared" si="29"/>
        <v>0</v>
      </c>
      <c r="S131" s="375">
        <f t="shared" si="29"/>
        <v>0</v>
      </c>
      <c r="T131" s="375">
        <f t="shared" si="29"/>
        <v>0</v>
      </c>
      <c r="U131" s="375">
        <f t="shared" si="29"/>
        <v>0</v>
      </c>
      <c r="V131" s="375">
        <f t="shared" si="29"/>
        <v>0</v>
      </c>
      <c r="W131" s="375">
        <f t="shared" si="29"/>
        <v>0</v>
      </c>
      <c r="X131" s="375">
        <f t="shared" si="29"/>
        <v>0</v>
      </c>
      <c r="Y131" s="369"/>
    </row>
    <row r="132" spans="1:26" ht="13.5" thickBot="1" x14ac:dyDescent="0.25">
      <c r="A132" s="6" t="s">
        <v>317</v>
      </c>
    </row>
    <row r="133" spans="1:26" ht="13.5" thickBot="1" x14ac:dyDescent="0.25">
      <c r="A133" s="361" t="s">
        <v>385</v>
      </c>
      <c r="B133" s="359">
        <f>ROW(A133)</f>
        <v>133</v>
      </c>
      <c r="C133" s="363" t="s">
        <v>118</v>
      </c>
      <c r="D133" s="353">
        <f>SUM(B136:Y136)</f>
        <v>41.835000000000015</v>
      </c>
      <c r="E133" s="363" t="s">
        <v>117</v>
      </c>
      <c r="F133" s="354">
        <f>D133/g/J133</f>
        <v>121.84359982525126</v>
      </c>
      <c r="G133" s="363" t="s">
        <v>59</v>
      </c>
      <c r="H133" s="64">
        <v>0.104</v>
      </c>
      <c r="I133" s="363" t="s">
        <v>274</v>
      </c>
      <c r="J133" s="355">
        <f>H133-L133</f>
        <v>3.4999999999999989E-2</v>
      </c>
      <c r="K133" s="363" t="s">
        <v>275</v>
      </c>
      <c r="L133" s="64">
        <v>6.9000000000000006E-2</v>
      </c>
      <c r="M133" s="363" t="s">
        <v>60</v>
      </c>
      <c r="N133" s="65">
        <v>49</v>
      </c>
      <c r="O133" s="363" t="s">
        <v>62</v>
      </c>
      <c r="P133" s="65">
        <v>49</v>
      </c>
      <c r="Q133" s="363" t="s">
        <v>63</v>
      </c>
      <c r="R133" s="65">
        <v>98</v>
      </c>
      <c r="S133" s="363" t="s">
        <v>64</v>
      </c>
      <c r="T133" s="65">
        <v>29</v>
      </c>
      <c r="U133" s="363" t="s">
        <v>57</v>
      </c>
      <c r="V133" s="66" t="s">
        <v>403</v>
      </c>
      <c r="W133" s="463" t="s">
        <v>398</v>
      </c>
      <c r="X133" s="465">
        <v>1.07</v>
      </c>
      <c r="Y133" s="463" t="s">
        <v>397</v>
      </c>
      <c r="Z133" s="358">
        <v>11</v>
      </c>
    </row>
    <row r="134" spans="1:26" x14ac:dyDescent="0.2">
      <c r="A134" s="362" t="s">
        <v>33</v>
      </c>
      <c r="B134" s="370">
        <v>0</v>
      </c>
      <c r="C134" s="371">
        <v>0.01</v>
      </c>
      <c r="D134" s="371">
        <v>0.02</v>
      </c>
      <c r="E134" s="371">
        <v>0.03</v>
      </c>
      <c r="F134" s="371">
        <v>0.04</v>
      </c>
      <c r="G134" s="371">
        <v>0.06</v>
      </c>
      <c r="H134" s="371">
        <v>7.0000000000000007E-2</v>
      </c>
      <c r="I134" s="371">
        <v>0.08</v>
      </c>
      <c r="J134" s="371">
        <v>0.1</v>
      </c>
      <c r="K134" s="371">
        <v>0.2</v>
      </c>
      <c r="L134" s="371">
        <v>0.3</v>
      </c>
      <c r="M134" s="371">
        <v>0.4</v>
      </c>
      <c r="N134" s="371">
        <v>0.5</v>
      </c>
      <c r="O134" s="371">
        <v>0.6</v>
      </c>
      <c r="P134" s="371">
        <v>0.7</v>
      </c>
      <c r="Q134" s="371">
        <v>0.8</v>
      </c>
      <c r="R134" s="371">
        <v>0.85</v>
      </c>
      <c r="S134" s="371">
        <v>0.92</v>
      </c>
      <c r="T134" s="371">
        <v>0.95</v>
      </c>
      <c r="U134" s="371">
        <v>0.99</v>
      </c>
      <c r="V134" s="371">
        <v>1.05</v>
      </c>
      <c r="W134" s="371">
        <v>1.05</v>
      </c>
      <c r="X134" s="371">
        <v>2</v>
      </c>
      <c r="Y134" s="381">
        <v>1000</v>
      </c>
    </row>
    <row r="135" spans="1:26" x14ac:dyDescent="0.2">
      <c r="A135" s="378" t="s">
        <v>34</v>
      </c>
      <c r="B135" s="372">
        <v>0</v>
      </c>
      <c r="C135" s="373">
        <v>12</v>
      </c>
      <c r="D135" s="373">
        <v>46</v>
      </c>
      <c r="E135" s="373">
        <v>75</v>
      </c>
      <c r="F135" s="373">
        <v>79</v>
      </c>
      <c r="G135" s="373">
        <v>77</v>
      </c>
      <c r="H135" s="373">
        <v>62</v>
      </c>
      <c r="I135" s="373">
        <v>32</v>
      </c>
      <c r="J135" s="373">
        <v>35</v>
      </c>
      <c r="K135" s="373">
        <v>38</v>
      </c>
      <c r="L135" s="373">
        <v>39</v>
      </c>
      <c r="M135" s="373">
        <v>41</v>
      </c>
      <c r="N135" s="373">
        <v>43</v>
      </c>
      <c r="O135" s="373">
        <v>43</v>
      </c>
      <c r="P135" s="373">
        <v>43</v>
      </c>
      <c r="Q135" s="373">
        <v>43</v>
      </c>
      <c r="R135" s="373">
        <v>47</v>
      </c>
      <c r="S135" s="373">
        <v>54</v>
      </c>
      <c r="T135" s="373">
        <v>32</v>
      </c>
      <c r="U135" s="373">
        <v>8</v>
      </c>
      <c r="V135" s="373">
        <v>0</v>
      </c>
      <c r="W135" s="373">
        <v>0</v>
      </c>
      <c r="X135" s="373">
        <v>0</v>
      </c>
      <c r="Y135" s="382">
        <v>0</v>
      </c>
    </row>
    <row r="136" spans="1:26" ht="13.5" thickBot="1" x14ac:dyDescent="0.25">
      <c r="A136" s="379" t="s">
        <v>119</v>
      </c>
      <c r="B136" s="374">
        <f t="shared" ref="B136:X136" si="30">(C135+B135)*(C134-B134)/2</f>
        <v>0.06</v>
      </c>
      <c r="C136" s="375">
        <f t="shared" si="30"/>
        <v>0.28999999999999998</v>
      </c>
      <c r="D136" s="375">
        <f t="shared" si="30"/>
        <v>0.60499999999999987</v>
      </c>
      <c r="E136" s="375">
        <f t="shared" si="30"/>
        <v>0.77000000000000013</v>
      </c>
      <c r="F136" s="375">
        <f t="shared" si="30"/>
        <v>1.5599999999999998</v>
      </c>
      <c r="G136" s="375">
        <f t="shared" si="30"/>
        <v>0.69500000000000062</v>
      </c>
      <c r="H136" s="375">
        <f t="shared" si="30"/>
        <v>0.46999999999999975</v>
      </c>
      <c r="I136" s="375">
        <f t="shared" si="30"/>
        <v>0.67000000000000015</v>
      </c>
      <c r="J136" s="375">
        <f t="shared" si="30"/>
        <v>3.6500000000000004</v>
      </c>
      <c r="K136" s="375">
        <f t="shared" si="30"/>
        <v>3.8499999999999992</v>
      </c>
      <c r="L136" s="375">
        <f t="shared" si="30"/>
        <v>4.0000000000000018</v>
      </c>
      <c r="M136" s="375">
        <f t="shared" si="30"/>
        <v>4.1999999999999993</v>
      </c>
      <c r="N136" s="375">
        <f t="shared" si="30"/>
        <v>4.2999999999999989</v>
      </c>
      <c r="O136" s="375">
        <f t="shared" si="30"/>
        <v>4.2999999999999989</v>
      </c>
      <c r="P136" s="375">
        <f t="shared" si="30"/>
        <v>4.3000000000000043</v>
      </c>
      <c r="Q136" s="375">
        <f t="shared" si="30"/>
        <v>2.2499999999999969</v>
      </c>
      <c r="R136" s="375">
        <f t="shared" si="30"/>
        <v>3.5350000000000033</v>
      </c>
      <c r="S136" s="375">
        <f t="shared" si="30"/>
        <v>1.2899999999999965</v>
      </c>
      <c r="T136" s="375">
        <f t="shared" si="30"/>
        <v>0.80000000000000071</v>
      </c>
      <c r="U136" s="375">
        <f t="shared" si="30"/>
        <v>0.24000000000000021</v>
      </c>
      <c r="V136" s="375">
        <f t="shared" si="30"/>
        <v>0</v>
      </c>
      <c r="W136" s="375">
        <f t="shared" si="30"/>
        <v>0</v>
      </c>
      <c r="X136" s="375">
        <f t="shared" si="30"/>
        <v>0</v>
      </c>
      <c r="Y136" s="369"/>
    </row>
    <row r="137" spans="1:26" ht="13.5" thickBot="1" x14ac:dyDescent="0.2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6" ht="13.5" thickBot="1" x14ac:dyDescent="0.25">
      <c r="A138" s="361" t="s">
        <v>386</v>
      </c>
      <c r="B138" s="359">
        <f>ROW(A138)</f>
        <v>138</v>
      </c>
      <c r="C138" s="363" t="s">
        <v>118</v>
      </c>
      <c r="D138" s="353">
        <f>SUM(B141:Y141)</f>
        <v>52.564999999999998</v>
      </c>
      <c r="E138" s="363" t="s">
        <v>117</v>
      </c>
      <c r="F138" s="354">
        <f>D138/g/J138</f>
        <v>167.44712028542301</v>
      </c>
      <c r="G138" s="363" t="s">
        <v>59</v>
      </c>
      <c r="H138" s="64">
        <v>0.10100000000000001</v>
      </c>
      <c r="I138" s="363" t="s">
        <v>274</v>
      </c>
      <c r="J138" s="355">
        <f>H138-L138</f>
        <v>3.2000000000000001E-2</v>
      </c>
      <c r="K138" s="363" t="s">
        <v>275</v>
      </c>
      <c r="L138" s="64">
        <v>6.9000000000000006E-2</v>
      </c>
      <c r="M138" s="363" t="s">
        <v>60</v>
      </c>
      <c r="N138" s="65">
        <v>49</v>
      </c>
      <c r="O138" s="363" t="s">
        <v>62</v>
      </c>
      <c r="P138" s="65">
        <v>49</v>
      </c>
      <c r="Q138" s="363" t="s">
        <v>63</v>
      </c>
      <c r="R138" s="65">
        <v>98</v>
      </c>
      <c r="S138" s="363" t="s">
        <v>64</v>
      </c>
      <c r="T138" s="65">
        <v>29</v>
      </c>
      <c r="U138" s="363" t="s">
        <v>57</v>
      </c>
      <c r="V138" s="66" t="s">
        <v>403</v>
      </c>
      <c r="W138" s="463" t="s">
        <v>398</v>
      </c>
      <c r="X138" s="465">
        <v>1.8</v>
      </c>
      <c r="Y138" s="463" t="s">
        <v>397</v>
      </c>
      <c r="Z138" s="358">
        <v>12</v>
      </c>
    </row>
    <row r="139" spans="1:26" x14ac:dyDescent="0.2">
      <c r="A139" s="362" t="s">
        <v>33</v>
      </c>
      <c r="B139" s="370">
        <v>0</v>
      </c>
      <c r="C139" s="371">
        <v>0.01</v>
      </c>
      <c r="D139" s="371">
        <v>0.03</v>
      </c>
      <c r="E139" s="371">
        <v>0.04</v>
      </c>
      <c r="F139" s="371">
        <v>0.05</v>
      </c>
      <c r="G139" s="371">
        <v>0.06</v>
      </c>
      <c r="H139" s="371">
        <v>7.0000000000000007E-2</v>
      </c>
      <c r="I139" s="371">
        <v>0.08</v>
      </c>
      <c r="J139" s="371">
        <v>0.09</v>
      </c>
      <c r="K139" s="371">
        <v>0.1</v>
      </c>
      <c r="L139" s="371">
        <v>0.2</v>
      </c>
      <c r="M139" s="371">
        <v>0.3</v>
      </c>
      <c r="N139" s="371">
        <v>0.4</v>
      </c>
      <c r="O139" s="371">
        <v>0.5</v>
      </c>
      <c r="P139" s="371">
        <v>0.7</v>
      </c>
      <c r="Q139" s="371">
        <v>0.8</v>
      </c>
      <c r="R139" s="371">
        <v>0.9</v>
      </c>
      <c r="S139" s="371">
        <v>1</v>
      </c>
      <c r="T139" s="371">
        <v>1.1000000000000001</v>
      </c>
      <c r="U139" s="371">
        <v>1.24</v>
      </c>
      <c r="V139" s="371">
        <v>1.3</v>
      </c>
      <c r="W139" s="371">
        <v>1.5</v>
      </c>
      <c r="X139" s="371">
        <v>2</v>
      </c>
      <c r="Y139" s="381">
        <v>1000</v>
      </c>
    </row>
    <row r="140" spans="1:26" x14ac:dyDescent="0.2">
      <c r="A140" s="378" t="s">
        <v>34</v>
      </c>
      <c r="B140" s="372">
        <v>0</v>
      </c>
      <c r="C140" s="373">
        <v>12</v>
      </c>
      <c r="D140" s="373">
        <v>41</v>
      </c>
      <c r="E140" s="373">
        <v>42</v>
      </c>
      <c r="F140" s="373">
        <v>42</v>
      </c>
      <c r="G140" s="373">
        <v>40</v>
      </c>
      <c r="H140" s="373">
        <v>34</v>
      </c>
      <c r="I140" s="373">
        <v>34</v>
      </c>
      <c r="J140" s="373">
        <v>35</v>
      </c>
      <c r="K140" s="373">
        <v>36</v>
      </c>
      <c r="L140" s="373">
        <v>40</v>
      </c>
      <c r="M140" s="373">
        <v>42</v>
      </c>
      <c r="N140" s="373">
        <v>43</v>
      </c>
      <c r="O140" s="373">
        <v>43</v>
      </c>
      <c r="P140" s="373">
        <v>43</v>
      </c>
      <c r="Q140" s="373">
        <v>42</v>
      </c>
      <c r="R140" s="373">
        <v>41</v>
      </c>
      <c r="S140" s="373">
        <v>40</v>
      </c>
      <c r="T140" s="373">
        <v>38</v>
      </c>
      <c r="U140" s="373">
        <v>37</v>
      </c>
      <c r="V140" s="373">
        <v>12</v>
      </c>
      <c r="W140" s="373">
        <v>0</v>
      </c>
      <c r="X140" s="373">
        <v>0</v>
      </c>
      <c r="Y140" s="382">
        <v>0</v>
      </c>
    </row>
    <row r="141" spans="1:26" ht="13.5" thickBot="1" x14ac:dyDescent="0.25">
      <c r="A141" s="379" t="s">
        <v>119</v>
      </c>
      <c r="B141" s="374">
        <f t="shared" ref="B141:X141" si="31">(C140+B140)*(C139-B139)/2</f>
        <v>0.06</v>
      </c>
      <c r="C141" s="375">
        <f t="shared" si="31"/>
        <v>0.52999999999999992</v>
      </c>
      <c r="D141" s="375">
        <f t="shared" si="31"/>
        <v>0.41500000000000009</v>
      </c>
      <c r="E141" s="375">
        <f t="shared" si="31"/>
        <v>0.4200000000000001</v>
      </c>
      <c r="F141" s="375">
        <f t="shared" si="31"/>
        <v>0.40999999999999981</v>
      </c>
      <c r="G141" s="375">
        <f t="shared" si="31"/>
        <v>0.37000000000000033</v>
      </c>
      <c r="H141" s="375">
        <f t="shared" si="31"/>
        <v>0.33999999999999986</v>
      </c>
      <c r="I141" s="375">
        <f t="shared" si="31"/>
        <v>0.34499999999999981</v>
      </c>
      <c r="J141" s="375">
        <f t="shared" si="31"/>
        <v>0.35500000000000032</v>
      </c>
      <c r="K141" s="375">
        <f t="shared" si="31"/>
        <v>3.8000000000000003</v>
      </c>
      <c r="L141" s="375">
        <f t="shared" si="31"/>
        <v>4.0999999999999988</v>
      </c>
      <c r="M141" s="375">
        <f t="shared" si="31"/>
        <v>4.2500000000000018</v>
      </c>
      <c r="N141" s="375">
        <f t="shared" si="31"/>
        <v>4.2999999999999989</v>
      </c>
      <c r="O141" s="375">
        <f t="shared" si="31"/>
        <v>8.5999999999999979</v>
      </c>
      <c r="P141" s="375">
        <f t="shared" si="31"/>
        <v>4.2500000000000036</v>
      </c>
      <c r="Q141" s="375">
        <f t="shared" si="31"/>
        <v>4.1499999999999995</v>
      </c>
      <c r="R141" s="375">
        <f t="shared" si="31"/>
        <v>4.0499999999999989</v>
      </c>
      <c r="S141" s="375">
        <f t="shared" si="31"/>
        <v>3.9000000000000035</v>
      </c>
      <c r="T141" s="375">
        <f t="shared" si="31"/>
        <v>5.2499999999999964</v>
      </c>
      <c r="U141" s="375">
        <f t="shared" si="31"/>
        <v>1.4700000000000013</v>
      </c>
      <c r="V141" s="375">
        <f t="shared" si="31"/>
        <v>1.1999999999999997</v>
      </c>
      <c r="W141" s="375">
        <f t="shared" si="31"/>
        <v>0</v>
      </c>
      <c r="X141" s="375">
        <f t="shared" si="31"/>
        <v>0</v>
      </c>
      <c r="Y141" s="369"/>
    </row>
    <row r="142" spans="1:26" ht="13.5" thickBot="1" x14ac:dyDescent="0.2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6" ht="13.5" thickBot="1" x14ac:dyDescent="0.25">
      <c r="A143" s="361" t="s">
        <v>387</v>
      </c>
      <c r="B143" s="359">
        <f>ROW(A143)</f>
        <v>143</v>
      </c>
      <c r="C143" s="363" t="s">
        <v>118</v>
      </c>
      <c r="D143" s="353">
        <f>SUM(B146:Y146)</f>
        <v>54.110016122119539</v>
      </c>
      <c r="E143" s="363" t="s">
        <v>117</v>
      </c>
      <c r="F143" s="354">
        <f>D143/g/J143</f>
        <v>146.69685764124625</v>
      </c>
      <c r="G143" s="363" t="s">
        <v>59</v>
      </c>
      <c r="H143" s="64">
        <v>0.10580000000000001</v>
      </c>
      <c r="I143" s="363" t="s">
        <v>274</v>
      </c>
      <c r="J143" s="355">
        <f>H143-L143</f>
        <v>3.7600000000000008E-2</v>
      </c>
      <c r="K143" s="363" t="s">
        <v>275</v>
      </c>
      <c r="L143" s="64">
        <v>6.8199999999999997E-2</v>
      </c>
      <c r="M143" s="363" t="s">
        <v>60</v>
      </c>
      <c r="N143" s="65">
        <v>49</v>
      </c>
      <c r="O143" s="363" t="s">
        <v>62</v>
      </c>
      <c r="P143" s="65">
        <v>49</v>
      </c>
      <c r="Q143" s="363" t="s">
        <v>63</v>
      </c>
      <c r="R143" s="65">
        <v>98</v>
      </c>
      <c r="S143" s="363" t="s">
        <v>64</v>
      </c>
      <c r="T143" s="65">
        <v>29</v>
      </c>
      <c r="U143" s="363" t="s">
        <v>57</v>
      </c>
      <c r="V143" s="66" t="s">
        <v>403</v>
      </c>
      <c r="W143" s="463" t="s">
        <v>398</v>
      </c>
      <c r="X143" s="465">
        <v>1.9</v>
      </c>
      <c r="Y143" s="463" t="s">
        <v>397</v>
      </c>
      <c r="Z143" s="358">
        <v>12</v>
      </c>
    </row>
    <row r="144" spans="1:26" x14ac:dyDescent="0.2">
      <c r="A144" s="362" t="s">
        <v>33</v>
      </c>
      <c r="B144" s="370">
        <v>0</v>
      </c>
      <c r="C144" s="371">
        <v>2.5000000000000001E-2</v>
      </c>
      <c r="D144" s="371">
        <v>0.05</v>
      </c>
      <c r="E144" s="371">
        <v>7.4999999999999997E-2</v>
      </c>
      <c r="F144" s="371">
        <v>0.1</v>
      </c>
      <c r="G144" s="371">
        <v>0.15</v>
      </c>
      <c r="H144" s="371">
        <v>0.17499999999999999</v>
      </c>
      <c r="I144" s="371">
        <v>0.2</v>
      </c>
      <c r="J144" s="371">
        <v>0.3</v>
      </c>
      <c r="K144" s="371">
        <v>0.4</v>
      </c>
      <c r="L144" s="371">
        <v>0.5</v>
      </c>
      <c r="M144" s="371">
        <v>0.6</v>
      </c>
      <c r="N144" s="371">
        <v>0.7</v>
      </c>
      <c r="O144" s="371">
        <v>0.8</v>
      </c>
      <c r="P144" s="371">
        <v>0.9</v>
      </c>
      <c r="Q144" s="371">
        <v>1.1000000000000001</v>
      </c>
      <c r="R144" s="371">
        <v>1.2</v>
      </c>
      <c r="S144" s="371">
        <v>1.6</v>
      </c>
      <c r="T144" s="371">
        <v>1.7</v>
      </c>
      <c r="U144" s="371">
        <v>1.8</v>
      </c>
      <c r="V144" s="371">
        <v>1.9</v>
      </c>
      <c r="W144" s="371">
        <v>1.9999</v>
      </c>
      <c r="X144" s="371">
        <v>2</v>
      </c>
      <c r="Y144" s="381">
        <v>1000</v>
      </c>
    </row>
    <row r="145" spans="1:26" x14ac:dyDescent="0.2">
      <c r="A145" s="378" t="s">
        <v>34</v>
      </c>
      <c r="B145" s="372">
        <v>0</v>
      </c>
      <c r="C145" s="376">
        <v>15.2574001848975</v>
      </c>
      <c r="D145" s="376">
        <v>26.377954255522496</v>
      </c>
      <c r="E145" s="376">
        <v>21.484910464447498</v>
      </c>
      <c r="F145" s="376">
        <v>24.020396792549999</v>
      </c>
      <c r="G145" s="376">
        <v>28.11276069054</v>
      </c>
      <c r="H145" s="376">
        <v>28.691029502212498</v>
      </c>
      <c r="I145" s="376">
        <v>29.180333881319996</v>
      </c>
      <c r="J145" s="376">
        <v>31.493409128009997</v>
      </c>
      <c r="K145" s="376">
        <v>32.560982318789996</v>
      </c>
      <c r="L145" s="376">
        <v>32.827875616484995</v>
      </c>
      <c r="M145" s="376">
        <v>32.649946751354996</v>
      </c>
      <c r="N145" s="376">
        <v>32.383053453659997</v>
      </c>
      <c r="O145" s="376">
        <v>32.249606804812501</v>
      </c>
      <c r="P145" s="376">
        <v>31.804784641987499</v>
      </c>
      <c r="Q145" s="376">
        <v>30.559282586077497</v>
      </c>
      <c r="R145" s="376">
        <v>30.069978206969999</v>
      </c>
      <c r="S145" s="376">
        <v>26.377954255522496</v>
      </c>
      <c r="T145" s="376">
        <v>24.865558901917499</v>
      </c>
      <c r="U145" s="376">
        <v>18.4601197572375</v>
      </c>
      <c r="V145" s="376">
        <v>7.5174945517424998</v>
      </c>
      <c r="W145" s="376">
        <v>1.3789487047575</v>
      </c>
      <c r="X145" s="373">
        <v>0</v>
      </c>
      <c r="Y145" s="382">
        <v>0</v>
      </c>
    </row>
    <row r="146" spans="1:26" ht="13.5" thickBot="1" x14ac:dyDescent="0.25">
      <c r="A146" s="379" t="s">
        <v>119</v>
      </c>
      <c r="B146" s="374">
        <f t="shared" ref="B146:V146" si="32">(C145+B145)*(C144-B144)/2</f>
        <v>0.19071750231121876</v>
      </c>
      <c r="C146" s="375">
        <f t="shared" si="32"/>
        <v>0.52044193050525001</v>
      </c>
      <c r="D146" s="375">
        <f t="shared" si="32"/>
        <v>0.5982858089996248</v>
      </c>
      <c r="E146" s="375">
        <f t="shared" si="32"/>
        <v>0.56881634071246889</v>
      </c>
      <c r="F146" s="375">
        <f t="shared" si="32"/>
        <v>1.3033289370772498</v>
      </c>
      <c r="G146" s="375">
        <f t="shared" si="32"/>
        <v>0.71004737740940616</v>
      </c>
      <c r="H146" s="375">
        <f t="shared" si="32"/>
        <v>0.72339204229415688</v>
      </c>
      <c r="I146" s="375">
        <f t="shared" si="32"/>
        <v>3.0336871504664993</v>
      </c>
      <c r="J146" s="375">
        <f>(K145+J145)*(K144-J144)/2</f>
        <v>3.2027195723400008</v>
      </c>
      <c r="K146" s="375">
        <f t="shared" si="32"/>
        <v>3.2694428967637483</v>
      </c>
      <c r="L146" s="375">
        <f t="shared" si="32"/>
        <v>3.2738911183919988</v>
      </c>
      <c r="M146" s="375">
        <f t="shared" si="32"/>
        <v>3.2516500102507484</v>
      </c>
      <c r="N146" s="375">
        <f t="shared" si="32"/>
        <v>3.2316330129236279</v>
      </c>
      <c r="O146" s="375">
        <f t="shared" si="32"/>
        <v>3.202719572339999</v>
      </c>
      <c r="P146" s="375">
        <f t="shared" si="32"/>
        <v>6.2364067228065014</v>
      </c>
      <c r="Q146" s="375">
        <f t="shared" si="32"/>
        <v>3.0314630396523707</v>
      </c>
      <c r="R146" s="375">
        <f t="shared" si="32"/>
        <v>11.289586492498502</v>
      </c>
      <c r="S146" s="375">
        <f>(T145+S145)*(T144-S144)/2</f>
        <v>2.5621756578719963</v>
      </c>
      <c r="T146" s="375">
        <f t="shared" si="32"/>
        <v>2.1662839329577519</v>
      </c>
      <c r="U146" s="375">
        <f t="shared" si="32"/>
        <v>1.2988807154489983</v>
      </c>
      <c r="V146" s="375">
        <f t="shared" si="32"/>
        <v>0.44437734066217544</v>
      </c>
      <c r="W146" s="375">
        <f>(X145+W145)*(X144-W144)/2</f>
        <v>6.894743523786741E-5</v>
      </c>
      <c r="X146" s="375">
        <f>(Y145+X145)*(Y144-X144)/2</f>
        <v>0</v>
      </c>
      <c r="Y146" s="369"/>
    </row>
    <row r="147" spans="1:26" ht="13.5" thickBot="1" x14ac:dyDescent="0.2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6" ht="13.5" thickBot="1" x14ac:dyDescent="0.25">
      <c r="A148" s="361" t="s">
        <v>388</v>
      </c>
      <c r="B148" s="359">
        <f>ROW(A148)</f>
        <v>148</v>
      </c>
      <c r="C148" s="363" t="s">
        <v>118</v>
      </c>
      <c r="D148" s="353">
        <f>SUM(B151:Y151)</f>
        <v>55.705884500000003</v>
      </c>
      <c r="E148" s="363" t="s">
        <v>117</v>
      </c>
      <c r="F148" s="354">
        <f>D148/g/J148</f>
        <v>180.84329814241278</v>
      </c>
      <c r="G148" s="363" t="s">
        <v>59</v>
      </c>
      <c r="H148" s="64">
        <v>0.1062</v>
      </c>
      <c r="I148" s="363" t="s">
        <v>274</v>
      </c>
      <c r="J148" s="355">
        <f>H148-L148</f>
        <v>3.1400000000000011E-2</v>
      </c>
      <c r="K148" s="363" t="s">
        <v>275</v>
      </c>
      <c r="L148" s="64">
        <v>7.4799999999999991E-2</v>
      </c>
      <c r="M148" s="363" t="s">
        <v>60</v>
      </c>
      <c r="N148" s="65">
        <v>49</v>
      </c>
      <c r="O148" s="363" t="s">
        <v>62</v>
      </c>
      <c r="P148" s="65">
        <v>49</v>
      </c>
      <c r="Q148" s="363" t="s">
        <v>63</v>
      </c>
      <c r="R148" s="65">
        <v>98</v>
      </c>
      <c r="S148" s="363" t="s">
        <v>64</v>
      </c>
      <c r="T148" s="65">
        <v>29</v>
      </c>
      <c r="U148" s="363" t="s">
        <v>57</v>
      </c>
      <c r="V148" s="66" t="s">
        <v>404</v>
      </c>
      <c r="W148" s="463" t="s">
        <v>398</v>
      </c>
      <c r="X148" s="465">
        <v>0.45</v>
      </c>
      <c r="Y148" s="463" t="s">
        <v>397</v>
      </c>
      <c r="Z148" s="358">
        <v>14</v>
      </c>
    </row>
    <row r="149" spans="1:26" x14ac:dyDescent="0.2">
      <c r="A149" s="362" t="s">
        <v>33</v>
      </c>
      <c r="B149" s="370">
        <v>0</v>
      </c>
      <c r="C149" s="371">
        <v>1.2999999999999999E-2</v>
      </c>
      <c r="D149" s="371">
        <v>1.7000000000000001E-2</v>
      </c>
      <c r="E149" s="371">
        <v>0.04</v>
      </c>
      <c r="F149" s="371">
        <v>0.125</v>
      </c>
      <c r="G149" s="371">
        <v>0.17899999999999999</v>
      </c>
      <c r="H149" s="371">
        <v>0.222</v>
      </c>
      <c r="I149" s="371">
        <v>0.28899999999999998</v>
      </c>
      <c r="J149" s="371">
        <v>0.35399999999999998</v>
      </c>
      <c r="K149" s="371">
        <v>0.39400000000000002</v>
      </c>
      <c r="L149" s="371">
        <v>0.40600000000000003</v>
      </c>
      <c r="M149" s="371">
        <v>0.41599999999999998</v>
      </c>
      <c r="N149" s="371">
        <v>0.42299999999999999</v>
      </c>
      <c r="O149" s="371">
        <v>0.43099999999999999</v>
      </c>
      <c r="P149" s="371">
        <v>0.44700000000000001</v>
      </c>
      <c r="Q149" s="371">
        <v>0.45300000000000001</v>
      </c>
      <c r="R149" s="371">
        <v>0.45500000000000002</v>
      </c>
      <c r="S149" s="371">
        <v>0.45500000000000002</v>
      </c>
      <c r="T149" s="371">
        <v>0.45500000000000002</v>
      </c>
      <c r="U149" s="371">
        <v>0.45500000000000002</v>
      </c>
      <c r="V149" s="371">
        <v>0.45500000000000002</v>
      </c>
      <c r="W149" s="371">
        <v>0.45500000000000002</v>
      </c>
      <c r="X149" s="371">
        <v>2</v>
      </c>
      <c r="Y149" s="381">
        <v>1000</v>
      </c>
    </row>
    <row r="150" spans="1:26" x14ac:dyDescent="0.2">
      <c r="A150" s="378" t="s">
        <v>34</v>
      </c>
      <c r="B150" s="372">
        <v>0</v>
      </c>
      <c r="C150" s="373">
        <v>79.242000000000004</v>
      </c>
      <c r="D150" s="373">
        <v>90.427000000000007</v>
      </c>
      <c r="E150" s="373">
        <v>101.422</v>
      </c>
      <c r="F150" s="373">
        <v>127.583</v>
      </c>
      <c r="G150" s="373">
        <v>136.114</v>
      </c>
      <c r="H150" s="373">
        <v>139.905</v>
      </c>
      <c r="I150" s="373">
        <v>143.50700000000001</v>
      </c>
      <c r="J150" s="373">
        <v>138.578</v>
      </c>
      <c r="K150" s="373">
        <v>125.498</v>
      </c>
      <c r="L150" s="373">
        <v>123.602</v>
      </c>
      <c r="M150" s="373">
        <v>125.11799999999999</v>
      </c>
      <c r="N150" s="373">
        <v>130.047</v>
      </c>
      <c r="O150" s="373">
        <v>120.569</v>
      </c>
      <c r="P150" s="373">
        <v>25.591999999999999</v>
      </c>
      <c r="Q150" s="373">
        <v>8.7200000000000006</v>
      </c>
      <c r="R150" s="373">
        <v>0</v>
      </c>
      <c r="S150" s="373">
        <v>0</v>
      </c>
      <c r="T150" s="373">
        <v>0</v>
      </c>
      <c r="U150" s="373">
        <v>0</v>
      </c>
      <c r="V150" s="373">
        <v>0</v>
      </c>
      <c r="W150" s="373">
        <v>0</v>
      </c>
      <c r="X150" s="373">
        <v>0</v>
      </c>
      <c r="Y150" s="382">
        <v>0</v>
      </c>
    </row>
    <row r="151" spans="1:26" ht="13.5" thickBot="1" x14ac:dyDescent="0.25">
      <c r="A151" s="379" t="s">
        <v>119</v>
      </c>
      <c r="B151" s="374">
        <f t="shared" ref="B151:X151" si="33">(C150+B150)*(C149-B149)/2</f>
        <v>0.515073</v>
      </c>
      <c r="C151" s="375">
        <f t="shared" si="33"/>
        <v>0.3393380000000002</v>
      </c>
      <c r="D151" s="375">
        <f t="shared" si="33"/>
        <v>2.2062634999999999</v>
      </c>
      <c r="E151" s="375">
        <f t="shared" si="33"/>
        <v>9.7327124999999981</v>
      </c>
      <c r="F151" s="375">
        <f t="shared" si="33"/>
        <v>7.1198189999999988</v>
      </c>
      <c r="G151" s="375">
        <f t="shared" si="33"/>
        <v>5.9344085000000018</v>
      </c>
      <c r="H151" s="375">
        <f t="shared" si="33"/>
        <v>9.4943019999999976</v>
      </c>
      <c r="I151" s="375">
        <f t="shared" si="33"/>
        <v>9.167762500000002</v>
      </c>
      <c r="J151" s="375">
        <f t="shared" si="33"/>
        <v>5.2815200000000049</v>
      </c>
      <c r="K151" s="375">
        <f t="shared" si="33"/>
        <v>1.4946000000000015</v>
      </c>
      <c r="L151" s="375">
        <f t="shared" si="33"/>
        <v>1.2435999999999943</v>
      </c>
      <c r="M151" s="375">
        <f t="shared" si="33"/>
        <v>0.89307750000000075</v>
      </c>
      <c r="N151" s="375">
        <f t="shared" si="33"/>
        <v>1.0024640000000009</v>
      </c>
      <c r="O151" s="375">
        <f t="shared" si="33"/>
        <v>1.169288000000001</v>
      </c>
      <c r="P151" s="375">
        <f t="shared" si="33"/>
        <v>0.10293600000000008</v>
      </c>
      <c r="Q151" s="375">
        <f t="shared" si="33"/>
        <v>8.720000000000009E-3</v>
      </c>
      <c r="R151" s="375">
        <f t="shared" si="33"/>
        <v>0</v>
      </c>
      <c r="S151" s="375">
        <f t="shared" si="33"/>
        <v>0</v>
      </c>
      <c r="T151" s="375">
        <f t="shared" si="33"/>
        <v>0</v>
      </c>
      <c r="U151" s="375">
        <f t="shared" si="33"/>
        <v>0</v>
      </c>
      <c r="V151" s="375">
        <f t="shared" si="33"/>
        <v>0</v>
      </c>
      <c r="W151" s="375">
        <f t="shared" si="33"/>
        <v>0</v>
      </c>
      <c r="X151" s="375">
        <f t="shared" si="33"/>
        <v>0</v>
      </c>
      <c r="Y151" s="369"/>
    </row>
    <row r="152" spans="1:26" ht="13.5" thickBot="1" x14ac:dyDescent="0.2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6" ht="13.5" thickBot="1" x14ac:dyDescent="0.25">
      <c r="A153" s="361" t="s">
        <v>389</v>
      </c>
      <c r="B153" s="359">
        <f>ROW(A153)</f>
        <v>153</v>
      </c>
      <c r="C153" s="363" t="s">
        <v>118</v>
      </c>
      <c r="D153" s="353">
        <f>SUM(B156:Y156)</f>
        <v>57.190000000000005</v>
      </c>
      <c r="E153" s="363" t="s">
        <v>117</v>
      </c>
      <c r="F153" s="354">
        <f>D153/g/J153</f>
        <v>188.05695307618953</v>
      </c>
      <c r="G153" s="363" t="s">
        <v>59</v>
      </c>
      <c r="H153" s="64">
        <v>9.9000000000000005E-2</v>
      </c>
      <c r="I153" s="363" t="s">
        <v>274</v>
      </c>
      <c r="J153" s="355">
        <f>H153-L153</f>
        <v>3.1E-2</v>
      </c>
      <c r="K153" s="363" t="s">
        <v>275</v>
      </c>
      <c r="L153" s="64">
        <v>6.8000000000000005E-2</v>
      </c>
      <c r="M153" s="363" t="s">
        <v>60</v>
      </c>
      <c r="N153" s="65">
        <v>49</v>
      </c>
      <c r="O153" s="363" t="s">
        <v>62</v>
      </c>
      <c r="P153" s="65">
        <v>49</v>
      </c>
      <c r="Q153" s="363" t="s">
        <v>63</v>
      </c>
      <c r="R153" s="65">
        <v>98</v>
      </c>
      <c r="S153" s="363" t="s">
        <v>64</v>
      </c>
      <c r="T153" s="65">
        <v>29</v>
      </c>
      <c r="U153" s="363" t="s">
        <v>57</v>
      </c>
      <c r="V153" s="66" t="s">
        <v>403</v>
      </c>
      <c r="W153" s="463" t="s">
        <v>398</v>
      </c>
      <c r="X153" s="465">
        <v>0.96</v>
      </c>
      <c r="Y153" s="463" t="s">
        <v>397</v>
      </c>
      <c r="Z153" s="358">
        <v>12</v>
      </c>
    </row>
    <row r="154" spans="1:26" x14ac:dyDescent="0.2">
      <c r="A154" s="362" t="s">
        <v>33</v>
      </c>
      <c r="B154" s="370">
        <v>0</v>
      </c>
      <c r="C154" s="371">
        <v>0.01</v>
      </c>
      <c r="D154" s="371">
        <v>0.02</v>
      </c>
      <c r="E154" s="371">
        <v>0.03</v>
      </c>
      <c r="F154" s="371">
        <v>0.04</v>
      </c>
      <c r="G154" s="371">
        <v>7.0000000000000007E-2</v>
      </c>
      <c r="H154" s="371">
        <v>0.1</v>
      </c>
      <c r="I154" s="371">
        <v>0.2</v>
      </c>
      <c r="J154" s="371">
        <v>0.3</v>
      </c>
      <c r="K154" s="371">
        <v>0.4</v>
      </c>
      <c r="L154" s="371">
        <v>0.5</v>
      </c>
      <c r="M154" s="371">
        <v>0.6</v>
      </c>
      <c r="N154" s="371">
        <v>0.7</v>
      </c>
      <c r="O154" s="371">
        <v>0.87</v>
      </c>
      <c r="P154" s="371">
        <v>0.9</v>
      </c>
      <c r="Q154" s="371">
        <v>0.97</v>
      </c>
      <c r="R154" s="371">
        <v>0.97</v>
      </c>
      <c r="S154" s="371">
        <v>0.97</v>
      </c>
      <c r="T154" s="371">
        <v>0.97</v>
      </c>
      <c r="U154" s="371">
        <v>0.97</v>
      </c>
      <c r="V154" s="371">
        <v>0.97</v>
      </c>
      <c r="W154" s="371">
        <v>0.97</v>
      </c>
      <c r="X154" s="371">
        <v>2</v>
      </c>
      <c r="Y154" s="381">
        <v>1000</v>
      </c>
    </row>
    <row r="155" spans="1:26" x14ac:dyDescent="0.2">
      <c r="A155" s="378" t="s">
        <v>34</v>
      </c>
      <c r="B155" s="372">
        <v>0</v>
      </c>
      <c r="C155" s="373">
        <v>16</v>
      </c>
      <c r="D155" s="373">
        <v>62</v>
      </c>
      <c r="E155" s="373">
        <v>67</v>
      </c>
      <c r="F155" s="373">
        <v>71</v>
      </c>
      <c r="G155" s="373">
        <v>58</v>
      </c>
      <c r="H155" s="373">
        <v>63</v>
      </c>
      <c r="I155" s="373">
        <v>67</v>
      </c>
      <c r="J155" s="373">
        <v>69</v>
      </c>
      <c r="K155" s="373">
        <v>67</v>
      </c>
      <c r="L155" s="373">
        <v>65</v>
      </c>
      <c r="M155" s="373">
        <v>63</v>
      </c>
      <c r="N155" s="373">
        <v>61</v>
      </c>
      <c r="O155" s="373">
        <v>60</v>
      </c>
      <c r="P155" s="373">
        <v>23</v>
      </c>
      <c r="Q155" s="373">
        <v>0</v>
      </c>
      <c r="R155" s="373">
        <v>0</v>
      </c>
      <c r="S155" s="373">
        <v>0</v>
      </c>
      <c r="T155" s="373">
        <v>0</v>
      </c>
      <c r="U155" s="373">
        <v>0</v>
      </c>
      <c r="V155" s="373">
        <v>0</v>
      </c>
      <c r="W155" s="373">
        <v>0</v>
      </c>
      <c r="X155" s="373">
        <v>0</v>
      </c>
      <c r="Y155" s="382">
        <v>0</v>
      </c>
    </row>
    <row r="156" spans="1:26" ht="13.5" thickBot="1" x14ac:dyDescent="0.25">
      <c r="A156" s="379" t="s">
        <v>119</v>
      </c>
      <c r="B156" s="374">
        <f t="shared" ref="B156:X156" si="34">(C155+B155)*(C154-B154)/2</f>
        <v>0.08</v>
      </c>
      <c r="C156" s="375">
        <f t="shared" si="34"/>
        <v>0.39</v>
      </c>
      <c r="D156" s="375">
        <f t="shared" si="34"/>
        <v>0.64499999999999991</v>
      </c>
      <c r="E156" s="375">
        <f t="shared" si="34"/>
        <v>0.69000000000000017</v>
      </c>
      <c r="F156" s="375">
        <f t="shared" si="34"/>
        <v>1.9350000000000003</v>
      </c>
      <c r="G156" s="375">
        <f t="shared" si="34"/>
        <v>1.8149999999999999</v>
      </c>
      <c r="H156" s="375">
        <f t="shared" si="34"/>
        <v>6.5</v>
      </c>
      <c r="I156" s="375">
        <f t="shared" si="34"/>
        <v>6.7999999999999989</v>
      </c>
      <c r="J156" s="375">
        <f t="shared" si="34"/>
        <v>6.8000000000000025</v>
      </c>
      <c r="K156" s="375">
        <f t="shared" si="34"/>
        <v>6.5999999999999988</v>
      </c>
      <c r="L156" s="375">
        <f t="shared" si="34"/>
        <v>6.3999999999999986</v>
      </c>
      <c r="M156" s="375">
        <f t="shared" si="34"/>
        <v>6.1999999999999984</v>
      </c>
      <c r="N156" s="375">
        <f t="shared" si="34"/>
        <v>10.285000000000002</v>
      </c>
      <c r="O156" s="375">
        <f t="shared" si="34"/>
        <v>1.245000000000001</v>
      </c>
      <c r="P156" s="375">
        <f t="shared" si="34"/>
        <v>0.80499999999999949</v>
      </c>
      <c r="Q156" s="375">
        <f t="shared" si="34"/>
        <v>0</v>
      </c>
      <c r="R156" s="375">
        <f t="shared" si="34"/>
        <v>0</v>
      </c>
      <c r="S156" s="375">
        <f t="shared" si="34"/>
        <v>0</v>
      </c>
      <c r="T156" s="375">
        <f t="shared" si="34"/>
        <v>0</v>
      </c>
      <c r="U156" s="375">
        <f t="shared" si="34"/>
        <v>0</v>
      </c>
      <c r="V156" s="375">
        <f t="shared" si="34"/>
        <v>0</v>
      </c>
      <c r="W156" s="375">
        <f t="shared" si="34"/>
        <v>0</v>
      </c>
      <c r="X156" s="375">
        <f t="shared" si="34"/>
        <v>0</v>
      </c>
      <c r="Y156" s="369"/>
    </row>
    <row r="157" spans="1:26" ht="13.5" thickBot="1" x14ac:dyDescent="0.25">
      <c r="A157" s="6" t="s">
        <v>318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6" ht="13.5" thickBot="1" x14ac:dyDescent="0.25">
      <c r="A158" s="361" t="s">
        <v>325</v>
      </c>
      <c r="B158" s="359">
        <f>ROW(A158)</f>
        <v>158</v>
      </c>
      <c r="C158" s="363" t="s">
        <v>118</v>
      </c>
      <c r="D158" s="353">
        <f>SUM(B161:Y161)</f>
        <v>59.702267000000006</v>
      </c>
      <c r="E158" s="363" t="s">
        <v>117</v>
      </c>
      <c r="F158" s="354">
        <f>D158/g/J158</f>
        <v>190.77924771281306</v>
      </c>
      <c r="G158" s="363" t="s">
        <v>59</v>
      </c>
      <c r="H158" s="64">
        <v>9.3899999999999997E-2</v>
      </c>
      <c r="I158" s="363" t="s">
        <v>274</v>
      </c>
      <c r="J158" s="355">
        <f>H158-L158</f>
        <v>3.1899999999999998E-2</v>
      </c>
      <c r="K158" s="363" t="s">
        <v>275</v>
      </c>
      <c r="L158" s="64">
        <f>0.095-0.033</f>
        <v>6.2E-2</v>
      </c>
      <c r="M158" s="363" t="s">
        <v>60</v>
      </c>
      <c r="N158" s="396">
        <v>66.5</v>
      </c>
      <c r="O158" s="363" t="s">
        <v>62</v>
      </c>
      <c r="P158" s="396">
        <v>66.5</v>
      </c>
      <c r="Q158" s="363" t="s">
        <v>63</v>
      </c>
      <c r="R158" s="65">
        <v>133</v>
      </c>
      <c r="S158" s="363" t="s">
        <v>64</v>
      </c>
      <c r="T158" s="65">
        <v>24</v>
      </c>
      <c r="U158" s="363" t="s">
        <v>57</v>
      </c>
      <c r="V158" s="66" t="s">
        <v>403</v>
      </c>
      <c r="W158" s="463" t="s">
        <v>398</v>
      </c>
      <c r="X158" s="465">
        <v>1.2</v>
      </c>
      <c r="Y158" s="463" t="s">
        <v>397</v>
      </c>
      <c r="Z158" s="358">
        <v>13</v>
      </c>
    </row>
    <row r="159" spans="1:26" x14ac:dyDescent="0.2">
      <c r="A159" s="362" t="s">
        <v>33</v>
      </c>
      <c r="B159" s="370">
        <v>0</v>
      </c>
      <c r="C159" s="371">
        <v>1.4999999999999999E-2</v>
      </c>
      <c r="D159" s="371">
        <v>2.1999999999999999E-2</v>
      </c>
      <c r="E159" s="371">
        <v>6.4000000000000001E-2</v>
      </c>
      <c r="F159" s="371">
        <v>0.11799999999999999</v>
      </c>
      <c r="G159" s="371">
        <v>0.34200000000000003</v>
      </c>
      <c r="H159" s="371">
        <v>0.53600000000000003</v>
      </c>
      <c r="I159" s="371">
        <v>0.74299999999999999</v>
      </c>
      <c r="J159" s="371">
        <v>0.88400000000000001</v>
      </c>
      <c r="K159" s="371">
        <v>0.97599999999999998</v>
      </c>
      <c r="L159" s="371">
        <v>1.0960000000000001</v>
      </c>
      <c r="M159" s="371">
        <v>1.246</v>
      </c>
      <c r="N159" s="371">
        <v>1.298</v>
      </c>
      <c r="O159" s="371">
        <v>2</v>
      </c>
      <c r="P159" s="371">
        <v>2</v>
      </c>
      <c r="Q159" s="371">
        <v>2</v>
      </c>
      <c r="R159" s="371">
        <v>2</v>
      </c>
      <c r="S159" s="371">
        <v>2</v>
      </c>
      <c r="T159" s="371">
        <v>2</v>
      </c>
      <c r="U159" s="371">
        <v>2</v>
      </c>
      <c r="V159" s="371">
        <v>2</v>
      </c>
      <c r="W159" s="371">
        <v>2</v>
      </c>
      <c r="X159" s="371">
        <f t="shared" ref="T159:X160" si="35">W159</f>
        <v>2</v>
      </c>
      <c r="Y159" s="381">
        <v>1000</v>
      </c>
    </row>
    <row r="160" spans="1:26" x14ac:dyDescent="0.2">
      <c r="A160" s="378" t="s">
        <v>34</v>
      </c>
      <c r="B160" s="372">
        <v>0</v>
      </c>
      <c r="C160" s="373">
        <v>64.981999999999999</v>
      </c>
      <c r="D160" s="373">
        <v>69.516000000000005</v>
      </c>
      <c r="E160" s="373">
        <v>55.536999999999999</v>
      </c>
      <c r="F160" s="373">
        <v>62.81</v>
      </c>
      <c r="G160" s="373">
        <v>62.149000000000001</v>
      </c>
      <c r="H160" s="373">
        <v>59.41</v>
      </c>
      <c r="I160" s="373">
        <v>53.837000000000003</v>
      </c>
      <c r="J160" s="373">
        <v>46.942</v>
      </c>
      <c r="K160" s="373">
        <v>40.046999999999997</v>
      </c>
      <c r="L160" s="373">
        <v>12.561999999999999</v>
      </c>
      <c r="M160" s="373">
        <v>2.0779999999999998</v>
      </c>
      <c r="N160" s="373">
        <v>0</v>
      </c>
      <c r="O160" s="373">
        <v>0</v>
      </c>
      <c r="P160" s="373">
        <v>0</v>
      </c>
      <c r="Q160" s="373">
        <v>0</v>
      </c>
      <c r="R160" s="373">
        <v>0</v>
      </c>
      <c r="S160" s="373">
        <v>0</v>
      </c>
      <c r="T160" s="373">
        <f t="shared" si="35"/>
        <v>0</v>
      </c>
      <c r="U160" s="373">
        <f t="shared" si="35"/>
        <v>0</v>
      </c>
      <c r="V160" s="373">
        <f t="shared" si="35"/>
        <v>0</v>
      </c>
      <c r="W160" s="373">
        <f t="shared" si="35"/>
        <v>0</v>
      </c>
      <c r="X160" s="373">
        <f t="shared" si="35"/>
        <v>0</v>
      </c>
      <c r="Y160" s="382">
        <v>0</v>
      </c>
    </row>
    <row r="161" spans="1:26" ht="13.5" thickBot="1" x14ac:dyDescent="0.25">
      <c r="A161" s="379" t="s">
        <v>119</v>
      </c>
      <c r="B161" s="374">
        <f t="shared" ref="B161:V161" si="36">(C160+B160)*(C159-B159)/2</f>
        <v>0.48736499999999999</v>
      </c>
      <c r="C161" s="375">
        <f t="shared" si="36"/>
        <v>0.47074299999999991</v>
      </c>
      <c r="D161" s="375">
        <f t="shared" si="36"/>
        <v>2.6261130000000001</v>
      </c>
      <c r="E161" s="375">
        <f t="shared" si="36"/>
        <v>3.1953689999999999</v>
      </c>
      <c r="F161" s="375">
        <f t="shared" si="36"/>
        <v>13.995408000000003</v>
      </c>
      <c r="G161" s="375">
        <f t="shared" si="36"/>
        <v>11.791223</v>
      </c>
      <c r="H161" s="375">
        <f t="shared" si="36"/>
        <v>11.721064499999997</v>
      </c>
      <c r="I161" s="375">
        <f t="shared" si="36"/>
        <v>7.1049195000000003</v>
      </c>
      <c r="J161" s="375">
        <f>(K160+J160)*(K159-J159)/2</f>
        <v>4.0014939999999992</v>
      </c>
      <c r="K161" s="375">
        <f t="shared" si="36"/>
        <v>3.1565400000000023</v>
      </c>
      <c r="L161" s="375">
        <f t="shared" si="36"/>
        <v>1.0979999999999992</v>
      </c>
      <c r="M161" s="375">
        <f t="shared" si="36"/>
        <v>5.4028000000000041E-2</v>
      </c>
      <c r="N161" s="375">
        <f t="shared" si="36"/>
        <v>0</v>
      </c>
      <c r="O161" s="375">
        <f t="shared" si="36"/>
        <v>0</v>
      </c>
      <c r="P161" s="375">
        <f t="shared" si="36"/>
        <v>0</v>
      </c>
      <c r="Q161" s="375">
        <f t="shared" si="36"/>
        <v>0</v>
      </c>
      <c r="R161" s="375">
        <f t="shared" si="36"/>
        <v>0</v>
      </c>
      <c r="S161" s="375">
        <f>(T160+S160)*(T159-S159)/2</f>
        <v>0</v>
      </c>
      <c r="T161" s="375">
        <f t="shared" si="36"/>
        <v>0</v>
      </c>
      <c r="U161" s="375">
        <f t="shared" si="36"/>
        <v>0</v>
      </c>
      <c r="V161" s="375">
        <f t="shared" si="36"/>
        <v>0</v>
      </c>
      <c r="W161" s="375">
        <f>(X160+W160)*(X159-W159)/2</f>
        <v>0</v>
      </c>
      <c r="X161" s="375">
        <f>(Y160+X160)*(Y159-X159)/2</f>
        <v>0</v>
      </c>
      <c r="Y161" s="369"/>
    </row>
    <row r="162" spans="1:26" ht="13.5" thickBot="1" x14ac:dyDescent="0.25"/>
    <row r="163" spans="1:26" ht="13.5" thickBot="1" x14ac:dyDescent="0.25">
      <c r="A163" s="361" t="s">
        <v>326</v>
      </c>
      <c r="B163" s="359">
        <f>ROW(A163)</f>
        <v>163</v>
      </c>
      <c r="C163" s="363" t="s">
        <v>118</v>
      </c>
      <c r="D163" s="353">
        <f>SUM(B166:Y166)</f>
        <v>68.380602999999994</v>
      </c>
      <c r="E163" s="363" t="s">
        <v>117</v>
      </c>
      <c r="F163" s="354">
        <f>D163/g/J163</f>
        <v>134.04807300243078</v>
      </c>
      <c r="G163" s="363" t="s">
        <v>59</v>
      </c>
      <c r="H163" s="64">
        <v>0.1075</v>
      </c>
      <c r="I163" s="363" t="s">
        <v>274</v>
      </c>
      <c r="J163" s="355">
        <f>H163-L163</f>
        <v>5.1999999999999998E-2</v>
      </c>
      <c r="K163" s="363" t="s">
        <v>275</v>
      </c>
      <c r="L163" s="64">
        <v>5.5500000000000001E-2</v>
      </c>
      <c r="M163" s="363" t="s">
        <v>60</v>
      </c>
      <c r="N163" s="396">
        <v>66.5</v>
      </c>
      <c r="O163" s="363" t="s">
        <v>62</v>
      </c>
      <c r="P163" s="396">
        <v>66.5</v>
      </c>
      <c r="Q163" s="363" t="s">
        <v>63</v>
      </c>
      <c r="R163" s="65">
        <v>133</v>
      </c>
      <c r="S163" s="363" t="s">
        <v>64</v>
      </c>
      <c r="T163" s="65">
        <v>24</v>
      </c>
      <c r="U163" s="363" t="s">
        <v>57</v>
      </c>
      <c r="V163" s="66" t="s">
        <v>403</v>
      </c>
      <c r="W163" s="463" t="s">
        <v>398</v>
      </c>
      <c r="X163" s="465">
        <v>0.86</v>
      </c>
      <c r="Y163" s="463" t="s">
        <v>397</v>
      </c>
      <c r="Z163" s="358">
        <v>13</v>
      </c>
    </row>
    <row r="164" spans="1:26" x14ac:dyDescent="0.2">
      <c r="A164" s="362" t="s">
        <v>33</v>
      </c>
      <c r="B164" s="370">
        <v>0</v>
      </c>
      <c r="C164" s="371">
        <v>5.0000000000000001E-3</v>
      </c>
      <c r="D164" s="371">
        <v>1.2999999999999999E-2</v>
      </c>
      <c r="E164" s="371">
        <v>2.1999999999999999E-2</v>
      </c>
      <c r="F164" s="371">
        <v>4.2999999999999997E-2</v>
      </c>
      <c r="G164" s="371">
        <v>0.11899999999999999</v>
      </c>
      <c r="H164" s="371">
        <v>0.19800000000000001</v>
      </c>
      <c r="I164" s="371">
        <v>0.26700000000000002</v>
      </c>
      <c r="J164" s="371">
        <v>0.34300000000000003</v>
      </c>
      <c r="K164" s="371">
        <v>0.40400000000000003</v>
      </c>
      <c r="L164" s="371">
        <v>0.498</v>
      </c>
      <c r="M164" s="371">
        <v>0.55500000000000005</v>
      </c>
      <c r="N164" s="371">
        <v>0.622</v>
      </c>
      <c r="O164" s="371">
        <v>0.66300000000000003</v>
      </c>
      <c r="P164" s="371">
        <v>0.70399999999999996</v>
      </c>
      <c r="Q164" s="371">
        <v>0.72899999999999998</v>
      </c>
      <c r="R164" s="371">
        <v>0.747</v>
      </c>
      <c r="S164" s="371">
        <v>0.76800000000000002</v>
      </c>
      <c r="T164" s="371">
        <v>0.82099999999999995</v>
      </c>
      <c r="U164" s="371">
        <v>0.85199999999999998</v>
      </c>
      <c r="V164" s="371">
        <v>0.89200000000000002</v>
      </c>
      <c r="W164" s="371">
        <v>1</v>
      </c>
      <c r="X164" s="371">
        <v>2</v>
      </c>
      <c r="Y164" s="381">
        <v>1000</v>
      </c>
    </row>
    <row r="165" spans="1:26" x14ac:dyDescent="0.2">
      <c r="A165" s="378" t="s">
        <v>34</v>
      </c>
      <c r="B165" s="372">
        <v>0</v>
      </c>
      <c r="C165" s="373">
        <v>60</v>
      </c>
      <c r="D165" s="373">
        <v>89.007000000000005</v>
      </c>
      <c r="E165" s="373">
        <v>96.290999999999997</v>
      </c>
      <c r="F165" s="373">
        <v>81.721999999999994</v>
      </c>
      <c r="G165" s="373">
        <v>85.563000000000002</v>
      </c>
      <c r="H165" s="373">
        <v>87.947000000000003</v>
      </c>
      <c r="I165" s="373">
        <v>89.272000000000006</v>
      </c>
      <c r="J165" s="373">
        <v>89.933999999999997</v>
      </c>
      <c r="K165" s="373">
        <v>90.861000000000004</v>
      </c>
      <c r="L165" s="373">
        <v>91.522999999999996</v>
      </c>
      <c r="M165" s="373">
        <v>89.668999999999997</v>
      </c>
      <c r="N165" s="373">
        <v>83.974000000000004</v>
      </c>
      <c r="O165" s="373">
        <v>80.53</v>
      </c>
      <c r="P165" s="373">
        <v>78.94</v>
      </c>
      <c r="Q165" s="373">
        <v>74.171999999999997</v>
      </c>
      <c r="R165" s="373">
        <v>66.887</v>
      </c>
      <c r="S165" s="373">
        <v>53.774999999999999</v>
      </c>
      <c r="T165" s="373">
        <v>18.542999999999999</v>
      </c>
      <c r="U165" s="373">
        <v>7.8150000000000004</v>
      </c>
      <c r="V165" s="373">
        <v>2.1190000000000002</v>
      </c>
      <c r="W165" s="373">
        <v>0</v>
      </c>
      <c r="X165" s="373">
        <v>0</v>
      </c>
      <c r="Y165" s="382">
        <v>0</v>
      </c>
    </row>
    <row r="166" spans="1:26" ht="13.5" thickBot="1" x14ac:dyDescent="0.25">
      <c r="A166" s="379" t="s">
        <v>119</v>
      </c>
      <c r="B166" s="374">
        <f t="shared" ref="B166:X166" si="37">(C165+B165)*(C164-B164)/2</f>
        <v>0.15</v>
      </c>
      <c r="C166" s="375">
        <f t="shared" si="37"/>
        <v>0.596028</v>
      </c>
      <c r="D166" s="375">
        <f t="shared" si="37"/>
        <v>0.83384099999999994</v>
      </c>
      <c r="E166" s="375">
        <f t="shared" si="37"/>
        <v>1.8691364999999995</v>
      </c>
      <c r="F166" s="375">
        <f t="shared" si="37"/>
        <v>6.3568299999999995</v>
      </c>
      <c r="G166" s="375">
        <f t="shared" si="37"/>
        <v>6.8536450000000011</v>
      </c>
      <c r="H166" s="375">
        <f t="shared" si="37"/>
        <v>6.1140555000000001</v>
      </c>
      <c r="I166" s="375">
        <f t="shared" si="37"/>
        <v>6.8098280000000013</v>
      </c>
      <c r="J166" s="375">
        <f t="shared" si="37"/>
        <v>5.5142475000000006</v>
      </c>
      <c r="K166" s="375">
        <f t="shared" si="37"/>
        <v>8.5720479999999988</v>
      </c>
      <c r="L166" s="375">
        <f t="shared" si="37"/>
        <v>5.1639720000000047</v>
      </c>
      <c r="M166" s="375">
        <f t="shared" si="37"/>
        <v>5.8170404999999956</v>
      </c>
      <c r="N166" s="375">
        <f t="shared" si="37"/>
        <v>3.3723320000000032</v>
      </c>
      <c r="O166" s="375">
        <f t="shared" si="37"/>
        <v>3.2691349999999941</v>
      </c>
      <c r="P166" s="375">
        <f t="shared" si="37"/>
        <v>1.9139000000000017</v>
      </c>
      <c r="Q166" s="375">
        <f t="shared" si="37"/>
        <v>1.2695310000000011</v>
      </c>
      <c r="R166" s="375">
        <f t="shared" si="37"/>
        <v>1.2669510000000013</v>
      </c>
      <c r="S166" s="375">
        <f t="shared" si="37"/>
        <v>1.9164269999999977</v>
      </c>
      <c r="T166" s="375">
        <f t="shared" si="37"/>
        <v>0.40854900000000038</v>
      </c>
      <c r="U166" s="375">
        <f t="shared" si="37"/>
        <v>0.19868000000000019</v>
      </c>
      <c r="V166" s="375">
        <f t="shared" si="37"/>
        <v>0.114426</v>
      </c>
      <c r="W166" s="375">
        <f t="shared" si="37"/>
        <v>0</v>
      </c>
      <c r="X166" s="375">
        <f t="shared" si="37"/>
        <v>0</v>
      </c>
      <c r="Y166" s="369"/>
    </row>
    <row r="167" spans="1:26" ht="13.5" thickBot="1" x14ac:dyDescent="0.2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6" ht="13.5" thickBot="1" x14ac:dyDescent="0.25">
      <c r="A168" s="361" t="s">
        <v>327</v>
      </c>
      <c r="B168" s="359">
        <f>ROW(A168)</f>
        <v>168</v>
      </c>
      <c r="C168" s="363" t="s">
        <v>118</v>
      </c>
      <c r="D168" s="353">
        <f>SUM(B171:Y171)</f>
        <v>67.985428500000012</v>
      </c>
      <c r="E168" s="363" t="s">
        <v>117</v>
      </c>
      <c r="F168" s="354">
        <f>D168/g/J168</f>
        <v>181.89545859519862</v>
      </c>
      <c r="G168" s="363" t="s">
        <v>59</v>
      </c>
      <c r="H168" s="64">
        <v>9.1799999999999993E-2</v>
      </c>
      <c r="I168" s="363" t="s">
        <v>274</v>
      </c>
      <c r="J168" s="355">
        <f>H168-L168</f>
        <v>3.8099999999999988E-2</v>
      </c>
      <c r="K168" s="363" t="s">
        <v>275</v>
      </c>
      <c r="L168" s="64">
        <v>5.3700000000000005E-2</v>
      </c>
      <c r="M168" s="363" t="s">
        <v>60</v>
      </c>
      <c r="N168" s="396">
        <v>66.5</v>
      </c>
      <c r="O168" s="363" t="s">
        <v>62</v>
      </c>
      <c r="P168" s="396">
        <v>66.5</v>
      </c>
      <c r="Q168" s="363" t="s">
        <v>63</v>
      </c>
      <c r="R168" s="65">
        <v>133</v>
      </c>
      <c r="S168" s="363" t="s">
        <v>64</v>
      </c>
      <c r="T168" s="65">
        <v>24</v>
      </c>
      <c r="U168" s="363" t="s">
        <v>57</v>
      </c>
      <c r="V168" s="66" t="s">
        <v>403</v>
      </c>
      <c r="W168" s="463" t="s">
        <v>398</v>
      </c>
      <c r="X168" s="465">
        <v>0.33</v>
      </c>
      <c r="Y168" s="463" t="s">
        <v>397</v>
      </c>
      <c r="Z168" s="358">
        <v>15</v>
      </c>
    </row>
    <row r="169" spans="1:26" x14ac:dyDescent="0.2">
      <c r="A169" s="362" t="s">
        <v>33</v>
      </c>
      <c r="B169" s="370">
        <v>0</v>
      </c>
      <c r="C169" s="371">
        <v>4.0000000000000001E-3</v>
      </c>
      <c r="D169" s="371">
        <v>7.0000000000000001E-3</v>
      </c>
      <c r="E169" s="371">
        <v>0.01</v>
      </c>
      <c r="F169" s="371">
        <v>2.1999999999999999E-2</v>
      </c>
      <c r="G169" s="371">
        <v>2.8000000000000001E-2</v>
      </c>
      <c r="H169" s="371">
        <v>4.1000000000000002E-2</v>
      </c>
      <c r="I169" s="371">
        <v>5.8000000000000003E-2</v>
      </c>
      <c r="J169" s="371">
        <v>7.6999999999999999E-2</v>
      </c>
      <c r="K169" s="371">
        <v>8.8999999999999996E-2</v>
      </c>
      <c r="L169" s="371">
        <v>9.7000000000000003E-2</v>
      </c>
      <c r="M169" s="371">
        <v>0.11899999999999999</v>
      </c>
      <c r="N169" s="371">
        <v>0.14699999999999999</v>
      </c>
      <c r="O169" s="371">
        <v>0.17699999999999999</v>
      </c>
      <c r="P169" s="371">
        <v>0.20699999999999999</v>
      </c>
      <c r="Q169" s="371">
        <v>0.253</v>
      </c>
      <c r="R169" s="371">
        <v>0.25900000000000001</v>
      </c>
      <c r="S169" s="371">
        <v>0.27200000000000002</v>
      </c>
      <c r="T169" s="371">
        <v>0.28000000000000003</v>
      </c>
      <c r="U169" s="371">
        <v>0.28599999999999998</v>
      </c>
      <c r="V169" s="371">
        <v>0.29399999999999998</v>
      </c>
      <c r="W169" s="371">
        <v>0.32800000000000001</v>
      </c>
      <c r="X169" s="371">
        <v>2</v>
      </c>
      <c r="Y169" s="381">
        <v>1000</v>
      </c>
    </row>
    <row r="170" spans="1:26" x14ac:dyDescent="0.2">
      <c r="A170" s="378" t="s">
        <v>34</v>
      </c>
      <c r="B170" s="372">
        <v>0</v>
      </c>
      <c r="C170" s="376">
        <v>100.52800000000001</v>
      </c>
      <c r="D170" s="376">
        <v>197.49299999999999</v>
      </c>
      <c r="E170" s="376">
        <v>222.03200000000001</v>
      </c>
      <c r="F170" s="376">
        <v>241.42500000000001</v>
      </c>
      <c r="G170" s="376">
        <v>237.863</v>
      </c>
      <c r="H170" s="376">
        <v>239.446</v>
      </c>
      <c r="I170" s="376">
        <v>252.50700000000001</v>
      </c>
      <c r="J170" s="376">
        <v>263.98399999999998</v>
      </c>
      <c r="K170" s="376">
        <v>275.46199999999999</v>
      </c>
      <c r="L170" s="376">
        <v>271.50400000000002</v>
      </c>
      <c r="M170" s="376">
        <v>278.62799999999999</v>
      </c>
      <c r="N170" s="376">
        <v>281.39800000000002</v>
      </c>
      <c r="O170" s="376">
        <v>272.29599999999999</v>
      </c>
      <c r="P170" s="376">
        <v>258.44299999999998</v>
      </c>
      <c r="Q170" s="376">
        <v>218.47</v>
      </c>
      <c r="R170" s="376">
        <v>188.786</v>
      </c>
      <c r="S170" s="376">
        <v>74.802000000000007</v>
      </c>
      <c r="T170" s="376">
        <v>31.265999999999998</v>
      </c>
      <c r="U170" s="376">
        <v>15.831</v>
      </c>
      <c r="V170" s="376">
        <v>8.7070000000000007</v>
      </c>
      <c r="W170" s="376">
        <v>0</v>
      </c>
      <c r="X170" s="373">
        <v>0</v>
      </c>
      <c r="Y170" s="382">
        <v>0</v>
      </c>
    </row>
    <row r="171" spans="1:26" ht="13.5" thickBot="1" x14ac:dyDescent="0.25">
      <c r="A171" s="379" t="s">
        <v>119</v>
      </c>
      <c r="B171" s="374">
        <f t="shared" ref="B171:X171" si="38">(C170+B170)*(C169-B169)/2</f>
        <v>0.20105600000000001</v>
      </c>
      <c r="C171" s="375">
        <f t="shared" si="38"/>
        <v>0.44703150000000003</v>
      </c>
      <c r="D171" s="375">
        <f t="shared" si="38"/>
        <v>0.6292875</v>
      </c>
      <c r="E171" s="375">
        <f t="shared" si="38"/>
        <v>2.7807419999999996</v>
      </c>
      <c r="F171" s="375">
        <f t="shared" si="38"/>
        <v>1.4378640000000005</v>
      </c>
      <c r="G171" s="375">
        <f t="shared" si="38"/>
        <v>3.1025084999999999</v>
      </c>
      <c r="H171" s="375">
        <f t="shared" si="38"/>
        <v>4.1816005000000001</v>
      </c>
      <c r="I171" s="375">
        <f t="shared" si="38"/>
        <v>4.9066644999999989</v>
      </c>
      <c r="J171" s="375">
        <f t="shared" si="38"/>
        <v>3.2366759999999988</v>
      </c>
      <c r="K171" s="375">
        <f t="shared" si="38"/>
        <v>2.187864000000002</v>
      </c>
      <c r="L171" s="375">
        <f t="shared" si="38"/>
        <v>6.0514519999999985</v>
      </c>
      <c r="M171" s="375">
        <f t="shared" si="38"/>
        <v>7.8403640000000001</v>
      </c>
      <c r="N171" s="375">
        <f t="shared" si="38"/>
        <v>8.3054099999999984</v>
      </c>
      <c r="O171" s="375">
        <f t="shared" si="38"/>
        <v>7.9610850000000006</v>
      </c>
      <c r="P171" s="375">
        <f t="shared" si="38"/>
        <v>10.968999000000004</v>
      </c>
      <c r="Q171" s="375">
        <f t="shared" si="38"/>
        <v>1.2217680000000011</v>
      </c>
      <c r="R171" s="375">
        <f t="shared" si="38"/>
        <v>1.7133220000000016</v>
      </c>
      <c r="S171" s="375">
        <f t="shared" si="38"/>
        <v>0.42427200000000043</v>
      </c>
      <c r="T171" s="375">
        <f t="shared" si="38"/>
        <v>0.14129099999999881</v>
      </c>
      <c r="U171" s="375">
        <f t="shared" si="38"/>
        <v>9.8152000000000086E-2</v>
      </c>
      <c r="V171" s="375">
        <f t="shared" si="38"/>
        <v>0.14801900000000015</v>
      </c>
      <c r="W171" s="375">
        <f t="shared" si="38"/>
        <v>0</v>
      </c>
      <c r="X171" s="375">
        <f t="shared" si="38"/>
        <v>0</v>
      </c>
      <c r="Y171" s="369"/>
    </row>
    <row r="172" spans="1:26" ht="13.5" thickBot="1" x14ac:dyDescent="0.2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6" ht="13.5" thickBot="1" x14ac:dyDescent="0.25">
      <c r="A173" s="361" t="s">
        <v>328</v>
      </c>
      <c r="B173" s="359">
        <f>ROW(A173)</f>
        <v>173</v>
      </c>
      <c r="C173" s="363" t="s">
        <v>118</v>
      </c>
      <c r="D173" s="353">
        <f>SUM(B176:Y176)</f>
        <v>73.557381500000005</v>
      </c>
      <c r="E173" s="363" t="s">
        <v>117</v>
      </c>
      <c r="F173" s="354">
        <f>D173/g/J173</f>
        <v>156.86619302308719</v>
      </c>
      <c r="G173" s="363" t="s">
        <v>59</v>
      </c>
      <c r="H173" s="64">
        <v>0.1022</v>
      </c>
      <c r="I173" s="363" t="s">
        <v>274</v>
      </c>
      <c r="J173" s="355">
        <f>H173-L173</f>
        <v>4.7800000000000002E-2</v>
      </c>
      <c r="K173" s="363" t="s">
        <v>275</v>
      </c>
      <c r="L173" s="64">
        <v>5.4399999999999997E-2</v>
      </c>
      <c r="M173" s="363" t="s">
        <v>60</v>
      </c>
      <c r="N173" s="396">
        <v>66.5</v>
      </c>
      <c r="O173" s="363" t="s">
        <v>62</v>
      </c>
      <c r="P173" s="396">
        <v>66.5</v>
      </c>
      <c r="Q173" s="363" t="s">
        <v>63</v>
      </c>
      <c r="R173" s="65">
        <v>133</v>
      </c>
      <c r="S173" s="363" t="s">
        <v>64</v>
      </c>
      <c r="T173" s="65">
        <v>24</v>
      </c>
      <c r="U173" s="363" t="s">
        <v>57</v>
      </c>
      <c r="V173" s="66" t="s">
        <v>403</v>
      </c>
      <c r="W173" s="463" t="s">
        <v>398</v>
      </c>
      <c r="X173" s="465">
        <v>2.36</v>
      </c>
      <c r="Y173" s="463" t="s">
        <v>397</v>
      </c>
      <c r="Z173" s="358">
        <v>6</v>
      </c>
    </row>
    <row r="174" spans="1:26" x14ac:dyDescent="0.2">
      <c r="A174" s="362" t="s">
        <v>33</v>
      </c>
      <c r="B174" s="370">
        <v>0</v>
      </c>
      <c r="C174" s="371">
        <v>1.4E-2</v>
      </c>
      <c r="D174" s="371">
        <v>5.6000000000000001E-2</v>
      </c>
      <c r="E174" s="371">
        <v>9.1999999999999998E-2</v>
      </c>
      <c r="F174" s="371">
        <v>0.16</v>
      </c>
      <c r="G174" s="371">
        <v>0.23200000000000001</v>
      </c>
      <c r="H174" s="371">
        <v>0.36299999999999999</v>
      </c>
      <c r="I174" s="371">
        <v>0.499</v>
      </c>
      <c r="J174" s="371">
        <v>0.65500000000000003</v>
      </c>
      <c r="K174" s="371">
        <v>0.84299999999999997</v>
      </c>
      <c r="L174" s="371">
        <v>1.216</v>
      </c>
      <c r="M174" s="371">
        <v>1.3680000000000001</v>
      </c>
      <c r="N174" s="371">
        <v>1.54</v>
      </c>
      <c r="O174" s="371">
        <v>1.675</v>
      </c>
      <c r="P174" s="371">
        <v>1.861</v>
      </c>
      <c r="Q174" s="371">
        <v>2.0129999999999999</v>
      </c>
      <c r="R174" s="371">
        <v>2.1589999999999998</v>
      </c>
      <c r="S174" s="371">
        <v>2.302</v>
      </c>
      <c r="T174" s="371">
        <v>2.4620000000000002</v>
      </c>
      <c r="U174" s="371">
        <v>2.5979999999999999</v>
      </c>
      <c r="V174" s="371">
        <v>2.5979999999999999</v>
      </c>
      <c r="W174" s="371">
        <v>2.5979999999999999</v>
      </c>
      <c r="X174" s="371">
        <v>2.5979999999999999</v>
      </c>
      <c r="Y174" s="381">
        <v>1000</v>
      </c>
    </row>
    <row r="175" spans="1:26" x14ac:dyDescent="0.2">
      <c r="A175" s="378" t="s">
        <v>34</v>
      </c>
      <c r="B175" s="372">
        <v>0</v>
      </c>
      <c r="C175" s="376">
        <v>54.222000000000001</v>
      </c>
      <c r="D175" s="376">
        <v>43.456000000000003</v>
      </c>
      <c r="E175" s="376">
        <v>50.185000000000002</v>
      </c>
      <c r="F175" s="376">
        <v>54.063000000000002</v>
      </c>
      <c r="G175" s="376">
        <v>48.363999999999997</v>
      </c>
      <c r="H175" s="376">
        <v>45.752000000000002</v>
      </c>
      <c r="I175" s="376">
        <v>43.14</v>
      </c>
      <c r="J175" s="376">
        <v>40.29</v>
      </c>
      <c r="K175" s="376">
        <v>37.835999999999999</v>
      </c>
      <c r="L175" s="376">
        <v>32.612000000000002</v>
      </c>
      <c r="M175" s="376">
        <v>30.317</v>
      </c>
      <c r="N175" s="376">
        <v>26.359000000000002</v>
      </c>
      <c r="O175" s="376">
        <v>23.509</v>
      </c>
      <c r="P175" s="376">
        <v>19.077000000000002</v>
      </c>
      <c r="Q175" s="376">
        <v>14.565</v>
      </c>
      <c r="R175" s="376">
        <v>10.053000000000001</v>
      </c>
      <c r="S175" s="376">
        <v>4.8280000000000003</v>
      </c>
      <c r="T175" s="376">
        <v>1.504</v>
      </c>
      <c r="U175" s="373">
        <v>0</v>
      </c>
      <c r="V175" s="373">
        <v>0</v>
      </c>
      <c r="W175" s="373">
        <v>0</v>
      </c>
      <c r="X175" s="373">
        <v>0</v>
      </c>
      <c r="Y175" s="382">
        <v>0</v>
      </c>
    </row>
    <row r="176" spans="1:26" ht="13.5" thickBot="1" x14ac:dyDescent="0.25">
      <c r="A176" s="379" t="s">
        <v>119</v>
      </c>
      <c r="B176" s="374">
        <f t="shared" ref="B176:X176" si="39">(C175+B175)*(C174-B174)/2</f>
        <v>0.379554</v>
      </c>
      <c r="C176" s="375">
        <f t="shared" si="39"/>
        <v>2.0512380000000001</v>
      </c>
      <c r="D176" s="375">
        <f t="shared" si="39"/>
        <v>1.685538</v>
      </c>
      <c r="E176" s="375">
        <f t="shared" si="39"/>
        <v>3.5444320000000005</v>
      </c>
      <c r="F176" s="375">
        <f t="shared" si="39"/>
        <v>3.6873720000000003</v>
      </c>
      <c r="G176" s="375">
        <f t="shared" si="39"/>
        <v>6.1645979999999989</v>
      </c>
      <c r="H176" s="375">
        <f t="shared" si="39"/>
        <v>6.0446559999999998</v>
      </c>
      <c r="I176" s="375">
        <f t="shared" si="39"/>
        <v>6.5075400000000014</v>
      </c>
      <c r="J176" s="375">
        <f t="shared" si="39"/>
        <v>7.343843999999998</v>
      </c>
      <c r="K176" s="375">
        <f t="shared" si="39"/>
        <v>13.138552000000001</v>
      </c>
      <c r="L176" s="375">
        <f t="shared" si="39"/>
        <v>4.7826040000000045</v>
      </c>
      <c r="M176" s="375">
        <f t="shared" si="39"/>
        <v>4.8741359999999982</v>
      </c>
      <c r="N176" s="375">
        <f t="shared" si="39"/>
        <v>3.3660900000000002</v>
      </c>
      <c r="O176" s="375">
        <f t="shared" si="39"/>
        <v>3.9604979999999985</v>
      </c>
      <c r="P176" s="375">
        <f t="shared" si="39"/>
        <v>2.5567919999999988</v>
      </c>
      <c r="Q176" s="375">
        <f t="shared" si="39"/>
        <v>1.797113999999999</v>
      </c>
      <c r="R176" s="375">
        <f t="shared" si="39"/>
        <v>1.0639915000000018</v>
      </c>
      <c r="S176" s="375">
        <f t="shared" si="39"/>
        <v>0.50656000000000045</v>
      </c>
      <c r="T176" s="375">
        <f t="shared" si="39"/>
        <v>0.10227199999999975</v>
      </c>
      <c r="U176" s="375">
        <f t="shared" si="39"/>
        <v>0</v>
      </c>
      <c r="V176" s="375">
        <f t="shared" si="39"/>
        <v>0</v>
      </c>
      <c r="W176" s="375">
        <f t="shared" si="39"/>
        <v>0</v>
      </c>
      <c r="X176" s="375">
        <f t="shared" si="39"/>
        <v>0</v>
      </c>
      <c r="Y176" s="369"/>
    </row>
    <row r="177" spans="1:26" ht="13.5" thickBot="1" x14ac:dyDescent="0.2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6" ht="13.5" thickBot="1" x14ac:dyDescent="0.25">
      <c r="A178" s="361" t="s">
        <v>329</v>
      </c>
      <c r="B178" s="359">
        <f>ROW(A178)</f>
        <v>178</v>
      </c>
      <c r="C178" s="363" t="s">
        <v>118</v>
      </c>
      <c r="D178" s="353">
        <f>SUM(B181:Y181)</f>
        <v>73.169517999999997</v>
      </c>
      <c r="E178" s="363" t="s">
        <v>117</v>
      </c>
      <c r="F178" s="354">
        <f>D178/g/J178</f>
        <v>177.58729673316827</v>
      </c>
      <c r="G178" s="363" t="s">
        <v>59</v>
      </c>
      <c r="H178" s="64">
        <v>9.6000000000000002E-2</v>
      </c>
      <c r="I178" s="363" t="s">
        <v>274</v>
      </c>
      <c r="J178" s="355">
        <f>H178-L178</f>
        <v>4.2000000000000003E-2</v>
      </c>
      <c r="K178" s="363" t="s">
        <v>275</v>
      </c>
      <c r="L178" s="64">
        <v>5.3999999999999999E-2</v>
      </c>
      <c r="M178" s="363" t="s">
        <v>60</v>
      </c>
      <c r="N178" s="396">
        <v>66.5</v>
      </c>
      <c r="O178" s="363" t="s">
        <v>62</v>
      </c>
      <c r="P178" s="396">
        <v>66.5</v>
      </c>
      <c r="Q178" s="363" t="s">
        <v>63</v>
      </c>
      <c r="R178" s="65">
        <v>133</v>
      </c>
      <c r="S178" s="363" t="s">
        <v>64</v>
      </c>
      <c r="T178" s="65">
        <v>24</v>
      </c>
      <c r="U178" s="363" t="s">
        <v>57</v>
      </c>
      <c r="V178" s="66" t="s">
        <v>403</v>
      </c>
      <c r="W178" s="463" t="s">
        <v>398</v>
      </c>
      <c r="X178" s="465">
        <v>0.87</v>
      </c>
      <c r="Y178" s="463" t="s">
        <v>397</v>
      </c>
      <c r="Z178" s="358">
        <v>15</v>
      </c>
    </row>
    <row r="179" spans="1:26" x14ac:dyDescent="0.2">
      <c r="A179" s="362" t="s">
        <v>33</v>
      </c>
      <c r="B179" s="370">
        <v>0</v>
      </c>
      <c r="C179" s="371">
        <v>0.01</v>
      </c>
      <c r="D179" s="371">
        <v>2.3E-2</v>
      </c>
      <c r="E179" s="371">
        <v>0.04</v>
      </c>
      <c r="F179" s="371">
        <v>0.11799999999999999</v>
      </c>
      <c r="G179" s="371">
        <v>0.28299999999999997</v>
      </c>
      <c r="H179" s="371">
        <v>0.51</v>
      </c>
      <c r="I179" s="371">
        <v>0.68799999999999994</v>
      </c>
      <c r="J179" s="371">
        <v>0.78700000000000003</v>
      </c>
      <c r="K179" s="371">
        <v>0.85199999999999998</v>
      </c>
      <c r="L179" s="371">
        <v>0.873</v>
      </c>
      <c r="M179" s="371">
        <v>0.873</v>
      </c>
      <c r="N179" s="371">
        <v>0.873</v>
      </c>
      <c r="O179" s="371">
        <v>0.873</v>
      </c>
      <c r="P179" s="371">
        <v>0.873</v>
      </c>
      <c r="Q179" s="371">
        <v>0.873</v>
      </c>
      <c r="R179" s="371">
        <v>0.873</v>
      </c>
      <c r="S179" s="371">
        <v>0.873</v>
      </c>
      <c r="T179" s="371">
        <v>0.873</v>
      </c>
      <c r="U179" s="371">
        <v>0.873</v>
      </c>
      <c r="V179" s="371">
        <v>0.873</v>
      </c>
      <c r="W179" s="371">
        <v>0.873</v>
      </c>
      <c r="X179" s="371">
        <v>2</v>
      </c>
      <c r="Y179" s="381">
        <v>1000</v>
      </c>
    </row>
    <row r="180" spans="1:26" x14ac:dyDescent="0.2">
      <c r="A180" s="378" t="s">
        <v>34</v>
      </c>
      <c r="B180" s="372">
        <v>0</v>
      </c>
      <c r="C180" s="376">
        <v>76.073999999999998</v>
      </c>
      <c r="D180" s="376">
        <v>100.185</v>
      </c>
      <c r="E180" s="376">
        <v>92.424999999999997</v>
      </c>
      <c r="F180" s="376">
        <v>100.878</v>
      </c>
      <c r="G180" s="376">
        <v>102.402</v>
      </c>
      <c r="H180" s="376">
        <v>96.442999999999998</v>
      </c>
      <c r="I180" s="376">
        <v>87.436000000000007</v>
      </c>
      <c r="J180" s="376">
        <v>25.911999999999999</v>
      </c>
      <c r="K180" s="376">
        <v>7.2060000000000004</v>
      </c>
      <c r="L180" s="373">
        <v>0</v>
      </c>
      <c r="M180" s="373">
        <v>0</v>
      </c>
      <c r="N180" s="373">
        <v>0</v>
      </c>
      <c r="O180" s="373">
        <v>0</v>
      </c>
      <c r="P180" s="373">
        <v>0</v>
      </c>
      <c r="Q180" s="373">
        <v>0</v>
      </c>
      <c r="R180" s="373">
        <v>0</v>
      </c>
      <c r="S180" s="373">
        <v>0</v>
      </c>
      <c r="T180" s="373">
        <v>0</v>
      </c>
      <c r="U180" s="373">
        <v>0</v>
      </c>
      <c r="V180" s="373">
        <v>0</v>
      </c>
      <c r="W180" s="373">
        <v>0</v>
      </c>
      <c r="X180" s="373">
        <v>0</v>
      </c>
      <c r="Y180" s="382">
        <v>0</v>
      </c>
    </row>
    <row r="181" spans="1:26" ht="13.5" thickBot="1" x14ac:dyDescent="0.25">
      <c r="A181" s="379" t="s">
        <v>119</v>
      </c>
      <c r="B181" s="374">
        <f t="shared" ref="B181:X181" si="40">(C180+B180)*(C179-B179)/2</f>
        <v>0.38036999999999999</v>
      </c>
      <c r="C181" s="375">
        <f t="shared" si="40"/>
        <v>1.1456835000000001</v>
      </c>
      <c r="D181" s="375">
        <f t="shared" si="40"/>
        <v>1.6371850000000003</v>
      </c>
      <c r="E181" s="375">
        <f t="shared" si="40"/>
        <v>7.5388169999999981</v>
      </c>
      <c r="F181" s="375">
        <f t="shared" si="40"/>
        <v>16.770599999999998</v>
      </c>
      <c r="G181" s="375">
        <f t="shared" si="40"/>
        <v>22.568907500000002</v>
      </c>
      <c r="H181" s="375">
        <f t="shared" si="40"/>
        <v>16.365230999999994</v>
      </c>
      <c r="I181" s="375">
        <f t="shared" si="40"/>
        <v>5.6107260000000059</v>
      </c>
      <c r="J181" s="375">
        <f t="shared" si="40"/>
        <v>1.0763349999999992</v>
      </c>
      <c r="K181" s="375">
        <f t="shared" si="40"/>
        <v>7.5663000000000077E-2</v>
      </c>
      <c r="L181" s="375">
        <f t="shared" si="40"/>
        <v>0</v>
      </c>
      <c r="M181" s="375">
        <f t="shared" si="40"/>
        <v>0</v>
      </c>
      <c r="N181" s="375">
        <f t="shared" si="40"/>
        <v>0</v>
      </c>
      <c r="O181" s="375">
        <f t="shared" si="40"/>
        <v>0</v>
      </c>
      <c r="P181" s="375">
        <f t="shared" si="40"/>
        <v>0</v>
      </c>
      <c r="Q181" s="375">
        <f t="shared" si="40"/>
        <v>0</v>
      </c>
      <c r="R181" s="375">
        <f t="shared" si="40"/>
        <v>0</v>
      </c>
      <c r="S181" s="375">
        <f t="shared" si="40"/>
        <v>0</v>
      </c>
      <c r="T181" s="375">
        <f t="shared" si="40"/>
        <v>0</v>
      </c>
      <c r="U181" s="375">
        <f t="shared" si="40"/>
        <v>0</v>
      </c>
      <c r="V181" s="375">
        <f t="shared" si="40"/>
        <v>0</v>
      </c>
      <c r="W181" s="375">
        <f t="shared" si="40"/>
        <v>0</v>
      </c>
      <c r="X181" s="375">
        <f t="shared" si="40"/>
        <v>0</v>
      </c>
      <c r="Y181" s="369"/>
    </row>
    <row r="182" spans="1:26" ht="13.5" thickBot="1" x14ac:dyDescent="0.2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6" ht="13.5" thickBot="1" x14ac:dyDescent="0.25">
      <c r="A183" s="361" t="s">
        <v>330</v>
      </c>
      <c r="B183" s="359">
        <f>ROW(A183)</f>
        <v>183</v>
      </c>
      <c r="C183" s="363" t="s">
        <v>118</v>
      </c>
      <c r="D183" s="353">
        <f>SUM(B186:Y186)</f>
        <v>75.254384000000016</v>
      </c>
      <c r="E183" s="363" t="s">
        <v>117</v>
      </c>
      <c r="F183" s="354">
        <f>D183/g/J183</f>
        <v>232.46033422914161</v>
      </c>
      <c r="G183" s="363" t="s">
        <v>59</v>
      </c>
      <c r="H183" s="64">
        <v>9.5000000000000001E-2</v>
      </c>
      <c r="I183" s="363" t="s">
        <v>274</v>
      </c>
      <c r="J183" s="355">
        <f>H183-L183</f>
        <v>3.3000000000000002E-2</v>
      </c>
      <c r="K183" s="363" t="s">
        <v>275</v>
      </c>
      <c r="L183" s="64">
        <f>0.095-0.033</f>
        <v>6.2E-2</v>
      </c>
      <c r="M183" s="363" t="s">
        <v>60</v>
      </c>
      <c r="N183" s="396">
        <v>66.5</v>
      </c>
      <c r="O183" s="363" t="s">
        <v>62</v>
      </c>
      <c r="P183" s="396">
        <v>66.5</v>
      </c>
      <c r="Q183" s="363" t="s">
        <v>63</v>
      </c>
      <c r="R183" s="65">
        <v>133</v>
      </c>
      <c r="S183" s="363" t="s">
        <v>64</v>
      </c>
      <c r="T183" s="65">
        <v>24</v>
      </c>
      <c r="U183" s="363" t="s">
        <v>57</v>
      </c>
      <c r="V183" s="66" t="s">
        <v>403</v>
      </c>
      <c r="W183" s="463" t="s">
        <v>398</v>
      </c>
      <c r="X183" s="465">
        <v>1.5</v>
      </c>
      <c r="Y183" s="463" t="s">
        <v>397</v>
      </c>
      <c r="Z183" s="358">
        <v>12</v>
      </c>
    </row>
    <row r="184" spans="1:26" x14ac:dyDescent="0.2">
      <c r="A184" s="362" t="s">
        <v>33</v>
      </c>
      <c r="B184" s="370">
        <v>0</v>
      </c>
      <c r="C184" s="371">
        <v>0.02</v>
      </c>
      <c r="D184" s="371">
        <v>3.1E-2</v>
      </c>
      <c r="E184" s="371">
        <v>6.2E-2</v>
      </c>
      <c r="F184" s="371">
        <v>0.11700000000000001</v>
      </c>
      <c r="G184" s="371">
        <v>1.2110000000000001</v>
      </c>
      <c r="H184" s="371">
        <v>1.3759999999999999</v>
      </c>
      <c r="I184" s="371">
        <v>1.456</v>
      </c>
      <c r="J184" s="371">
        <v>1.532</v>
      </c>
      <c r="K184" s="371">
        <v>1.577</v>
      </c>
      <c r="L184" s="371">
        <v>2</v>
      </c>
      <c r="M184" s="371">
        <v>2</v>
      </c>
      <c r="N184" s="371">
        <v>2</v>
      </c>
      <c r="O184" s="371">
        <v>2</v>
      </c>
      <c r="P184" s="371">
        <v>2</v>
      </c>
      <c r="Q184" s="371">
        <v>2</v>
      </c>
      <c r="R184" s="371">
        <v>2</v>
      </c>
      <c r="S184" s="371">
        <v>2</v>
      </c>
      <c r="T184" s="371">
        <v>2</v>
      </c>
      <c r="U184" s="371">
        <v>2</v>
      </c>
      <c r="V184" s="371">
        <v>2</v>
      </c>
      <c r="W184" s="371">
        <v>2</v>
      </c>
      <c r="X184" s="371">
        <f t="shared" ref="T184:X185" si="41">W184</f>
        <v>2</v>
      </c>
      <c r="Y184" s="381">
        <v>1000</v>
      </c>
    </row>
    <row r="185" spans="1:26" x14ac:dyDescent="0.2">
      <c r="A185" s="378" t="s">
        <v>34</v>
      </c>
      <c r="B185" s="372">
        <v>0</v>
      </c>
      <c r="C185" s="373">
        <v>75.924000000000007</v>
      </c>
      <c r="D185" s="373">
        <v>84.147999999999996</v>
      </c>
      <c r="E185" s="373">
        <v>70.441000000000003</v>
      </c>
      <c r="F185" s="373">
        <v>73.659000000000006</v>
      </c>
      <c r="G185" s="373">
        <v>38.737000000000002</v>
      </c>
      <c r="H185" s="373">
        <v>14.779</v>
      </c>
      <c r="I185" s="373">
        <v>7.2709999999999999</v>
      </c>
      <c r="J185" s="373">
        <v>3.3370000000000002</v>
      </c>
      <c r="K185" s="373">
        <v>0</v>
      </c>
      <c r="L185" s="373">
        <v>0</v>
      </c>
      <c r="M185" s="373">
        <v>0</v>
      </c>
      <c r="N185" s="373">
        <v>0</v>
      </c>
      <c r="O185" s="373">
        <v>0</v>
      </c>
      <c r="P185" s="373">
        <v>0</v>
      </c>
      <c r="Q185" s="373">
        <v>0</v>
      </c>
      <c r="R185" s="373">
        <v>0</v>
      </c>
      <c r="S185" s="373">
        <v>0</v>
      </c>
      <c r="T185" s="373">
        <f t="shared" si="41"/>
        <v>0</v>
      </c>
      <c r="U185" s="373">
        <f t="shared" si="41"/>
        <v>0</v>
      </c>
      <c r="V185" s="373">
        <f t="shared" si="41"/>
        <v>0</v>
      </c>
      <c r="W185" s="373">
        <f t="shared" si="41"/>
        <v>0</v>
      </c>
      <c r="X185" s="373">
        <f t="shared" si="41"/>
        <v>0</v>
      </c>
      <c r="Y185" s="382">
        <v>0</v>
      </c>
    </row>
    <row r="186" spans="1:26" ht="13.5" thickBot="1" x14ac:dyDescent="0.25">
      <c r="A186" s="379" t="s">
        <v>119</v>
      </c>
      <c r="B186" s="374">
        <f t="shared" ref="B186:V186" si="42">(C185+B185)*(C184-B184)/2</f>
        <v>0.75924000000000014</v>
      </c>
      <c r="C186" s="375">
        <f t="shared" si="42"/>
        <v>0.88039599999999996</v>
      </c>
      <c r="D186" s="375">
        <f t="shared" si="42"/>
        <v>2.3961294999999998</v>
      </c>
      <c r="E186" s="375">
        <f t="shared" si="42"/>
        <v>3.9627500000000011</v>
      </c>
      <c r="F186" s="375">
        <f t="shared" si="42"/>
        <v>61.480612000000015</v>
      </c>
      <c r="G186" s="375">
        <f t="shared" si="42"/>
        <v>4.4150699999999956</v>
      </c>
      <c r="H186" s="375">
        <f t="shared" si="42"/>
        <v>0.88200000000000078</v>
      </c>
      <c r="I186" s="375">
        <f t="shared" si="42"/>
        <v>0.40310400000000035</v>
      </c>
      <c r="J186" s="375">
        <f>(K185+J185)*(K184-J184)/2</f>
        <v>7.5082499999999885E-2</v>
      </c>
      <c r="K186" s="375">
        <f t="shared" si="42"/>
        <v>0</v>
      </c>
      <c r="L186" s="375">
        <f t="shared" si="42"/>
        <v>0</v>
      </c>
      <c r="M186" s="375">
        <f t="shared" si="42"/>
        <v>0</v>
      </c>
      <c r="N186" s="375">
        <f t="shared" si="42"/>
        <v>0</v>
      </c>
      <c r="O186" s="375">
        <f t="shared" si="42"/>
        <v>0</v>
      </c>
      <c r="P186" s="375">
        <f t="shared" si="42"/>
        <v>0</v>
      </c>
      <c r="Q186" s="375">
        <f t="shared" si="42"/>
        <v>0</v>
      </c>
      <c r="R186" s="375">
        <f t="shared" si="42"/>
        <v>0</v>
      </c>
      <c r="S186" s="375">
        <f>(T185+S185)*(T184-S184)/2</f>
        <v>0</v>
      </c>
      <c r="T186" s="375">
        <f t="shared" si="42"/>
        <v>0</v>
      </c>
      <c r="U186" s="375">
        <f t="shared" si="42"/>
        <v>0</v>
      </c>
      <c r="V186" s="375">
        <f t="shared" si="42"/>
        <v>0</v>
      </c>
      <c r="W186" s="375">
        <f>(X185+W185)*(X184-W184)/2</f>
        <v>0</v>
      </c>
      <c r="X186" s="375">
        <f>(Y185+X185)*(Y184-X184)/2</f>
        <v>0</v>
      </c>
      <c r="Y186" s="369"/>
    </row>
    <row r="187" spans="1:26" ht="13.5" thickBot="1" x14ac:dyDescent="0.25">
      <c r="A187" s="6" t="s">
        <v>377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6" ht="13.5" thickBot="1" x14ac:dyDescent="0.25">
      <c r="A188" s="361" t="s">
        <v>540</v>
      </c>
      <c r="B188" s="359">
        <f>ROW(A188)</f>
        <v>188</v>
      </c>
      <c r="C188" s="363" t="s">
        <v>118</v>
      </c>
      <c r="D188" s="353">
        <f>SUM(B191:Y191)</f>
        <v>141.04999999999998</v>
      </c>
      <c r="E188" s="363" t="s">
        <v>117</v>
      </c>
      <c r="F188" s="354">
        <f>D188/g/J188</f>
        <v>186.24592648930721</v>
      </c>
      <c r="G188" s="363" t="s">
        <v>59</v>
      </c>
      <c r="H188" s="64">
        <v>0.16189999999999999</v>
      </c>
      <c r="I188" s="363" t="s">
        <v>274</v>
      </c>
      <c r="J188" s="355">
        <f>H188-L188</f>
        <v>7.7199999999999991E-2</v>
      </c>
      <c r="K188" s="363" t="s">
        <v>275</v>
      </c>
      <c r="L188" s="64">
        <v>8.4699999999999998E-2</v>
      </c>
      <c r="M188" s="363" t="s">
        <v>60</v>
      </c>
      <c r="N188" s="65">
        <v>114</v>
      </c>
      <c r="O188" s="363" t="s">
        <v>62</v>
      </c>
      <c r="P188" s="65">
        <v>114</v>
      </c>
      <c r="Q188" s="363" t="s">
        <v>63</v>
      </c>
      <c r="R188" s="65">
        <v>228</v>
      </c>
      <c r="S188" s="363" t="s">
        <v>64</v>
      </c>
      <c r="T188" s="65">
        <v>24</v>
      </c>
      <c r="U188" s="363" t="s">
        <v>57</v>
      </c>
      <c r="V188" s="66" t="s">
        <v>122</v>
      </c>
      <c r="W188" s="463" t="s">
        <v>398</v>
      </c>
      <c r="X188" s="465">
        <v>0.96</v>
      </c>
      <c r="Y188" s="463" t="s">
        <v>397</v>
      </c>
      <c r="Z188" s="358">
        <v>15</v>
      </c>
    </row>
    <row r="189" spans="1:26" x14ac:dyDescent="0.2">
      <c r="A189" s="362" t="s">
        <v>33</v>
      </c>
      <c r="B189" s="370">
        <v>0</v>
      </c>
      <c r="C189" s="371">
        <v>0.02</v>
      </c>
      <c r="D189" s="371">
        <v>0.03</v>
      </c>
      <c r="E189" s="371">
        <v>0.05</v>
      </c>
      <c r="F189" s="371">
        <v>0.6</v>
      </c>
      <c r="G189" s="371">
        <v>0.67</v>
      </c>
      <c r="H189" s="371">
        <v>0.7</v>
      </c>
      <c r="I189" s="371">
        <v>0.8</v>
      </c>
      <c r="J189" s="371">
        <v>0.9</v>
      </c>
      <c r="K189" s="371">
        <v>1.05</v>
      </c>
      <c r="L189" s="371">
        <f t="shared" ref="L189:W189" si="43">K189</f>
        <v>1.05</v>
      </c>
      <c r="M189" s="371">
        <f t="shared" si="43"/>
        <v>1.05</v>
      </c>
      <c r="N189" s="371">
        <f t="shared" si="43"/>
        <v>1.05</v>
      </c>
      <c r="O189" s="371">
        <f t="shared" si="43"/>
        <v>1.05</v>
      </c>
      <c r="P189" s="371">
        <f t="shared" si="43"/>
        <v>1.05</v>
      </c>
      <c r="Q189" s="371">
        <f t="shared" si="43"/>
        <v>1.05</v>
      </c>
      <c r="R189" s="371">
        <f t="shared" si="43"/>
        <v>1.05</v>
      </c>
      <c r="S189" s="371">
        <f t="shared" si="43"/>
        <v>1.05</v>
      </c>
      <c r="T189" s="371">
        <f t="shared" si="43"/>
        <v>1.05</v>
      </c>
      <c r="U189" s="371">
        <f t="shared" si="43"/>
        <v>1.05</v>
      </c>
      <c r="V189" s="371">
        <f t="shared" si="43"/>
        <v>1.05</v>
      </c>
      <c r="W189" s="371">
        <f t="shared" si="43"/>
        <v>1.05</v>
      </c>
      <c r="X189" s="371">
        <v>2</v>
      </c>
      <c r="Y189" s="381">
        <v>1000</v>
      </c>
    </row>
    <row r="190" spans="1:26" x14ac:dyDescent="0.2">
      <c r="A190" s="378" t="s">
        <v>34</v>
      </c>
      <c r="B190" s="372">
        <v>0</v>
      </c>
      <c r="C190" s="373">
        <v>350</v>
      </c>
      <c r="D190" s="373">
        <v>250</v>
      </c>
      <c r="E190" s="373">
        <v>210</v>
      </c>
      <c r="F190" s="373">
        <v>150</v>
      </c>
      <c r="G190" s="373">
        <v>140</v>
      </c>
      <c r="H190" s="373">
        <v>130</v>
      </c>
      <c r="I190" s="373">
        <v>65</v>
      </c>
      <c r="J190" s="373">
        <v>30</v>
      </c>
      <c r="K190" s="373">
        <v>0</v>
      </c>
      <c r="L190" s="373">
        <v>0</v>
      </c>
      <c r="M190" s="373">
        <v>0</v>
      </c>
      <c r="N190" s="373">
        <v>0</v>
      </c>
      <c r="O190" s="373">
        <v>0</v>
      </c>
      <c r="P190" s="373">
        <v>0</v>
      </c>
      <c r="Q190" s="373">
        <v>0</v>
      </c>
      <c r="R190" s="373">
        <v>0</v>
      </c>
      <c r="S190" s="373">
        <f t="shared" ref="S190:X190" si="44">R190</f>
        <v>0</v>
      </c>
      <c r="T190" s="373">
        <f t="shared" si="44"/>
        <v>0</v>
      </c>
      <c r="U190" s="373">
        <f t="shared" si="44"/>
        <v>0</v>
      </c>
      <c r="V190" s="373">
        <f t="shared" si="44"/>
        <v>0</v>
      </c>
      <c r="W190" s="373">
        <f t="shared" si="44"/>
        <v>0</v>
      </c>
      <c r="X190" s="373">
        <f t="shared" si="44"/>
        <v>0</v>
      </c>
      <c r="Y190" s="382">
        <v>0</v>
      </c>
    </row>
    <row r="191" spans="1:26" ht="13.5" thickBot="1" x14ac:dyDescent="0.25">
      <c r="A191" s="379" t="s">
        <v>119</v>
      </c>
      <c r="B191" s="374">
        <f t="shared" ref="B191:X191" si="45">(C190+B190)*(C189-B189)/2</f>
        <v>3.5</v>
      </c>
      <c r="C191" s="375">
        <f t="shared" si="45"/>
        <v>2.9999999999999996</v>
      </c>
      <c r="D191" s="375">
        <f t="shared" si="45"/>
        <v>4.6000000000000005</v>
      </c>
      <c r="E191" s="375">
        <f t="shared" si="45"/>
        <v>98.999999999999986</v>
      </c>
      <c r="F191" s="375">
        <f t="shared" si="45"/>
        <v>10.150000000000009</v>
      </c>
      <c r="G191" s="375">
        <f t="shared" si="45"/>
        <v>4.0499999999999883</v>
      </c>
      <c r="H191" s="375">
        <f t="shared" si="45"/>
        <v>9.7500000000000089</v>
      </c>
      <c r="I191" s="375">
        <f t="shared" si="45"/>
        <v>4.7499999999999991</v>
      </c>
      <c r="J191" s="375">
        <f t="shared" si="45"/>
        <v>2.2500000000000004</v>
      </c>
      <c r="K191" s="375">
        <f t="shared" si="45"/>
        <v>0</v>
      </c>
      <c r="L191" s="375">
        <f t="shared" si="45"/>
        <v>0</v>
      </c>
      <c r="M191" s="375">
        <f t="shared" si="45"/>
        <v>0</v>
      </c>
      <c r="N191" s="375">
        <f t="shared" si="45"/>
        <v>0</v>
      </c>
      <c r="O191" s="375">
        <f t="shared" si="45"/>
        <v>0</v>
      </c>
      <c r="P191" s="375">
        <f t="shared" si="45"/>
        <v>0</v>
      </c>
      <c r="Q191" s="375">
        <f t="shared" si="45"/>
        <v>0</v>
      </c>
      <c r="R191" s="375">
        <f t="shared" si="45"/>
        <v>0</v>
      </c>
      <c r="S191" s="375">
        <f t="shared" si="45"/>
        <v>0</v>
      </c>
      <c r="T191" s="375">
        <f t="shared" si="45"/>
        <v>0</v>
      </c>
      <c r="U191" s="375">
        <f t="shared" si="45"/>
        <v>0</v>
      </c>
      <c r="V191" s="375">
        <f t="shared" si="45"/>
        <v>0</v>
      </c>
      <c r="W191" s="375">
        <f t="shared" si="45"/>
        <v>0</v>
      </c>
      <c r="X191" s="375">
        <f t="shared" si="45"/>
        <v>0</v>
      </c>
      <c r="Y191" s="369"/>
    </row>
    <row r="192" spans="1:26" ht="13.5" thickBot="1" x14ac:dyDescent="0.25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6" ht="13.5" thickBot="1" x14ac:dyDescent="0.25">
      <c r="A193" s="361" t="s">
        <v>547</v>
      </c>
      <c r="B193" s="359">
        <f>ROW(A193)</f>
        <v>193</v>
      </c>
      <c r="C193" s="363" t="s">
        <v>118</v>
      </c>
      <c r="D193" s="353">
        <f>SUM(B196:Y196)</f>
        <v>142.44</v>
      </c>
      <c r="E193" s="363" t="s">
        <v>117</v>
      </c>
      <c r="F193" s="354">
        <f>D193/g/J193</f>
        <v>192.06187401906058</v>
      </c>
      <c r="G193" s="363" t="s">
        <v>59</v>
      </c>
      <c r="H193" s="64">
        <v>0.15989999999999999</v>
      </c>
      <c r="I193" s="363" t="s">
        <v>274</v>
      </c>
      <c r="J193" s="355">
        <f>H193-L193</f>
        <v>7.5599999999999987E-2</v>
      </c>
      <c r="K193" s="363" t="s">
        <v>275</v>
      </c>
      <c r="L193" s="64">
        <v>8.43E-2</v>
      </c>
      <c r="M193" s="363" t="s">
        <v>60</v>
      </c>
      <c r="N193" s="65">
        <v>114</v>
      </c>
      <c r="O193" s="363" t="s">
        <v>62</v>
      </c>
      <c r="P193" s="65">
        <v>114</v>
      </c>
      <c r="Q193" s="363" t="s">
        <v>63</v>
      </c>
      <c r="R193" s="65">
        <v>228</v>
      </c>
      <c r="S193" s="363" t="s">
        <v>64</v>
      </c>
      <c r="T193" s="65">
        <v>24</v>
      </c>
      <c r="U193" s="363" t="s">
        <v>57</v>
      </c>
      <c r="V193" s="66" t="s">
        <v>405</v>
      </c>
      <c r="W193" s="463" t="s">
        <v>398</v>
      </c>
      <c r="X193" s="465">
        <v>0.97</v>
      </c>
      <c r="Y193" s="463" t="s">
        <v>397</v>
      </c>
      <c r="Z193" s="358">
        <v>13</v>
      </c>
    </row>
    <row r="194" spans="1:26" x14ac:dyDescent="0.2">
      <c r="A194" s="362" t="s">
        <v>33</v>
      </c>
      <c r="B194" s="370">
        <v>0</v>
      </c>
      <c r="C194" s="371">
        <v>0.02</v>
      </c>
      <c r="D194" s="371">
        <v>0.04</v>
      </c>
      <c r="E194" s="371">
        <v>0.62</v>
      </c>
      <c r="F194" s="371">
        <v>0.66</v>
      </c>
      <c r="G194" s="371">
        <v>0.68</v>
      </c>
      <c r="H194" s="371">
        <v>0.8</v>
      </c>
      <c r="I194" s="371">
        <v>0.84</v>
      </c>
      <c r="J194" s="371">
        <v>0.88</v>
      </c>
      <c r="K194" s="371">
        <v>0.92</v>
      </c>
      <c r="L194" s="371">
        <v>0.96</v>
      </c>
      <c r="M194" s="371">
        <v>1</v>
      </c>
      <c r="N194" s="371">
        <v>1.08</v>
      </c>
      <c r="O194" s="371">
        <v>2</v>
      </c>
      <c r="P194" s="371">
        <v>2</v>
      </c>
      <c r="Q194" s="371">
        <v>2</v>
      </c>
      <c r="R194" s="371">
        <v>2</v>
      </c>
      <c r="S194" s="371">
        <f t="shared" ref="S194:X195" si="46">R194</f>
        <v>2</v>
      </c>
      <c r="T194" s="371">
        <f t="shared" si="46"/>
        <v>2</v>
      </c>
      <c r="U194" s="371">
        <f t="shared" si="46"/>
        <v>2</v>
      </c>
      <c r="V194" s="371">
        <f t="shared" si="46"/>
        <v>2</v>
      </c>
      <c r="W194" s="371">
        <f t="shared" si="46"/>
        <v>2</v>
      </c>
      <c r="X194" s="371">
        <f t="shared" si="46"/>
        <v>2</v>
      </c>
      <c r="Y194" s="381">
        <v>1000</v>
      </c>
    </row>
    <row r="195" spans="1:26" x14ac:dyDescent="0.2">
      <c r="A195" s="378" t="s">
        <v>34</v>
      </c>
      <c r="B195" s="372">
        <v>0</v>
      </c>
      <c r="C195" s="373">
        <v>250</v>
      </c>
      <c r="D195" s="373">
        <v>210</v>
      </c>
      <c r="E195" s="373">
        <v>160</v>
      </c>
      <c r="F195" s="373">
        <v>150</v>
      </c>
      <c r="G195" s="373">
        <v>142</v>
      </c>
      <c r="H195" s="373">
        <v>62</v>
      </c>
      <c r="I195" s="373">
        <v>48</v>
      </c>
      <c r="J195" s="373">
        <v>34</v>
      </c>
      <c r="K195" s="373">
        <v>24</v>
      </c>
      <c r="L195" s="373">
        <v>15</v>
      </c>
      <c r="M195" s="373">
        <v>10</v>
      </c>
      <c r="N195" s="373">
        <v>0</v>
      </c>
      <c r="O195" s="373">
        <v>0</v>
      </c>
      <c r="P195" s="373">
        <v>0</v>
      </c>
      <c r="Q195" s="373">
        <v>0</v>
      </c>
      <c r="R195" s="373">
        <v>0</v>
      </c>
      <c r="S195" s="373">
        <f t="shared" si="46"/>
        <v>0</v>
      </c>
      <c r="T195" s="373">
        <f t="shared" si="46"/>
        <v>0</v>
      </c>
      <c r="U195" s="373">
        <f t="shared" si="46"/>
        <v>0</v>
      </c>
      <c r="V195" s="373">
        <f t="shared" si="46"/>
        <v>0</v>
      </c>
      <c r="W195" s="373">
        <f t="shared" si="46"/>
        <v>0</v>
      </c>
      <c r="X195" s="373">
        <f t="shared" si="46"/>
        <v>0</v>
      </c>
      <c r="Y195" s="382">
        <v>0</v>
      </c>
    </row>
    <row r="196" spans="1:26" ht="13.5" thickBot="1" x14ac:dyDescent="0.25">
      <c r="A196" s="379" t="s">
        <v>119</v>
      </c>
      <c r="B196" s="374">
        <f t="shared" ref="B196:X196" si="47">(C195+B195)*(C194-B194)/2</f>
        <v>2.5</v>
      </c>
      <c r="C196" s="375">
        <f t="shared" si="47"/>
        <v>4.6000000000000005</v>
      </c>
      <c r="D196" s="375">
        <f t="shared" si="47"/>
        <v>107.3</v>
      </c>
      <c r="E196" s="375">
        <f t="shared" si="47"/>
        <v>6.2000000000000055</v>
      </c>
      <c r="F196" s="375">
        <f t="shared" si="47"/>
        <v>2.9200000000000026</v>
      </c>
      <c r="G196" s="375">
        <f t="shared" si="47"/>
        <v>12.24</v>
      </c>
      <c r="H196" s="375">
        <f t="shared" si="47"/>
        <v>2.1999999999999957</v>
      </c>
      <c r="I196" s="375">
        <f t="shared" si="47"/>
        <v>1.6400000000000015</v>
      </c>
      <c r="J196" s="375">
        <f t="shared" si="47"/>
        <v>1.160000000000001</v>
      </c>
      <c r="K196" s="375">
        <f t="shared" si="47"/>
        <v>0.77999999999999847</v>
      </c>
      <c r="L196" s="375">
        <f t="shared" si="47"/>
        <v>0.50000000000000044</v>
      </c>
      <c r="M196" s="375">
        <f t="shared" si="47"/>
        <v>0.40000000000000036</v>
      </c>
      <c r="N196" s="375">
        <f t="shared" si="47"/>
        <v>0</v>
      </c>
      <c r="O196" s="375">
        <f t="shared" si="47"/>
        <v>0</v>
      </c>
      <c r="P196" s="375">
        <f t="shared" si="47"/>
        <v>0</v>
      </c>
      <c r="Q196" s="375">
        <f t="shared" si="47"/>
        <v>0</v>
      </c>
      <c r="R196" s="375">
        <f t="shared" si="47"/>
        <v>0</v>
      </c>
      <c r="S196" s="375">
        <f t="shared" si="47"/>
        <v>0</v>
      </c>
      <c r="T196" s="375">
        <f t="shared" si="47"/>
        <v>0</v>
      </c>
      <c r="U196" s="375">
        <f t="shared" si="47"/>
        <v>0</v>
      </c>
      <c r="V196" s="375">
        <f t="shared" si="47"/>
        <v>0</v>
      </c>
      <c r="W196" s="375">
        <f t="shared" si="47"/>
        <v>0</v>
      </c>
      <c r="X196" s="375">
        <f t="shared" si="47"/>
        <v>0</v>
      </c>
      <c r="Y196" s="369"/>
    </row>
    <row r="197" spans="1:26" ht="13.5" thickBot="1" x14ac:dyDescent="0.25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6" ht="13.5" thickBot="1" x14ac:dyDescent="0.25">
      <c r="A198" s="361" t="s">
        <v>542</v>
      </c>
      <c r="B198" s="359">
        <f>ROW(A198)</f>
        <v>198</v>
      </c>
      <c r="C198" s="363" t="s">
        <v>118</v>
      </c>
      <c r="D198" s="353">
        <f>SUM(B201:Y201)</f>
        <v>143.08845000000002</v>
      </c>
      <c r="E198" s="363" t="s">
        <v>117</v>
      </c>
      <c r="F198" s="354">
        <f>D198/g/J198</f>
        <v>168.23504721190514</v>
      </c>
      <c r="G198" s="363" t="s">
        <v>59</v>
      </c>
      <c r="H198" s="64">
        <v>0.17249999999999999</v>
      </c>
      <c r="I198" s="363" t="s">
        <v>274</v>
      </c>
      <c r="J198" s="355">
        <f>H198-L198</f>
        <v>8.6699999999999985E-2</v>
      </c>
      <c r="K198" s="363" t="s">
        <v>275</v>
      </c>
      <c r="L198" s="64">
        <v>8.5800000000000001E-2</v>
      </c>
      <c r="M198" s="363" t="s">
        <v>60</v>
      </c>
      <c r="N198" s="65">
        <v>114</v>
      </c>
      <c r="O198" s="363" t="s">
        <v>62</v>
      </c>
      <c r="P198" s="65">
        <v>114</v>
      </c>
      <c r="Q198" s="363" t="s">
        <v>63</v>
      </c>
      <c r="R198" s="65">
        <v>228</v>
      </c>
      <c r="S198" s="363" t="s">
        <v>64</v>
      </c>
      <c r="T198" s="65">
        <v>24</v>
      </c>
      <c r="U198" s="363" t="s">
        <v>57</v>
      </c>
      <c r="V198" s="66" t="s">
        <v>122</v>
      </c>
      <c r="W198" s="463" t="s">
        <v>398</v>
      </c>
      <c r="X198" s="465">
        <v>0.97</v>
      </c>
      <c r="Y198" s="463" t="s">
        <v>397</v>
      </c>
      <c r="Z198" s="358">
        <v>11</v>
      </c>
    </row>
    <row r="199" spans="1:26" x14ac:dyDescent="0.2">
      <c r="A199" s="362" t="s">
        <v>33</v>
      </c>
      <c r="B199" s="370">
        <v>0</v>
      </c>
      <c r="C199" s="371">
        <v>8.0000000000000002E-3</v>
      </c>
      <c r="D199" s="371">
        <v>1.2999999999999999E-2</v>
      </c>
      <c r="E199" s="371">
        <v>2.1999999999999999E-2</v>
      </c>
      <c r="F199" s="371">
        <v>3.5000000000000003E-2</v>
      </c>
      <c r="G199" s="371">
        <v>6.3E-2</v>
      </c>
      <c r="H199" s="371">
        <v>0.10299999999999999</v>
      </c>
      <c r="I199" s="371">
        <v>0.19600000000000001</v>
      </c>
      <c r="J199" s="371">
        <v>0.311</v>
      </c>
      <c r="K199" s="371">
        <v>0.47399999999999998</v>
      </c>
      <c r="L199" s="371">
        <v>0.56399999999999995</v>
      </c>
      <c r="M199" s="371">
        <v>0.76200000000000001</v>
      </c>
      <c r="N199" s="371">
        <v>0.85799999999999998</v>
      </c>
      <c r="O199" s="371">
        <v>0.92800000000000005</v>
      </c>
      <c r="P199" s="371">
        <v>1.038</v>
      </c>
      <c r="Q199" s="371">
        <v>1.08</v>
      </c>
      <c r="R199" s="371">
        <v>1.131</v>
      </c>
      <c r="S199" s="371">
        <v>1.1850000000000001</v>
      </c>
      <c r="T199" s="371">
        <v>1.224</v>
      </c>
      <c r="U199" s="371">
        <v>1.258</v>
      </c>
      <c r="V199" s="371">
        <v>1.4</v>
      </c>
      <c r="W199" s="371">
        <v>1.4410000000000001</v>
      </c>
      <c r="X199" s="371">
        <v>2</v>
      </c>
      <c r="Y199" s="381">
        <v>1000</v>
      </c>
    </row>
    <row r="200" spans="1:26" x14ac:dyDescent="0.2">
      <c r="A200" s="378" t="s">
        <v>34</v>
      </c>
      <c r="B200" s="372">
        <v>0</v>
      </c>
      <c r="C200" s="373">
        <v>168.643</v>
      </c>
      <c r="D200" s="373">
        <v>177.339</v>
      </c>
      <c r="E200" s="373">
        <v>177.86600000000001</v>
      </c>
      <c r="F200" s="373">
        <v>171.27799999999999</v>
      </c>
      <c r="G200" s="373">
        <v>157.839</v>
      </c>
      <c r="H200" s="373">
        <v>154.941</v>
      </c>
      <c r="I200" s="373">
        <v>148.88</v>
      </c>
      <c r="J200" s="373">
        <v>144.137</v>
      </c>
      <c r="K200" s="373">
        <v>138.07599999999999</v>
      </c>
      <c r="L200" s="373">
        <v>135.70500000000001</v>
      </c>
      <c r="M200" s="373">
        <v>125.955</v>
      </c>
      <c r="N200" s="373">
        <v>116.733</v>
      </c>
      <c r="O200" s="373">
        <v>101.71299999999999</v>
      </c>
      <c r="P200" s="373">
        <v>57.444000000000003</v>
      </c>
      <c r="Q200" s="373">
        <v>42.688000000000002</v>
      </c>
      <c r="R200" s="373">
        <v>31.884</v>
      </c>
      <c r="S200" s="373">
        <v>17.655000000000001</v>
      </c>
      <c r="T200" s="373">
        <v>9.4860000000000007</v>
      </c>
      <c r="U200" s="373">
        <v>5.27</v>
      </c>
      <c r="V200" s="373">
        <v>0.79100000000000004</v>
      </c>
      <c r="W200" s="373">
        <v>0</v>
      </c>
      <c r="X200" s="373">
        <f>W200</f>
        <v>0</v>
      </c>
      <c r="Y200" s="382">
        <v>0</v>
      </c>
    </row>
    <row r="201" spans="1:26" ht="13.5" thickBot="1" x14ac:dyDescent="0.25">
      <c r="A201" s="379" t="s">
        <v>119</v>
      </c>
      <c r="B201" s="374">
        <f t="shared" ref="B201:X201" si="48">(C200+B200)*(C199-B199)/2</f>
        <v>0.67457200000000006</v>
      </c>
      <c r="C201" s="375">
        <f t="shared" si="48"/>
        <v>0.86495499999999981</v>
      </c>
      <c r="D201" s="375">
        <f t="shared" si="48"/>
        <v>1.5984225000000001</v>
      </c>
      <c r="E201" s="375">
        <f t="shared" si="48"/>
        <v>2.2694360000000007</v>
      </c>
      <c r="F201" s="375">
        <f t="shared" si="48"/>
        <v>4.6076379999999988</v>
      </c>
      <c r="G201" s="375">
        <f t="shared" si="48"/>
        <v>6.2555999999999985</v>
      </c>
      <c r="H201" s="375">
        <f t="shared" si="48"/>
        <v>14.127676500000003</v>
      </c>
      <c r="I201" s="375">
        <f t="shared" si="48"/>
        <v>16.848477499999998</v>
      </c>
      <c r="J201" s="375">
        <f t="shared" si="48"/>
        <v>23.000359499999995</v>
      </c>
      <c r="K201" s="375">
        <f t="shared" si="48"/>
        <v>12.320144999999997</v>
      </c>
      <c r="L201" s="375">
        <f t="shared" si="48"/>
        <v>25.904340000000012</v>
      </c>
      <c r="M201" s="375">
        <f t="shared" si="48"/>
        <v>11.649023999999997</v>
      </c>
      <c r="N201" s="375">
        <f t="shared" si="48"/>
        <v>7.6456100000000067</v>
      </c>
      <c r="O201" s="375">
        <f t="shared" si="48"/>
        <v>8.7536349999999974</v>
      </c>
      <c r="P201" s="375">
        <f t="shared" si="48"/>
        <v>2.1027720000000021</v>
      </c>
      <c r="Q201" s="375">
        <f t="shared" si="48"/>
        <v>1.9015859999999976</v>
      </c>
      <c r="R201" s="375">
        <f t="shared" si="48"/>
        <v>1.3375530000000013</v>
      </c>
      <c r="S201" s="375">
        <f t="shared" si="48"/>
        <v>0.52924949999999904</v>
      </c>
      <c r="T201" s="375">
        <f t="shared" si="48"/>
        <v>0.25085200000000024</v>
      </c>
      <c r="U201" s="375">
        <f t="shared" si="48"/>
        <v>0.43033099999999969</v>
      </c>
      <c r="V201" s="375">
        <f t="shared" si="48"/>
        <v>1.621550000000006E-2</v>
      </c>
      <c r="W201" s="375">
        <f t="shared" si="48"/>
        <v>0</v>
      </c>
      <c r="X201" s="375">
        <f t="shared" si="48"/>
        <v>0</v>
      </c>
      <c r="Y201" s="369"/>
    </row>
    <row r="202" spans="1:26" ht="13.5" thickBot="1" x14ac:dyDescent="0.2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6" ht="13.5" thickBot="1" x14ac:dyDescent="0.25">
      <c r="A203" s="361" t="s">
        <v>541</v>
      </c>
      <c r="B203" s="359">
        <f>ROW(A203)</f>
        <v>203</v>
      </c>
      <c r="C203" s="363" t="s">
        <v>118</v>
      </c>
      <c r="D203" s="353">
        <f>SUM(B206:Y206)</f>
        <v>139.423417</v>
      </c>
      <c r="E203" s="363" t="s">
        <v>117</v>
      </c>
      <c r="F203" s="354">
        <f>D203/g/J203</f>
        <v>158.62027745922524</v>
      </c>
      <c r="G203" s="363" t="s">
        <v>59</v>
      </c>
      <c r="H203" s="64">
        <v>0.19450000000000001</v>
      </c>
      <c r="I203" s="363" t="s">
        <v>274</v>
      </c>
      <c r="J203" s="355">
        <f>H203-L203</f>
        <v>8.9600000000000013E-2</v>
      </c>
      <c r="K203" s="363" t="s">
        <v>275</v>
      </c>
      <c r="L203" s="64">
        <v>0.10489999999999999</v>
      </c>
      <c r="M203" s="363" t="s">
        <v>60</v>
      </c>
      <c r="N203" s="65">
        <v>114</v>
      </c>
      <c r="O203" s="363" t="s">
        <v>62</v>
      </c>
      <c r="P203" s="65">
        <v>144</v>
      </c>
      <c r="Q203" s="363" t="s">
        <v>63</v>
      </c>
      <c r="R203" s="65">
        <v>228</v>
      </c>
      <c r="S203" s="363" t="s">
        <v>64</v>
      </c>
      <c r="T203" s="65">
        <v>24</v>
      </c>
      <c r="U203" s="363" t="s">
        <v>57</v>
      </c>
      <c r="V203" s="66" t="s">
        <v>122</v>
      </c>
      <c r="W203" s="463" t="s">
        <v>398</v>
      </c>
      <c r="X203" s="465">
        <v>1.3</v>
      </c>
      <c r="Y203" s="463" t="s">
        <v>397</v>
      </c>
      <c r="Z203" s="358">
        <v>12</v>
      </c>
    </row>
    <row r="204" spans="1:26" x14ac:dyDescent="0.2">
      <c r="A204" s="362" t="s">
        <v>33</v>
      </c>
      <c r="B204" s="370">
        <v>0</v>
      </c>
      <c r="C204" s="371">
        <v>1.0999999999999999E-2</v>
      </c>
      <c r="D204" s="371">
        <v>2.1999999999999999E-2</v>
      </c>
      <c r="E204" s="371">
        <v>4.5999999999999999E-2</v>
      </c>
      <c r="F204" s="371">
        <v>8.1000000000000003E-2</v>
      </c>
      <c r="G204" s="371">
        <v>0.219</v>
      </c>
      <c r="H204" s="371">
        <v>0.253</v>
      </c>
      <c r="I204" s="371">
        <v>0.27400000000000002</v>
      </c>
      <c r="J204" s="371">
        <v>0.30499999999999999</v>
      </c>
      <c r="K204" s="371">
        <v>0.41199999999999998</v>
      </c>
      <c r="L204" s="371">
        <v>0.78900000000000003</v>
      </c>
      <c r="M204" s="371">
        <v>0.89900000000000002</v>
      </c>
      <c r="N204" s="371">
        <v>0.95299999999999996</v>
      </c>
      <c r="O204" s="371">
        <v>0.999</v>
      </c>
      <c r="P204" s="371">
        <v>1.03</v>
      </c>
      <c r="Q204" s="371">
        <v>1.0569999999999999</v>
      </c>
      <c r="R204" s="371">
        <v>1.1020000000000001</v>
      </c>
      <c r="S204" s="371">
        <v>1.1539999999999999</v>
      </c>
      <c r="T204" s="371">
        <v>1.1970000000000001</v>
      </c>
      <c r="U204" s="371">
        <v>1.2769999999999999</v>
      </c>
      <c r="V204" s="371">
        <v>1.335</v>
      </c>
      <c r="W204" s="371">
        <v>1.4510000000000001</v>
      </c>
      <c r="X204" s="371">
        <v>2</v>
      </c>
      <c r="Y204" s="381">
        <v>1000</v>
      </c>
    </row>
    <row r="205" spans="1:26" x14ac:dyDescent="0.2">
      <c r="A205" s="378" t="s">
        <v>34</v>
      </c>
      <c r="B205" s="372">
        <v>0</v>
      </c>
      <c r="C205" s="373">
        <v>198.41800000000001</v>
      </c>
      <c r="D205" s="373">
        <v>221.83500000000001</v>
      </c>
      <c r="E205" s="373">
        <v>212.65799999999999</v>
      </c>
      <c r="F205" s="373">
        <v>218.35400000000001</v>
      </c>
      <c r="G205" s="373">
        <v>204.43</v>
      </c>
      <c r="H205" s="373">
        <v>195.886</v>
      </c>
      <c r="I205" s="373">
        <v>183.54400000000001</v>
      </c>
      <c r="J205" s="373">
        <v>88.290999999999997</v>
      </c>
      <c r="K205" s="373">
        <v>93.671000000000006</v>
      </c>
      <c r="L205" s="373">
        <v>93.986999999999995</v>
      </c>
      <c r="M205" s="373">
        <v>91.138999999999996</v>
      </c>
      <c r="N205" s="373">
        <v>89.873000000000005</v>
      </c>
      <c r="O205" s="373">
        <v>87.025000000000006</v>
      </c>
      <c r="P205" s="373">
        <v>81.328999999999994</v>
      </c>
      <c r="Q205" s="373">
        <v>69.936999999999998</v>
      </c>
      <c r="R205" s="373">
        <v>54.113999999999997</v>
      </c>
      <c r="S205" s="373">
        <v>42.405000000000001</v>
      </c>
      <c r="T205" s="373">
        <v>31.646000000000001</v>
      </c>
      <c r="U205" s="373">
        <v>17.088999999999999</v>
      </c>
      <c r="V205" s="373">
        <v>9.81</v>
      </c>
      <c r="W205" s="373">
        <v>0</v>
      </c>
      <c r="X205" s="373">
        <v>0</v>
      </c>
      <c r="Y205" s="382">
        <v>0</v>
      </c>
    </row>
    <row r="206" spans="1:26" ht="13.5" thickBot="1" x14ac:dyDescent="0.25">
      <c r="A206" s="379" t="s">
        <v>119</v>
      </c>
      <c r="B206" s="374">
        <f t="shared" ref="B206:X206" si="49">(C205+B205)*(C204-B204)/2</f>
        <v>1.091299</v>
      </c>
      <c r="C206" s="375">
        <f t="shared" si="49"/>
        <v>2.3113915</v>
      </c>
      <c r="D206" s="375">
        <f t="shared" si="49"/>
        <v>5.2139160000000002</v>
      </c>
      <c r="E206" s="375">
        <f t="shared" si="49"/>
        <v>7.5427100000000005</v>
      </c>
      <c r="F206" s="375">
        <f t="shared" si="49"/>
        <v>29.172096000000003</v>
      </c>
      <c r="G206" s="375">
        <f t="shared" si="49"/>
        <v>6.8053720000000011</v>
      </c>
      <c r="H206" s="375">
        <f t="shared" si="49"/>
        <v>3.9840150000000034</v>
      </c>
      <c r="I206" s="375">
        <f t="shared" si="49"/>
        <v>4.2134424999999966</v>
      </c>
      <c r="J206" s="375">
        <f t="shared" si="49"/>
        <v>9.7349669999999975</v>
      </c>
      <c r="K206" s="375">
        <f t="shared" si="49"/>
        <v>35.373533000000009</v>
      </c>
      <c r="L206" s="375">
        <f t="shared" si="49"/>
        <v>10.181929999999998</v>
      </c>
      <c r="M206" s="375">
        <f t="shared" si="49"/>
        <v>4.8873239999999942</v>
      </c>
      <c r="N206" s="375">
        <f t="shared" si="49"/>
        <v>4.068654000000004</v>
      </c>
      <c r="O206" s="375">
        <f t="shared" si="49"/>
        <v>2.6094870000000019</v>
      </c>
      <c r="P206" s="375">
        <f t="shared" si="49"/>
        <v>2.0420909999999934</v>
      </c>
      <c r="Q206" s="375">
        <f t="shared" si="49"/>
        <v>2.791147500000009</v>
      </c>
      <c r="R206" s="375">
        <f t="shared" si="49"/>
        <v>2.5094939999999917</v>
      </c>
      <c r="S206" s="375">
        <f t="shared" si="49"/>
        <v>1.5920965000000056</v>
      </c>
      <c r="T206" s="375">
        <f t="shared" si="49"/>
        <v>1.9493999999999962</v>
      </c>
      <c r="U206" s="375">
        <f t="shared" si="49"/>
        <v>0.78007100000000074</v>
      </c>
      <c r="V206" s="375">
        <f t="shared" si="49"/>
        <v>0.56898000000000049</v>
      </c>
      <c r="W206" s="375">
        <f t="shared" si="49"/>
        <v>0</v>
      </c>
      <c r="X206" s="375">
        <f t="shared" si="49"/>
        <v>0</v>
      </c>
      <c r="Y206" s="369"/>
    </row>
    <row r="207" spans="1:26" ht="13.5" thickBot="1" x14ac:dyDescent="0.25">
      <c r="A207" s="6" t="s">
        <v>319</v>
      </c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6" ht="13.5" thickBot="1" x14ac:dyDescent="0.25">
      <c r="A208" s="361" t="s">
        <v>379</v>
      </c>
      <c r="B208" s="359">
        <f>ROW(A208)</f>
        <v>208</v>
      </c>
      <c r="C208" s="363" t="s">
        <v>118</v>
      </c>
      <c r="D208" s="353">
        <f>SUM(B211:Y211)</f>
        <v>82.798500000000018</v>
      </c>
      <c r="E208" s="363" t="s">
        <v>117</v>
      </c>
      <c r="F208" s="354">
        <f>D208/g/J208</f>
        <v>131.87834480122325</v>
      </c>
      <c r="G208" s="363" t="s">
        <v>59</v>
      </c>
      <c r="H208" s="64">
        <v>0.152</v>
      </c>
      <c r="I208" s="363" t="s">
        <v>274</v>
      </c>
      <c r="J208" s="355">
        <f>H208-L208</f>
        <v>6.4000000000000001E-2</v>
      </c>
      <c r="K208" s="363" t="s">
        <v>275</v>
      </c>
      <c r="L208" s="64">
        <v>8.7999999999999995E-2</v>
      </c>
      <c r="M208" s="363" t="s">
        <v>60</v>
      </c>
      <c r="N208" s="65">
        <v>71</v>
      </c>
      <c r="O208" s="363" t="s">
        <v>62</v>
      </c>
      <c r="P208" s="65">
        <v>71</v>
      </c>
      <c r="Q208" s="363" t="s">
        <v>63</v>
      </c>
      <c r="R208" s="65">
        <v>142</v>
      </c>
      <c r="S208" s="363" t="s">
        <v>64</v>
      </c>
      <c r="T208" s="65">
        <v>29</v>
      </c>
      <c r="U208" s="363" t="s">
        <v>57</v>
      </c>
      <c r="V208" s="66" t="s">
        <v>122</v>
      </c>
      <c r="W208" s="463" t="s">
        <v>398</v>
      </c>
      <c r="X208" s="465">
        <v>0.96</v>
      </c>
      <c r="Y208" s="463" t="s">
        <v>397</v>
      </c>
      <c r="Z208" s="358">
        <v>11</v>
      </c>
    </row>
    <row r="209" spans="1:26" x14ac:dyDescent="0.2">
      <c r="A209" s="362" t="s">
        <v>33</v>
      </c>
      <c r="B209" s="370">
        <v>0</v>
      </c>
      <c r="C209" s="371">
        <v>0.02</v>
      </c>
      <c r="D209" s="371">
        <v>0.03</v>
      </c>
      <c r="E209" s="371">
        <v>0.04</v>
      </c>
      <c r="F209" s="371">
        <v>0.06</v>
      </c>
      <c r="G209" s="371">
        <v>0.08</v>
      </c>
      <c r="H209" s="371">
        <v>0.15</v>
      </c>
      <c r="I209" s="371">
        <v>0.18</v>
      </c>
      <c r="J209" s="371">
        <v>0.2</v>
      </c>
      <c r="K209" s="371">
        <v>0.3</v>
      </c>
      <c r="L209" s="371">
        <v>0.4</v>
      </c>
      <c r="M209" s="371">
        <v>0.5</v>
      </c>
      <c r="N209" s="371">
        <v>0.6</v>
      </c>
      <c r="O209" s="371">
        <v>0.7</v>
      </c>
      <c r="P209" s="371">
        <v>0.82</v>
      </c>
      <c r="Q209" s="371">
        <v>0.93</v>
      </c>
      <c r="R209" s="371">
        <v>1</v>
      </c>
      <c r="S209" s="371">
        <f t="shared" ref="S209:X210" si="50">R209</f>
        <v>1</v>
      </c>
      <c r="T209" s="371">
        <f t="shared" si="50"/>
        <v>1</v>
      </c>
      <c r="U209" s="371">
        <f t="shared" si="50"/>
        <v>1</v>
      </c>
      <c r="V209" s="371">
        <f t="shared" si="50"/>
        <v>1</v>
      </c>
      <c r="W209" s="371">
        <f t="shared" si="50"/>
        <v>1</v>
      </c>
      <c r="X209" s="371">
        <v>2</v>
      </c>
      <c r="Y209" s="381">
        <v>1000</v>
      </c>
    </row>
    <row r="210" spans="1:26" x14ac:dyDescent="0.2">
      <c r="A210" s="378" t="s">
        <v>34</v>
      </c>
      <c r="B210" s="372">
        <v>0</v>
      </c>
      <c r="C210" s="373">
        <v>41.9</v>
      </c>
      <c r="D210" s="373">
        <v>92.1</v>
      </c>
      <c r="E210" s="373">
        <v>116.7</v>
      </c>
      <c r="F210" s="373">
        <v>112.7</v>
      </c>
      <c r="G210" s="373">
        <v>82.7</v>
      </c>
      <c r="H210" s="373">
        <v>84.7</v>
      </c>
      <c r="I210" s="373">
        <v>86.2</v>
      </c>
      <c r="J210" s="373">
        <v>87.9</v>
      </c>
      <c r="K210" s="373">
        <v>90.9</v>
      </c>
      <c r="L210" s="373">
        <v>93.9</v>
      </c>
      <c r="M210" s="373">
        <v>95.3</v>
      </c>
      <c r="N210" s="373">
        <v>96.8</v>
      </c>
      <c r="O210" s="373">
        <v>97.6</v>
      </c>
      <c r="P210" s="373">
        <v>108.2</v>
      </c>
      <c r="Q210" s="373">
        <v>11</v>
      </c>
      <c r="R210" s="373">
        <v>0</v>
      </c>
      <c r="S210" s="373">
        <f t="shared" si="50"/>
        <v>0</v>
      </c>
      <c r="T210" s="373">
        <f t="shared" si="50"/>
        <v>0</v>
      </c>
      <c r="U210" s="373">
        <f t="shared" si="50"/>
        <v>0</v>
      </c>
      <c r="V210" s="373">
        <f t="shared" si="50"/>
        <v>0</v>
      </c>
      <c r="W210" s="373">
        <f t="shared" si="50"/>
        <v>0</v>
      </c>
      <c r="X210" s="373">
        <f t="shared" si="50"/>
        <v>0</v>
      </c>
      <c r="Y210" s="382">
        <v>0</v>
      </c>
    </row>
    <row r="211" spans="1:26" ht="13.5" thickBot="1" x14ac:dyDescent="0.25">
      <c r="A211" s="379" t="s">
        <v>119</v>
      </c>
      <c r="B211" s="374">
        <f t="shared" ref="B211:V211" si="51">(C210+B210)*(C209-B209)/2</f>
        <v>0.41899999999999998</v>
      </c>
      <c r="C211" s="375">
        <f t="shared" si="51"/>
        <v>0.66999999999999993</v>
      </c>
      <c r="D211" s="375">
        <f t="shared" si="51"/>
        <v>1.0440000000000003</v>
      </c>
      <c r="E211" s="375">
        <f t="shared" si="51"/>
        <v>2.2939999999999996</v>
      </c>
      <c r="F211" s="375">
        <f t="shared" si="51"/>
        <v>1.9540000000000004</v>
      </c>
      <c r="G211" s="375">
        <f t="shared" si="51"/>
        <v>5.859</v>
      </c>
      <c r="H211" s="375">
        <f t="shared" si="51"/>
        <v>2.5634999999999999</v>
      </c>
      <c r="I211" s="375">
        <f t="shared" si="51"/>
        <v>1.7410000000000019</v>
      </c>
      <c r="J211" s="375">
        <f>(K210+J210)*(K209-J209)/2</f>
        <v>8.9399999999999977</v>
      </c>
      <c r="K211" s="375">
        <f t="shared" si="51"/>
        <v>9.2400000000000038</v>
      </c>
      <c r="L211" s="375">
        <f t="shared" si="51"/>
        <v>9.4599999999999973</v>
      </c>
      <c r="M211" s="375">
        <f t="shared" si="51"/>
        <v>9.6049999999999969</v>
      </c>
      <c r="N211" s="375">
        <f t="shared" si="51"/>
        <v>9.7199999999999971</v>
      </c>
      <c r="O211" s="375">
        <f t="shared" si="51"/>
        <v>12.348000000000001</v>
      </c>
      <c r="P211" s="375">
        <f t="shared" si="51"/>
        <v>6.5560000000000063</v>
      </c>
      <c r="Q211" s="375">
        <f t="shared" si="51"/>
        <v>0.38499999999999973</v>
      </c>
      <c r="R211" s="375">
        <f t="shared" si="51"/>
        <v>0</v>
      </c>
      <c r="S211" s="375">
        <f>(T210+S210)*(T209-S209)/2</f>
        <v>0</v>
      </c>
      <c r="T211" s="375">
        <f t="shared" si="51"/>
        <v>0</v>
      </c>
      <c r="U211" s="375">
        <f t="shared" si="51"/>
        <v>0</v>
      </c>
      <c r="V211" s="375">
        <f t="shared" si="51"/>
        <v>0</v>
      </c>
      <c r="W211" s="375">
        <f>(X210+W210)*(X209-W209)/2</f>
        <v>0</v>
      </c>
      <c r="X211" s="375">
        <f>(Y210+X210)*(Y209-X209)/2</f>
        <v>0</v>
      </c>
      <c r="Y211" s="369"/>
    </row>
    <row r="212" spans="1:26" ht="13.5" thickBot="1" x14ac:dyDescent="0.25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6" ht="13.5" thickBot="1" x14ac:dyDescent="0.25">
      <c r="A213" s="361" t="s">
        <v>380</v>
      </c>
      <c r="B213" s="359">
        <f>ROW(A213)</f>
        <v>213</v>
      </c>
      <c r="C213" s="363" t="s">
        <v>118</v>
      </c>
      <c r="D213" s="353">
        <f>SUM(B216:Y216)</f>
        <v>98.257101163036367</v>
      </c>
      <c r="E213" s="363" t="s">
        <v>117</v>
      </c>
      <c r="F213" s="354">
        <f>D213/g/J213</f>
        <v>177.58890761893778</v>
      </c>
      <c r="G213" s="363" t="s">
        <v>59</v>
      </c>
      <c r="H213" s="64">
        <v>0.14319999999999999</v>
      </c>
      <c r="I213" s="363" t="s">
        <v>274</v>
      </c>
      <c r="J213" s="355">
        <f>H213-L213</f>
        <v>5.6399999999999992E-2</v>
      </c>
      <c r="K213" s="363" t="s">
        <v>275</v>
      </c>
      <c r="L213" s="64">
        <v>8.6800000000000002E-2</v>
      </c>
      <c r="M213" s="363" t="s">
        <v>60</v>
      </c>
      <c r="N213" s="65">
        <v>71</v>
      </c>
      <c r="O213" s="363" t="s">
        <v>62</v>
      </c>
      <c r="P213" s="65">
        <v>71</v>
      </c>
      <c r="Q213" s="363" t="s">
        <v>63</v>
      </c>
      <c r="R213" s="65">
        <v>142</v>
      </c>
      <c r="S213" s="363" t="s">
        <v>64</v>
      </c>
      <c r="T213" s="65">
        <v>29</v>
      </c>
      <c r="U213" s="363" t="s">
        <v>57</v>
      </c>
      <c r="V213" s="66" t="s">
        <v>122</v>
      </c>
      <c r="W213" s="463" t="s">
        <v>398</v>
      </c>
      <c r="X213" s="465">
        <v>1.1499999999999999</v>
      </c>
      <c r="Y213" s="463" t="s">
        <v>397</v>
      </c>
      <c r="Z213" s="358">
        <v>14</v>
      </c>
    </row>
    <row r="214" spans="1:26" x14ac:dyDescent="0.2">
      <c r="A214" s="362" t="s">
        <v>33</v>
      </c>
      <c r="B214" s="370">
        <v>0</v>
      </c>
      <c r="C214" s="371">
        <v>1.4999999999999999E-2</v>
      </c>
      <c r="D214" s="371">
        <v>0.03</v>
      </c>
      <c r="E214" s="371">
        <v>4.4999999999999998E-2</v>
      </c>
      <c r="F214" s="371">
        <v>0.06</v>
      </c>
      <c r="G214" s="371">
        <v>7.4999999999999997E-2</v>
      </c>
      <c r="H214" s="371">
        <v>0.09</v>
      </c>
      <c r="I214" s="371">
        <v>0.105</v>
      </c>
      <c r="J214" s="371">
        <v>0.12</v>
      </c>
      <c r="K214" s="371">
        <v>0.18</v>
      </c>
      <c r="L214" s="371">
        <v>0.24</v>
      </c>
      <c r="M214" s="371">
        <v>0.3</v>
      </c>
      <c r="N214" s="371">
        <v>0.48</v>
      </c>
      <c r="O214" s="371">
        <v>0.6</v>
      </c>
      <c r="P214" s="371">
        <v>0.66</v>
      </c>
      <c r="Q214" s="371">
        <v>0.72</v>
      </c>
      <c r="R214" s="371">
        <v>0.78</v>
      </c>
      <c r="S214" s="371">
        <v>0.84</v>
      </c>
      <c r="T214" s="371">
        <v>0.9</v>
      </c>
      <c r="U214" s="371">
        <v>0.96</v>
      </c>
      <c r="V214" s="371">
        <v>1.0349999999999999</v>
      </c>
      <c r="W214" s="371">
        <v>1.2</v>
      </c>
      <c r="X214" s="371">
        <v>2</v>
      </c>
      <c r="Y214" s="381">
        <v>1000</v>
      </c>
    </row>
    <row r="215" spans="1:26" x14ac:dyDescent="0.2">
      <c r="A215" s="378" t="s">
        <v>34</v>
      </c>
      <c r="B215" s="372">
        <v>0</v>
      </c>
      <c r="C215" s="376">
        <v>99.328788958822486</v>
      </c>
      <c r="D215" s="376">
        <v>109.07039432469</v>
      </c>
      <c r="E215" s="376">
        <v>65.255411286427503</v>
      </c>
      <c r="F215" s="376">
        <v>67.568486533117493</v>
      </c>
      <c r="G215" s="376">
        <v>73.929443461515007</v>
      </c>
      <c r="H215" s="376">
        <v>74.329783408057494</v>
      </c>
      <c r="I215" s="376">
        <v>78.1552540083525</v>
      </c>
      <c r="J215" s="376">
        <v>78.600076171177506</v>
      </c>
      <c r="K215" s="376">
        <v>82.203135690059995</v>
      </c>
      <c r="L215" s="376">
        <v>84.516210936749999</v>
      </c>
      <c r="M215" s="376">
        <v>88.51961040217499</v>
      </c>
      <c r="N215" s="376">
        <v>95.102978411984992</v>
      </c>
      <c r="O215" s="376">
        <v>95.547800574809997</v>
      </c>
      <c r="P215" s="376">
        <v>94.480227384029988</v>
      </c>
      <c r="Q215" s="376">
        <v>92.122669921057494</v>
      </c>
      <c r="R215" s="376">
        <v>90.743721216299988</v>
      </c>
      <c r="S215" s="376">
        <v>88.964432564999996</v>
      </c>
      <c r="T215" s="376">
        <v>85.405855262399996</v>
      </c>
      <c r="U215" s="376">
        <v>83.448637745970004</v>
      </c>
      <c r="V215" s="376">
        <v>88.074788239349999</v>
      </c>
      <c r="W215" s="376">
        <v>0</v>
      </c>
      <c r="X215" s="373">
        <v>0</v>
      </c>
      <c r="Y215" s="382">
        <v>0</v>
      </c>
    </row>
    <row r="216" spans="1:26" ht="13.5" thickBot="1" x14ac:dyDescent="0.25">
      <c r="A216" s="379" t="s">
        <v>119</v>
      </c>
      <c r="B216" s="374">
        <f t="shared" ref="B216:V216" si="52">(C215+B215)*(C214-B214)/2</f>
        <v>0.74496591719116867</v>
      </c>
      <c r="C216" s="375">
        <f t="shared" si="52"/>
        <v>1.5629938746263436</v>
      </c>
      <c r="D216" s="375">
        <f t="shared" si="52"/>
        <v>1.3074435420833814</v>
      </c>
      <c r="E216" s="375">
        <f t="shared" si="52"/>
        <v>0.99617923364658734</v>
      </c>
      <c r="F216" s="375">
        <f t="shared" si="52"/>
        <v>1.0612344749597438</v>
      </c>
      <c r="G216" s="375">
        <f t="shared" si="52"/>
        <v>1.1119442015217937</v>
      </c>
      <c r="H216" s="375">
        <f t="shared" si="52"/>
        <v>1.1436377806230749</v>
      </c>
      <c r="I216" s="375">
        <f t="shared" si="52"/>
        <v>1.175664976346475</v>
      </c>
      <c r="J216" s="375">
        <f>(K215+J215)*(K214-J214)/2</f>
        <v>4.824096355837125</v>
      </c>
      <c r="K216" s="375">
        <f t="shared" si="52"/>
        <v>5.0015803988042995</v>
      </c>
      <c r="L216" s="375">
        <f t="shared" si="52"/>
        <v>5.1910746401677494</v>
      </c>
      <c r="M216" s="375">
        <f t="shared" si="52"/>
        <v>16.526032993274399</v>
      </c>
      <c r="N216" s="375">
        <f t="shared" si="52"/>
        <v>11.439046739207699</v>
      </c>
      <c r="O216" s="375">
        <f t="shared" si="52"/>
        <v>5.7008408387652043</v>
      </c>
      <c r="P216" s="375">
        <f t="shared" si="52"/>
        <v>5.5980869191526192</v>
      </c>
      <c r="Q216" s="375">
        <f t="shared" si="52"/>
        <v>5.4859917341207289</v>
      </c>
      <c r="R216" s="375">
        <f t="shared" si="52"/>
        <v>5.3912446134389942</v>
      </c>
      <c r="S216" s="375">
        <f>(T215+S215)*(T214-S214)/2</f>
        <v>5.2311086348220037</v>
      </c>
      <c r="T216" s="375">
        <f t="shared" si="52"/>
        <v>5.0656347902510959</v>
      </c>
      <c r="U216" s="375">
        <f t="shared" si="52"/>
        <v>6.4321284744494962</v>
      </c>
      <c r="V216" s="375">
        <f t="shared" si="52"/>
        <v>7.2661700297463767</v>
      </c>
      <c r="W216" s="375">
        <f>(X215+W215)*(X214-W214)/2</f>
        <v>0</v>
      </c>
      <c r="X216" s="375">
        <f>(Y215+X215)*(Y214-X214)/2</f>
        <v>0</v>
      </c>
      <c r="Y216" s="369"/>
    </row>
    <row r="217" spans="1:26" ht="13.5" thickBot="1" x14ac:dyDescent="0.2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6" ht="13.5" thickBot="1" x14ac:dyDescent="0.25">
      <c r="A218" s="361" t="s">
        <v>381</v>
      </c>
      <c r="B218" s="359">
        <f>ROW(A218)</f>
        <v>218</v>
      </c>
      <c r="C218" s="363" t="s">
        <v>118</v>
      </c>
      <c r="D218" s="353">
        <f>SUM(B221:Y221)</f>
        <v>109.60639850000001</v>
      </c>
      <c r="E218" s="363" t="s">
        <v>117</v>
      </c>
      <c r="F218" s="354">
        <f>D218/g/J218</f>
        <v>194.31174666489383</v>
      </c>
      <c r="G218" s="363" t="s">
        <v>59</v>
      </c>
      <c r="H218" s="64">
        <v>0.14130000000000001</v>
      </c>
      <c r="I218" s="363" t="s">
        <v>274</v>
      </c>
      <c r="J218" s="355">
        <f>H218-L218</f>
        <v>5.7500000000000009E-2</v>
      </c>
      <c r="K218" s="363" t="s">
        <v>275</v>
      </c>
      <c r="L218" s="64">
        <v>8.3799999999999999E-2</v>
      </c>
      <c r="M218" s="363" t="s">
        <v>60</v>
      </c>
      <c r="N218" s="65">
        <v>71</v>
      </c>
      <c r="O218" s="363" t="s">
        <v>62</v>
      </c>
      <c r="P218" s="65">
        <v>71</v>
      </c>
      <c r="Q218" s="363" t="s">
        <v>63</v>
      </c>
      <c r="R218" s="65">
        <v>142</v>
      </c>
      <c r="S218" s="363" t="s">
        <v>64</v>
      </c>
      <c r="T218" s="65">
        <v>29</v>
      </c>
      <c r="U218" s="363" t="s">
        <v>57</v>
      </c>
      <c r="V218" s="66" t="s">
        <v>405</v>
      </c>
      <c r="W218" s="463" t="s">
        <v>398</v>
      </c>
      <c r="X218" s="465">
        <v>0.45</v>
      </c>
      <c r="Y218" s="463" t="s">
        <v>397</v>
      </c>
      <c r="Z218" s="358">
        <v>14</v>
      </c>
    </row>
    <row r="219" spans="1:26" x14ac:dyDescent="0.2">
      <c r="A219" s="362" t="s">
        <v>33</v>
      </c>
      <c r="B219" s="370">
        <v>0</v>
      </c>
      <c r="C219" s="371">
        <v>6.0000000000000001E-3</v>
      </c>
      <c r="D219" s="371">
        <v>1.0999999999999999E-2</v>
      </c>
      <c r="E219" s="371">
        <v>1.6E-2</v>
      </c>
      <c r="F219" s="371">
        <v>3.1E-2</v>
      </c>
      <c r="G219" s="371">
        <v>7.4999999999999997E-2</v>
      </c>
      <c r="H219" s="371">
        <v>0.122</v>
      </c>
      <c r="I219" s="371">
        <v>0.216</v>
      </c>
      <c r="J219" s="371">
        <v>0.25</v>
      </c>
      <c r="K219" s="371">
        <v>0.28699999999999998</v>
      </c>
      <c r="L219" s="371">
        <v>0.35399999999999998</v>
      </c>
      <c r="M219" s="371">
        <v>0.374</v>
      </c>
      <c r="N219" s="371">
        <v>0.4</v>
      </c>
      <c r="O219" s="371">
        <v>0.41299999999999998</v>
      </c>
      <c r="P219" s="371">
        <v>0.42</v>
      </c>
      <c r="Q219" s="371">
        <v>0.433</v>
      </c>
      <c r="R219" s="371">
        <v>0.44500000000000001</v>
      </c>
      <c r="S219" s="371">
        <v>0.45400000000000001</v>
      </c>
      <c r="T219" s="371">
        <f t="shared" ref="T219:X220" si="53">S219</f>
        <v>0.45400000000000001</v>
      </c>
      <c r="U219" s="371">
        <f t="shared" si="53"/>
        <v>0.45400000000000001</v>
      </c>
      <c r="V219" s="371">
        <f t="shared" si="53"/>
        <v>0.45400000000000001</v>
      </c>
      <c r="W219" s="371">
        <f t="shared" si="53"/>
        <v>0.45400000000000001</v>
      </c>
      <c r="X219" s="371">
        <v>2</v>
      </c>
      <c r="Y219" s="381">
        <v>1000</v>
      </c>
    </row>
    <row r="220" spans="1:26" x14ac:dyDescent="0.2">
      <c r="A220" s="378" t="s">
        <v>34</v>
      </c>
      <c r="B220" s="372">
        <v>0</v>
      </c>
      <c r="C220" s="373">
        <v>151.62100000000001</v>
      </c>
      <c r="D220" s="373">
        <v>198.07900000000001</v>
      </c>
      <c r="E220" s="373">
        <v>203.12100000000001</v>
      </c>
      <c r="F220" s="373">
        <v>201.68100000000001</v>
      </c>
      <c r="G220" s="373">
        <v>226.17</v>
      </c>
      <c r="H220" s="373">
        <v>250.3</v>
      </c>
      <c r="I220" s="373">
        <v>280.19200000000001</v>
      </c>
      <c r="J220" s="373">
        <v>287.03500000000003</v>
      </c>
      <c r="K220" s="373">
        <v>284.87400000000002</v>
      </c>
      <c r="L220" s="373">
        <v>269.74799999999999</v>
      </c>
      <c r="M220" s="373">
        <v>258.58300000000003</v>
      </c>
      <c r="N220" s="373">
        <v>233.37299999999999</v>
      </c>
      <c r="O220" s="373">
        <v>234.09399999999999</v>
      </c>
      <c r="P220" s="373">
        <v>227.61099999999999</v>
      </c>
      <c r="Q220" s="373">
        <v>137.935</v>
      </c>
      <c r="R220" s="373">
        <v>33.853999999999999</v>
      </c>
      <c r="S220" s="373">
        <v>0</v>
      </c>
      <c r="T220" s="373">
        <f t="shared" si="53"/>
        <v>0</v>
      </c>
      <c r="U220" s="373">
        <f t="shared" si="53"/>
        <v>0</v>
      </c>
      <c r="V220" s="373">
        <f t="shared" si="53"/>
        <v>0</v>
      </c>
      <c r="W220" s="373">
        <f t="shared" si="53"/>
        <v>0</v>
      </c>
      <c r="X220" s="373">
        <f t="shared" si="53"/>
        <v>0</v>
      </c>
      <c r="Y220" s="382">
        <v>0</v>
      </c>
    </row>
    <row r="221" spans="1:26" ht="13.5" thickBot="1" x14ac:dyDescent="0.25">
      <c r="A221" s="379" t="s">
        <v>119</v>
      </c>
      <c r="B221" s="374">
        <f t="shared" ref="B221:X221" si="54">(C220+B220)*(C219-B219)/2</f>
        <v>0.45486300000000002</v>
      </c>
      <c r="C221" s="375">
        <f t="shared" si="54"/>
        <v>0.87424999999999997</v>
      </c>
      <c r="D221" s="375">
        <f t="shared" si="54"/>
        <v>1.0030000000000003</v>
      </c>
      <c r="E221" s="375">
        <f t="shared" si="54"/>
        <v>3.0360149999999999</v>
      </c>
      <c r="F221" s="375">
        <f t="shared" si="54"/>
        <v>9.4127219999999987</v>
      </c>
      <c r="G221" s="375">
        <f t="shared" si="54"/>
        <v>11.197045000000001</v>
      </c>
      <c r="H221" s="375">
        <f t="shared" si="54"/>
        <v>24.933123999999999</v>
      </c>
      <c r="I221" s="375">
        <f t="shared" si="54"/>
        <v>9.6428590000000014</v>
      </c>
      <c r="J221" s="375">
        <f t="shared" si="54"/>
        <v>10.580316499999995</v>
      </c>
      <c r="K221" s="375">
        <f t="shared" si="54"/>
        <v>18.579837000000005</v>
      </c>
      <c r="L221" s="375">
        <f t="shared" si="54"/>
        <v>5.2833100000000046</v>
      </c>
      <c r="M221" s="375">
        <f t="shared" si="54"/>
        <v>6.3954280000000061</v>
      </c>
      <c r="N221" s="375">
        <f t="shared" si="54"/>
        <v>3.0385354999999898</v>
      </c>
      <c r="O221" s="375">
        <f t="shared" si="54"/>
        <v>1.6159675000000013</v>
      </c>
      <c r="P221" s="375">
        <f t="shared" si="54"/>
        <v>2.3760490000000019</v>
      </c>
      <c r="Q221" s="375">
        <f t="shared" si="54"/>
        <v>1.0307340000000009</v>
      </c>
      <c r="R221" s="375">
        <f t="shared" si="54"/>
        <v>0.15234300000000014</v>
      </c>
      <c r="S221" s="375">
        <f t="shared" si="54"/>
        <v>0</v>
      </c>
      <c r="T221" s="375">
        <f t="shared" si="54"/>
        <v>0</v>
      </c>
      <c r="U221" s="375">
        <f t="shared" si="54"/>
        <v>0</v>
      </c>
      <c r="V221" s="375">
        <f t="shared" si="54"/>
        <v>0</v>
      </c>
      <c r="W221" s="375">
        <f t="shared" si="54"/>
        <v>0</v>
      </c>
      <c r="X221" s="375">
        <f t="shared" si="54"/>
        <v>0</v>
      </c>
      <c r="Y221" s="369"/>
    </row>
    <row r="222" spans="1:26" ht="13.5" thickBot="1" x14ac:dyDescent="0.2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6" ht="13.5" thickBot="1" x14ac:dyDescent="0.25">
      <c r="A223" s="361" t="s">
        <v>382</v>
      </c>
      <c r="B223" s="359">
        <f>ROW(A223)</f>
        <v>223</v>
      </c>
      <c r="C223" s="363" t="s">
        <v>118</v>
      </c>
      <c r="D223" s="353">
        <f>SUM(B226:Y226)</f>
        <v>115.63</v>
      </c>
      <c r="E223" s="363" t="s">
        <v>117</v>
      </c>
      <c r="F223" s="354">
        <f>D223/g/J223</f>
        <v>199.77884897804037</v>
      </c>
      <c r="G223" s="363" t="s">
        <v>59</v>
      </c>
      <c r="H223" s="64">
        <v>0.14499999999999999</v>
      </c>
      <c r="I223" s="363" t="s">
        <v>274</v>
      </c>
      <c r="J223" s="355">
        <f>H223-L223</f>
        <v>5.8999999999999997E-2</v>
      </c>
      <c r="K223" s="363" t="s">
        <v>275</v>
      </c>
      <c r="L223" s="64">
        <v>8.5999999999999993E-2</v>
      </c>
      <c r="M223" s="363" t="s">
        <v>60</v>
      </c>
      <c r="N223" s="65">
        <v>71</v>
      </c>
      <c r="O223" s="363" t="s">
        <v>62</v>
      </c>
      <c r="P223" s="65">
        <v>71</v>
      </c>
      <c r="Q223" s="363" t="s">
        <v>63</v>
      </c>
      <c r="R223" s="65">
        <v>142</v>
      </c>
      <c r="S223" s="363" t="s">
        <v>64</v>
      </c>
      <c r="T223" s="65">
        <v>29</v>
      </c>
      <c r="U223" s="363" t="s">
        <v>57</v>
      </c>
      <c r="V223" s="66" t="s">
        <v>122</v>
      </c>
      <c r="W223" s="463" t="s">
        <v>398</v>
      </c>
      <c r="X223" s="465">
        <v>0.93</v>
      </c>
      <c r="Y223" s="463" t="s">
        <v>397</v>
      </c>
      <c r="Z223" s="358">
        <v>13</v>
      </c>
    </row>
    <row r="224" spans="1:26" x14ac:dyDescent="0.2">
      <c r="A224" s="362" t="s">
        <v>33</v>
      </c>
      <c r="B224" s="370">
        <v>0</v>
      </c>
      <c r="C224" s="371">
        <v>0.01</v>
      </c>
      <c r="D224" s="371">
        <v>0.02</v>
      </c>
      <c r="E224" s="371">
        <v>0.03</v>
      </c>
      <c r="F224" s="371">
        <v>0.04</v>
      </c>
      <c r="G224" s="371">
        <v>0.05</v>
      </c>
      <c r="H224" s="371">
        <v>0.1</v>
      </c>
      <c r="I224" s="371">
        <v>0.2</v>
      </c>
      <c r="J224" s="371">
        <v>0.3</v>
      </c>
      <c r="K224" s="371">
        <v>0.4</v>
      </c>
      <c r="L224" s="371">
        <v>0.6</v>
      </c>
      <c r="M224" s="371">
        <v>0.75</v>
      </c>
      <c r="N224" s="371">
        <v>0.81</v>
      </c>
      <c r="O224" s="371">
        <v>0.86</v>
      </c>
      <c r="P224" s="371">
        <v>0.9</v>
      </c>
      <c r="Q224" s="371">
        <v>0.95</v>
      </c>
      <c r="R224" s="371">
        <v>1</v>
      </c>
      <c r="S224" s="371">
        <v>1</v>
      </c>
      <c r="T224" s="371">
        <v>1</v>
      </c>
      <c r="U224" s="371">
        <v>1</v>
      </c>
      <c r="V224" s="371">
        <v>1</v>
      </c>
      <c r="W224" s="371">
        <v>1</v>
      </c>
      <c r="X224" s="371">
        <v>2</v>
      </c>
      <c r="Y224" s="381">
        <v>1000</v>
      </c>
    </row>
    <row r="225" spans="1:26" x14ac:dyDescent="0.2">
      <c r="A225" s="378" t="s">
        <v>34</v>
      </c>
      <c r="B225" s="372">
        <v>0</v>
      </c>
      <c r="C225" s="376">
        <v>55</v>
      </c>
      <c r="D225" s="376">
        <v>168</v>
      </c>
      <c r="E225" s="376">
        <v>157</v>
      </c>
      <c r="F225" s="376">
        <v>148</v>
      </c>
      <c r="G225" s="376">
        <v>125</v>
      </c>
      <c r="H225" s="376">
        <v>135</v>
      </c>
      <c r="I225" s="376">
        <v>141</v>
      </c>
      <c r="J225" s="376">
        <v>142</v>
      </c>
      <c r="K225" s="376">
        <v>141</v>
      </c>
      <c r="L225" s="376">
        <v>133</v>
      </c>
      <c r="M225" s="376">
        <v>127</v>
      </c>
      <c r="N225" s="376">
        <v>128</v>
      </c>
      <c r="O225" s="376">
        <v>60</v>
      </c>
      <c r="P225" s="376">
        <v>15</v>
      </c>
      <c r="Q225" s="376">
        <v>0</v>
      </c>
      <c r="R225" s="376">
        <v>0</v>
      </c>
      <c r="S225" s="376">
        <v>0</v>
      </c>
      <c r="T225" s="376">
        <v>0</v>
      </c>
      <c r="U225" s="376">
        <v>0</v>
      </c>
      <c r="V225" s="376">
        <v>0</v>
      </c>
      <c r="W225" s="376">
        <v>0</v>
      </c>
      <c r="X225" s="373">
        <v>0</v>
      </c>
      <c r="Y225" s="382">
        <v>0</v>
      </c>
    </row>
    <row r="226" spans="1:26" ht="13.5" thickBot="1" x14ac:dyDescent="0.25">
      <c r="A226" s="379" t="s">
        <v>119</v>
      </c>
      <c r="B226" s="374">
        <f t="shared" ref="B226:X226" si="55">(C225+B225)*(C224-B224)/2</f>
        <v>0.27500000000000002</v>
      </c>
      <c r="C226" s="375">
        <f t="shared" si="55"/>
        <v>1.115</v>
      </c>
      <c r="D226" s="375">
        <f t="shared" si="55"/>
        <v>1.6249999999999998</v>
      </c>
      <c r="E226" s="375">
        <f t="shared" si="55"/>
        <v>1.5250000000000004</v>
      </c>
      <c r="F226" s="375">
        <f t="shared" si="55"/>
        <v>1.3650000000000002</v>
      </c>
      <c r="G226" s="375">
        <f t="shared" si="55"/>
        <v>6.5</v>
      </c>
      <c r="H226" s="375">
        <f t="shared" si="55"/>
        <v>13.8</v>
      </c>
      <c r="I226" s="375">
        <f t="shared" si="55"/>
        <v>14.149999999999997</v>
      </c>
      <c r="J226" s="375">
        <f t="shared" si="55"/>
        <v>14.150000000000004</v>
      </c>
      <c r="K226" s="375">
        <f t="shared" si="55"/>
        <v>27.399999999999995</v>
      </c>
      <c r="L226" s="375">
        <f t="shared" si="55"/>
        <v>19.500000000000004</v>
      </c>
      <c r="M226" s="375">
        <f t="shared" si="55"/>
        <v>7.6500000000000066</v>
      </c>
      <c r="N226" s="375">
        <f t="shared" si="55"/>
        <v>4.699999999999994</v>
      </c>
      <c r="O226" s="375">
        <f t="shared" si="55"/>
        <v>1.5000000000000013</v>
      </c>
      <c r="P226" s="375">
        <f t="shared" si="55"/>
        <v>0.3749999999999995</v>
      </c>
      <c r="Q226" s="375">
        <f t="shared" si="55"/>
        <v>0</v>
      </c>
      <c r="R226" s="375">
        <f t="shared" si="55"/>
        <v>0</v>
      </c>
      <c r="S226" s="375">
        <f t="shared" si="55"/>
        <v>0</v>
      </c>
      <c r="T226" s="375">
        <f t="shared" si="55"/>
        <v>0</v>
      </c>
      <c r="U226" s="375">
        <f t="shared" si="55"/>
        <v>0</v>
      </c>
      <c r="V226" s="375">
        <f t="shared" si="55"/>
        <v>0</v>
      </c>
      <c r="W226" s="375">
        <f t="shared" si="55"/>
        <v>0</v>
      </c>
      <c r="X226" s="375">
        <f t="shared" si="55"/>
        <v>0</v>
      </c>
      <c r="Y226" s="369"/>
    </row>
    <row r="227" spans="1:26" ht="13.5" thickBot="1" x14ac:dyDescent="0.25">
      <c r="A227" s="6" t="s">
        <v>390</v>
      </c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6" ht="13.5" thickBot="1" x14ac:dyDescent="0.25">
      <c r="A228" s="361" t="s">
        <v>391</v>
      </c>
      <c r="B228" s="359">
        <f>ROW(A228)</f>
        <v>228</v>
      </c>
      <c r="C228" s="363" t="s">
        <v>118</v>
      </c>
      <c r="D228" s="353">
        <f>SUM(B231:Y231)</f>
        <v>115.63</v>
      </c>
      <c r="E228" s="363" t="s">
        <v>117</v>
      </c>
      <c r="F228" s="354">
        <f>D228/g/J228</f>
        <v>125.39310733728064</v>
      </c>
      <c r="G228" s="363" t="s">
        <v>59</v>
      </c>
      <c r="H228" s="64">
        <v>0.2</v>
      </c>
      <c r="I228" s="363" t="s">
        <v>274</v>
      </c>
      <c r="J228" s="355">
        <f>H228-L228</f>
        <v>9.4000000000000014E-2</v>
      </c>
      <c r="K228" s="363" t="s">
        <v>275</v>
      </c>
      <c r="L228" s="64">
        <v>0.106</v>
      </c>
      <c r="M228" s="363" t="s">
        <v>60</v>
      </c>
      <c r="N228" s="65">
        <v>93</v>
      </c>
      <c r="O228" s="363" t="s">
        <v>62</v>
      </c>
      <c r="P228" s="65">
        <v>93</v>
      </c>
      <c r="Q228" s="363" t="s">
        <v>63</v>
      </c>
      <c r="R228" s="65">
        <v>187</v>
      </c>
      <c r="S228" s="363" t="s">
        <v>64</v>
      </c>
      <c r="T228" s="65">
        <v>29</v>
      </c>
      <c r="U228" s="363" t="s">
        <v>57</v>
      </c>
      <c r="V228" s="66" t="s">
        <v>122</v>
      </c>
      <c r="W228" s="463" t="s">
        <v>398</v>
      </c>
      <c r="X228" s="465">
        <v>0.96</v>
      </c>
      <c r="Y228" s="463" t="s">
        <v>397</v>
      </c>
      <c r="Z228" s="358">
        <v>14</v>
      </c>
    </row>
    <row r="229" spans="1:26" x14ac:dyDescent="0.2">
      <c r="A229" s="362" t="s">
        <v>33</v>
      </c>
      <c r="B229" s="370">
        <v>0</v>
      </c>
      <c r="C229" s="371">
        <v>0.01</v>
      </c>
      <c r="D229" s="371">
        <v>0.02</v>
      </c>
      <c r="E229" s="371">
        <v>0.03</v>
      </c>
      <c r="F229" s="371">
        <v>0.04</v>
      </c>
      <c r="G229" s="371">
        <v>0.05</v>
      </c>
      <c r="H229" s="371">
        <v>0.1</v>
      </c>
      <c r="I229" s="371">
        <v>0.2</v>
      </c>
      <c r="J229" s="371">
        <v>0.3</v>
      </c>
      <c r="K229" s="371">
        <v>0.4</v>
      </c>
      <c r="L229" s="371">
        <v>0.6</v>
      </c>
      <c r="M229" s="371">
        <v>0.75</v>
      </c>
      <c r="N229" s="371">
        <v>0.81</v>
      </c>
      <c r="O229" s="371">
        <v>0.86</v>
      </c>
      <c r="P229" s="371">
        <v>0.9</v>
      </c>
      <c r="Q229" s="371">
        <v>0.95</v>
      </c>
      <c r="R229" s="371">
        <v>1</v>
      </c>
      <c r="S229" s="371">
        <f t="shared" ref="S229:X230" si="56">R229</f>
        <v>1</v>
      </c>
      <c r="T229" s="371">
        <f t="shared" si="56"/>
        <v>1</v>
      </c>
      <c r="U229" s="371">
        <f t="shared" si="56"/>
        <v>1</v>
      </c>
      <c r="V229" s="371">
        <f t="shared" si="56"/>
        <v>1</v>
      </c>
      <c r="W229" s="371">
        <f t="shared" si="56"/>
        <v>1</v>
      </c>
      <c r="X229" s="371">
        <v>2</v>
      </c>
      <c r="Y229" s="381">
        <v>1000</v>
      </c>
    </row>
    <row r="230" spans="1:26" x14ac:dyDescent="0.2">
      <c r="A230" s="378" t="s">
        <v>34</v>
      </c>
      <c r="B230" s="372">
        <v>0</v>
      </c>
      <c r="C230" s="373">
        <v>55</v>
      </c>
      <c r="D230" s="373">
        <v>168</v>
      </c>
      <c r="E230" s="373">
        <v>157</v>
      </c>
      <c r="F230" s="373">
        <v>148</v>
      </c>
      <c r="G230" s="373">
        <v>125</v>
      </c>
      <c r="H230" s="373">
        <v>135</v>
      </c>
      <c r="I230" s="373">
        <v>141</v>
      </c>
      <c r="J230" s="373">
        <v>142</v>
      </c>
      <c r="K230" s="373">
        <v>141</v>
      </c>
      <c r="L230" s="373">
        <v>133</v>
      </c>
      <c r="M230" s="373">
        <v>127</v>
      </c>
      <c r="N230" s="373">
        <v>128</v>
      </c>
      <c r="O230" s="373">
        <v>60</v>
      </c>
      <c r="P230" s="373">
        <v>15</v>
      </c>
      <c r="Q230" s="373">
        <v>0</v>
      </c>
      <c r="R230" s="373">
        <v>0</v>
      </c>
      <c r="S230" s="373">
        <f t="shared" si="56"/>
        <v>0</v>
      </c>
      <c r="T230" s="373">
        <f t="shared" si="56"/>
        <v>0</v>
      </c>
      <c r="U230" s="373">
        <f t="shared" si="56"/>
        <v>0</v>
      </c>
      <c r="V230" s="373">
        <f t="shared" si="56"/>
        <v>0</v>
      </c>
      <c r="W230" s="373">
        <f t="shared" si="56"/>
        <v>0</v>
      </c>
      <c r="X230" s="373">
        <f t="shared" si="56"/>
        <v>0</v>
      </c>
      <c r="Y230" s="382">
        <v>0</v>
      </c>
    </row>
    <row r="231" spans="1:26" ht="13.5" thickBot="1" x14ac:dyDescent="0.25">
      <c r="A231" s="379" t="s">
        <v>119</v>
      </c>
      <c r="B231" s="374">
        <f t="shared" ref="B231:X231" si="57">(C230+B230)*(C229-B229)/2</f>
        <v>0.27500000000000002</v>
      </c>
      <c r="C231" s="375">
        <f t="shared" si="57"/>
        <v>1.115</v>
      </c>
      <c r="D231" s="375">
        <f t="shared" si="57"/>
        <v>1.6249999999999998</v>
      </c>
      <c r="E231" s="375">
        <f t="shared" si="57"/>
        <v>1.5250000000000004</v>
      </c>
      <c r="F231" s="375">
        <f t="shared" si="57"/>
        <v>1.3650000000000002</v>
      </c>
      <c r="G231" s="375">
        <f t="shared" si="57"/>
        <v>6.5</v>
      </c>
      <c r="H231" s="375">
        <f t="shared" si="57"/>
        <v>13.8</v>
      </c>
      <c r="I231" s="375">
        <f t="shared" si="57"/>
        <v>14.149999999999997</v>
      </c>
      <c r="J231" s="375">
        <f t="shared" si="57"/>
        <v>14.150000000000004</v>
      </c>
      <c r="K231" s="375">
        <f t="shared" si="57"/>
        <v>27.399999999999995</v>
      </c>
      <c r="L231" s="375">
        <f t="shared" si="57"/>
        <v>19.500000000000004</v>
      </c>
      <c r="M231" s="375">
        <f t="shared" si="57"/>
        <v>7.6500000000000066</v>
      </c>
      <c r="N231" s="375">
        <f t="shared" si="57"/>
        <v>4.699999999999994</v>
      </c>
      <c r="O231" s="375">
        <f t="shared" si="57"/>
        <v>1.5000000000000013</v>
      </c>
      <c r="P231" s="375">
        <f t="shared" si="57"/>
        <v>0.3749999999999995</v>
      </c>
      <c r="Q231" s="375">
        <f t="shared" si="57"/>
        <v>0</v>
      </c>
      <c r="R231" s="375">
        <f t="shared" si="57"/>
        <v>0</v>
      </c>
      <c r="S231" s="375">
        <f t="shared" si="57"/>
        <v>0</v>
      </c>
      <c r="T231" s="375">
        <f t="shared" si="57"/>
        <v>0</v>
      </c>
      <c r="U231" s="375">
        <f t="shared" si="57"/>
        <v>0</v>
      </c>
      <c r="V231" s="375">
        <f t="shared" si="57"/>
        <v>0</v>
      </c>
      <c r="W231" s="375">
        <f t="shared" si="57"/>
        <v>0</v>
      </c>
      <c r="X231" s="375">
        <f t="shared" si="57"/>
        <v>0</v>
      </c>
      <c r="Y231" s="369"/>
    </row>
    <row r="232" spans="1:26" ht="13.5" thickBot="1" x14ac:dyDescent="0.25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6" ht="13.5" thickBot="1" x14ac:dyDescent="0.25">
      <c r="A233" s="361" t="s">
        <v>396</v>
      </c>
      <c r="B233" s="359">
        <f>ROW(A233)</f>
        <v>233</v>
      </c>
      <c r="C233" s="363" t="s">
        <v>118</v>
      </c>
      <c r="D233" s="353">
        <f>SUM(B236:Y236)</f>
        <v>158.04815100000002</v>
      </c>
      <c r="E233" s="363" t="s">
        <v>117</v>
      </c>
      <c r="F233" s="354">
        <v>198</v>
      </c>
      <c r="G233" s="363" t="s">
        <v>59</v>
      </c>
      <c r="H233" s="64">
        <v>0.19450000000000001</v>
      </c>
      <c r="I233" s="363" t="s">
        <v>274</v>
      </c>
      <c r="J233" s="355">
        <f>H233-L233</f>
        <v>8.9600000000000013E-2</v>
      </c>
      <c r="K233" s="363" t="s">
        <v>275</v>
      </c>
      <c r="L233" s="64">
        <v>0.10489999999999999</v>
      </c>
      <c r="M233" s="363" t="s">
        <v>60</v>
      </c>
      <c r="N233" s="65">
        <v>93</v>
      </c>
      <c r="O233" s="363" t="s">
        <v>62</v>
      </c>
      <c r="P233" s="65">
        <v>93</v>
      </c>
      <c r="Q233" s="363" t="s">
        <v>63</v>
      </c>
      <c r="R233" s="65">
        <v>187</v>
      </c>
      <c r="S233" s="363" t="s">
        <v>64</v>
      </c>
      <c r="T233" s="65">
        <v>29</v>
      </c>
      <c r="U233" s="363" t="s">
        <v>57</v>
      </c>
      <c r="V233" s="66" t="s">
        <v>122</v>
      </c>
      <c r="W233" s="463" t="s">
        <v>398</v>
      </c>
      <c r="X233" s="465">
        <v>1.27</v>
      </c>
      <c r="Y233" s="463" t="s">
        <v>397</v>
      </c>
      <c r="Z233" s="358">
        <v>14</v>
      </c>
    </row>
    <row r="234" spans="1:26" x14ac:dyDescent="0.2">
      <c r="A234" s="362" t="s">
        <v>33</v>
      </c>
      <c r="B234" s="472">
        <v>0</v>
      </c>
      <c r="C234" s="472">
        <v>4.0000000000000001E-3</v>
      </c>
      <c r="D234" s="472">
        <v>2.1999999999999999E-2</v>
      </c>
      <c r="E234" s="472">
        <v>3.9E-2</v>
      </c>
      <c r="F234" s="472">
        <v>0.122</v>
      </c>
      <c r="G234" s="472">
        <v>0.23599999999999999</v>
      </c>
      <c r="H234" s="472">
        <v>0.58899999999999997</v>
      </c>
      <c r="I234" s="472">
        <v>0.80100000000000005</v>
      </c>
      <c r="J234" s="472">
        <v>1.0680000000000001</v>
      </c>
      <c r="K234" s="472">
        <v>1.1180000000000001</v>
      </c>
      <c r="L234" s="472">
        <v>1.145</v>
      </c>
      <c r="M234" s="472">
        <v>1.1739999999999999</v>
      </c>
      <c r="N234" s="472">
        <v>1.2110000000000001</v>
      </c>
      <c r="O234" s="472">
        <v>1.2470000000000001</v>
      </c>
      <c r="P234" s="472">
        <v>1.2989999999999999</v>
      </c>
      <c r="Q234" s="371">
        <v>2</v>
      </c>
      <c r="R234" s="371">
        <v>2</v>
      </c>
      <c r="S234" s="371">
        <f t="shared" ref="S234:X235" si="58">R234</f>
        <v>2</v>
      </c>
      <c r="T234" s="371">
        <f t="shared" si="58"/>
        <v>2</v>
      </c>
      <c r="U234" s="371">
        <f t="shared" si="58"/>
        <v>2</v>
      </c>
      <c r="V234" s="371">
        <f t="shared" si="58"/>
        <v>2</v>
      </c>
      <c r="W234" s="371">
        <f t="shared" si="58"/>
        <v>2</v>
      </c>
      <c r="X234" s="371">
        <f t="shared" si="58"/>
        <v>2</v>
      </c>
      <c r="Y234" s="381">
        <v>1000</v>
      </c>
    </row>
    <row r="235" spans="1:26" x14ac:dyDescent="0.2">
      <c r="A235" s="378" t="s">
        <v>34</v>
      </c>
      <c r="B235" s="472">
        <v>0</v>
      </c>
      <c r="C235" s="472">
        <v>15.683</v>
      </c>
      <c r="D235" s="472">
        <v>170.834</v>
      </c>
      <c r="E235" s="472">
        <v>116.877</v>
      </c>
      <c r="F235" s="472">
        <v>142.642</v>
      </c>
      <c r="G235" s="472">
        <v>149.73699999999999</v>
      </c>
      <c r="H235" s="472">
        <v>142.642</v>
      </c>
      <c r="I235" s="472">
        <v>131.25299999999999</v>
      </c>
      <c r="J235" s="472">
        <v>122.104</v>
      </c>
      <c r="K235" s="472">
        <v>107.91500000000001</v>
      </c>
      <c r="L235" s="472">
        <v>78.415999999999997</v>
      </c>
      <c r="M235" s="472">
        <v>43.128999999999998</v>
      </c>
      <c r="N235" s="472">
        <v>21.471</v>
      </c>
      <c r="O235" s="472">
        <v>8.7750000000000004</v>
      </c>
      <c r="P235" s="472">
        <v>0</v>
      </c>
      <c r="Q235" s="373">
        <v>0</v>
      </c>
      <c r="R235" s="373">
        <v>0</v>
      </c>
      <c r="S235" s="373">
        <f t="shared" si="58"/>
        <v>0</v>
      </c>
      <c r="T235" s="373">
        <f t="shared" si="58"/>
        <v>0</v>
      </c>
      <c r="U235" s="373">
        <f t="shared" si="58"/>
        <v>0</v>
      </c>
      <c r="V235" s="373">
        <f t="shared" si="58"/>
        <v>0</v>
      </c>
      <c r="W235" s="373">
        <f t="shared" si="58"/>
        <v>0</v>
      </c>
      <c r="X235" s="373">
        <f t="shared" si="58"/>
        <v>0</v>
      </c>
      <c r="Y235" s="382">
        <v>0</v>
      </c>
    </row>
    <row r="236" spans="1:26" ht="13.5" thickBot="1" x14ac:dyDescent="0.25">
      <c r="A236" s="379" t="s">
        <v>119</v>
      </c>
      <c r="B236" s="374">
        <f t="shared" ref="B236:X236" si="59">(C235+B235)*(C234-B234)/2</f>
        <v>3.1365999999999998E-2</v>
      </c>
      <c r="C236" s="375">
        <f t="shared" si="59"/>
        <v>1.6786529999999997</v>
      </c>
      <c r="D236" s="375">
        <f t="shared" si="59"/>
        <v>2.4455435000000003</v>
      </c>
      <c r="E236" s="375">
        <f t="shared" si="59"/>
        <v>10.770038499999998</v>
      </c>
      <c r="F236" s="375">
        <f t="shared" si="59"/>
        <v>16.665603000000001</v>
      </c>
      <c r="G236" s="375">
        <f t="shared" si="59"/>
        <v>51.604893500000003</v>
      </c>
      <c r="H236" s="375">
        <f t="shared" si="59"/>
        <v>29.03287000000001</v>
      </c>
      <c r="I236" s="375">
        <f t="shared" si="59"/>
        <v>33.823159499999996</v>
      </c>
      <c r="J236" s="375">
        <f t="shared" si="59"/>
        <v>5.7504750000000051</v>
      </c>
      <c r="K236" s="375">
        <f t="shared" si="59"/>
        <v>2.5154684999999923</v>
      </c>
      <c r="L236" s="375">
        <f t="shared" si="59"/>
        <v>1.7624024999999945</v>
      </c>
      <c r="M236" s="375">
        <f t="shared" si="59"/>
        <v>1.1951000000000045</v>
      </c>
      <c r="N236" s="375">
        <f t="shared" si="59"/>
        <v>0.54442800000000058</v>
      </c>
      <c r="O236" s="375">
        <f t="shared" si="59"/>
        <v>0.22814999999999924</v>
      </c>
      <c r="P236" s="375">
        <f t="shared" si="59"/>
        <v>0</v>
      </c>
      <c r="Q236" s="375">
        <f t="shared" si="59"/>
        <v>0</v>
      </c>
      <c r="R236" s="375">
        <f t="shared" si="59"/>
        <v>0</v>
      </c>
      <c r="S236" s="375">
        <f t="shared" si="59"/>
        <v>0</v>
      </c>
      <c r="T236" s="375">
        <f t="shared" si="59"/>
        <v>0</v>
      </c>
      <c r="U236" s="375">
        <f t="shared" si="59"/>
        <v>0</v>
      </c>
      <c r="V236" s="375">
        <f t="shared" si="59"/>
        <v>0</v>
      </c>
      <c r="W236" s="375">
        <f t="shared" si="59"/>
        <v>0</v>
      </c>
      <c r="X236" s="375">
        <f t="shared" si="59"/>
        <v>0</v>
      </c>
      <c r="Y236" s="369"/>
    </row>
    <row r="237" spans="1:26" ht="13.5" thickBot="1" x14ac:dyDescent="0.25">
      <c r="A237" s="6" t="s">
        <v>378</v>
      </c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6" ht="13.5" thickBot="1" x14ac:dyDescent="0.25">
      <c r="A238" s="361" t="s">
        <v>383</v>
      </c>
      <c r="B238" s="359">
        <f>ROW(A238)</f>
        <v>238</v>
      </c>
      <c r="C238" s="363" t="s">
        <v>118</v>
      </c>
      <c r="D238" s="353">
        <f>SUM(B241:Y241)</f>
        <v>136.75235000000001</v>
      </c>
      <c r="E238" s="363" t="s">
        <v>117</v>
      </c>
      <c r="F238" s="354">
        <f>D238/g/J238</f>
        <v>152.35078513616639</v>
      </c>
      <c r="G238" s="363" t="s">
        <v>59</v>
      </c>
      <c r="H238" s="64">
        <v>0.21249999999999999</v>
      </c>
      <c r="I238" s="363" t="s">
        <v>274</v>
      </c>
      <c r="J238" s="355">
        <f>H238-L238</f>
        <v>9.1499999999999998E-2</v>
      </c>
      <c r="K238" s="363" t="s">
        <v>275</v>
      </c>
      <c r="L238" s="64">
        <v>0.121</v>
      </c>
      <c r="M238" s="363" t="s">
        <v>60</v>
      </c>
      <c r="N238" s="65">
        <v>63</v>
      </c>
      <c r="O238" s="363" t="s">
        <v>62</v>
      </c>
      <c r="P238" s="65">
        <v>114</v>
      </c>
      <c r="Q238" s="363" t="s">
        <v>63</v>
      </c>
      <c r="R238" s="65">
        <v>127</v>
      </c>
      <c r="S238" s="363" t="s">
        <v>64</v>
      </c>
      <c r="T238" s="65">
        <v>38</v>
      </c>
      <c r="U238" s="363" t="s">
        <v>57</v>
      </c>
      <c r="V238" s="66" t="s">
        <v>122</v>
      </c>
      <c r="W238" s="463" t="s">
        <v>398</v>
      </c>
      <c r="X238" s="465">
        <v>2.36</v>
      </c>
      <c r="Y238" s="463" t="s">
        <v>397</v>
      </c>
      <c r="Z238" s="358">
        <v>13</v>
      </c>
    </row>
    <row r="239" spans="1:26" x14ac:dyDescent="0.2">
      <c r="A239" s="362" t="s">
        <v>33</v>
      </c>
      <c r="B239" s="370">
        <v>0</v>
      </c>
      <c r="C239" s="371">
        <v>2.9000000000000001E-2</v>
      </c>
      <c r="D239" s="371">
        <v>4.5999999999999999E-2</v>
      </c>
      <c r="E239" s="371">
        <v>5.8000000000000003E-2</v>
      </c>
      <c r="F239" s="371">
        <v>8.4000000000000005E-2</v>
      </c>
      <c r="G239" s="371">
        <v>0.17100000000000001</v>
      </c>
      <c r="H239" s="371">
        <v>0.28000000000000003</v>
      </c>
      <c r="I239" s="371">
        <v>0.45500000000000002</v>
      </c>
      <c r="J239" s="371">
        <v>0.58599999999999997</v>
      </c>
      <c r="K239" s="371">
        <v>0.74099999999999999</v>
      </c>
      <c r="L239" s="371">
        <v>0.95199999999999996</v>
      </c>
      <c r="M239" s="371">
        <v>1.2170000000000001</v>
      </c>
      <c r="N239" s="371">
        <v>1.43</v>
      </c>
      <c r="O239" s="371">
        <v>1.6259999999999999</v>
      </c>
      <c r="P239" s="371">
        <v>1.8069999999999999</v>
      </c>
      <c r="Q239" s="371">
        <v>1.9590000000000001</v>
      </c>
      <c r="R239" s="371">
        <v>2.1040000000000001</v>
      </c>
      <c r="S239" s="371">
        <v>2.1680000000000001</v>
      </c>
      <c r="T239" s="371">
        <v>2.21</v>
      </c>
      <c r="U239" s="371">
        <v>2.2469999999999999</v>
      </c>
      <c r="V239" s="371">
        <v>2.3290000000000002</v>
      </c>
      <c r="W239" s="371">
        <f>2.4</f>
        <v>2.4</v>
      </c>
      <c r="X239" s="371">
        <f>W239</f>
        <v>2.4</v>
      </c>
      <c r="Y239" s="381">
        <v>1000</v>
      </c>
    </row>
    <row r="240" spans="1:26" x14ac:dyDescent="0.2">
      <c r="A240" s="378" t="s">
        <v>34</v>
      </c>
      <c r="B240" s="372">
        <v>0</v>
      </c>
      <c r="C240" s="373">
        <v>90.25</v>
      </c>
      <c r="D240" s="373">
        <v>69.17</v>
      </c>
      <c r="E240" s="373">
        <v>59.947000000000003</v>
      </c>
      <c r="F240" s="373">
        <v>47.167000000000002</v>
      </c>
      <c r="G240" s="373">
        <v>57.970999999999997</v>
      </c>
      <c r="H240" s="373">
        <v>59.552</v>
      </c>
      <c r="I240" s="373">
        <v>61.265000000000001</v>
      </c>
      <c r="J240" s="373">
        <v>61.66</v>
      </c>
      <c r="K240" s="373">
        <v>62.319000000000003</v>
      </c>
      <c r="L240" s="373">
        <v>63.768000000000001</v>
      </c>
      <c r="M240" s="373">
        <v>64.69</v>
      </c>
      <c r="N240" s="373">
        <v>63.768000000000001</v>
      </c>
      <c r="O240" s="373">
        <v>61.265000000000001</v>
      </c>
      <c r="P240" s="373">
        <v>58.103000000000002</v>
      </c>
      <c r="Q240" s="373">
        <v>53.887</v>
      </c>
      <c r="R240" s="373">
        <v>48.353000000000002</v>
      </c>
      <c r="S240" s="373">
        <v>47.563000000000002</v>
      </c>
      <c r="T240" s="373">
        <v>44.005000000000003</v>
      </c>
      <c r="U240" s="373">
        <v>37.286000000000001</v>
      </c>
      <c r="V240" s="373">
        <v>22.265999999999998</v>
      </c>
      <c r="W240" s="373">
        <v>0</v>
      </c>
      <c r="X240" s="373">
        <f>W240</f>
        <v>0</v>
      </c>
      <c r="Y240" s="382">
        <v>0</v>
      </c>
    </row>
    <row r="241" spans="1:26" ht="13.5" thickBot="1" x14ac:dyDescent="0.25">
      <c r="A241" s="379" t="s">
        <v>119</v>
      </c>
      <c r="B241" s="374">
        <f t="shared" ref="B241:X241" si="60">(C240+B240)*(C239-B239)/2</f>
        <v>1.3086250000000001</v>
      </c>
      <c r="C241" s="375">
        <f t="shared" si="60"/>
        <v>1.35507</v>
      </c>
      <c r="D241" s="375">
        <f t="shared" si="60"/>
        <v>0.77470200000000033</v>
      </c>
      <c r="E241" s="375">
        <f t="shared" si="60"/>
        <v>1.3924820000000002</v>
      </c>
      <c r="F241" s="375">
        <f t="shared" si="60"/>
        <v>4.5735030000000005</v>
      </c>
      <c r="G241" s="375">
        <f t="shared" si="60"/>
        <v>6.4050035000000003</v>
      </c>
      <c r="H241" s="375">
        <f t="shared" si="60"/>
        <v>10.5714875</v>
      </c>
      <c r="I241" s="375">
        <f t="shared" si="60"/>
        <v>8.0515874999999966</v>
      </c>
      <c r="J241" s="375">
        <f t="shared" si="60"/>
        <v>9.6083725000000015</v>
      </c>
      <c r="K241" s="375">
        <f t="shared" si="60"/>
        <v>13.302178499999998</v>
      </c>
      <c r="L241" s="375">
        <f t="shared" si="60"/>
        <v>17.020685000000007</v>
      </c>
      <c r="M241" s="375">
        <f t="shared" si="60"/>
        <v>13.68077699999999</v>
      </c>
      <c r="N241" s="375">
        <f t="shared" si="60"/>
        <v>12.253233999999997</v>
      </c>
      <c r="O241" s="375">
        <f t="shared" si="60"/>
        <v>10.802804000000002</v>
      </c>
      <c r="P241" s="375">
        <f t="shared" si="60"/>
        <v>8.5112400000000079</v>
      </c>
      <c r="Q241" s="375">
        <f t="shared" si="60"/>
        <v>7.4124000000000017</v>
      </c>
      <c r="R241" s="375">
        <f t="shared" si="60"/>
        <v>3.0693120000000027</v>
      </c>
      <c r="S241" s="375">
        <f t="shared" si="60"/>
        <v>1.9229279999999918</v>
      </c>
      <c r="T241" s="375">
        <f t="shared" si="60"/>
        <v>1.5038834999999968</v>
      </c>
      <c r="U241" s="375">
        <f t="shared" si="60"/>
        <v>2.4416320000000087</v>
      </c>
      <c r="V241" s="375">
        <f t="shared" si="60"/>
        <v>0.7904429999999969</v>
      </c>
      <c r="W241" s="375">
        <f t="shared" si="60"/>
        <v>0</v>
      </c>
      <c r="X241" s="375">
        <f t="shared" si="60"/>
        <v>0</v>
      </c>
      <c r="Y241" s="369"/>
    </row>
    <row r="242" spans="1:26" ht="13.5" thickBot="1" x14ac:dyDescent="0.25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6" ht="13.5" thickBot="1" x14ac:dyDescent="0.25">
      <c r="A243" s="361" t="s">
        <v>384</v>
      </c>
      <c r="B243" s="359">
        <f>ROW(A243)</f>
        <v>243</v>
      </c>
      <c r="C243" s="363" t="s">
        <v>118</v>
      </c>
      <c r="D243" s="353">
        <f>SUM(B246:Y246)</f>
        <v>127.06944999999999</v>
      </c>
      <c r="E243" s="363" t="s">
        <v>117</v>
      </c>
      <c r="F243" s="354">
        <f>D243/g/J243</f>
        <v>180.65624835614466</v>
      </c>
      <c r="G243" s="363" t="s">
        <v>59</v>
      </c>
      <c r="H243" s="64">
        <v>0.18840000000000001</v>
      </c>
      <c r="I243" s="363" t="s">
        <v>274</v>
      </c>
      <c r="J243" s="355">
        <f>H243-L243</f>
        <v>7.1700000000000014E-2</v>
      </c>
      <c r="K243" s="363" t="s">
        <v>275</v>
      </c>
      <c r="L243" s="64">
        <v>0.1167</v>
      </c>
      <c r="M243" s="363" t="s">
        <v>60</v>
      </c>
      <c r="N243" s="65">
        <v>63</v>
      </c>
      <c r="O243" s="363" t="s">
        <v>62</v>
      </c>
      <c r="P243" s="65">
        <v>114</v>
      </c>
      <c r="Q243" s="363" t="s">
        <v>63</v>
      </c>
      <c r="R243" s="65">
        <v>127</v>
      </c>
      <c r="S243" s="363" t="s">
        <v>64</v>
      </c>
      <c r="T243" s="65">
        <v>38</v>
      </c>
      <c r="U243" s="363" t="s">
        <v>57</v>
      </c>
      <c r="V243" s="66" t="s">
        <v>122</v>
      </c>
      <c r="W243" s="463" t="s">
        <v>398</v>
      </c>
      <c r="X243" s="465">
        <v>0.69</v>
      </c>
      <c r="Y243" s="463" t="s">
        <v>397</v>
      </c>
      <c r="Z243" s="358">
        <v>12</v>
      </c>
    </row>
    <row r="244" spans="1:26" x14ac:dyDescent="0.2">
      <c r="A244" s="362" t="s">
        <v>33</v>
      </c>
      <c r="B244" s="370">
        <v>0</v>
      </c>
      <c r="C244" s="371">
        <v>0.01</v>
      </c>
      <c r="D244" s="371">
        <v>0.02</v>
      </c>
      <c r="E244" s="371">
        <v>0.05</v>
      </c>
      <c r="F244" s="371">
        <v>0.1</v>
      </c>
      <c r="G244" s="371">
        <v>0.2</v>
      </c>
      <c r="H244" s="371">
        <v>0.3</v>
      </c>
      <c r="I244" s="371">
        <v>0.35</v>
      </c>
      <c r="J244" s="371">
        <v>0.4</v>
      </c>
      <c r="K244" s="371">
        <v>0.45</v>
      </c>
      <c r="L244" s="371">
        <v>0.5</v>
      </c>
      <c r="M244" s="371">
        <v>0.55000000000000004</v>
      </c>
      <c r="N244" s="371">
        <v>0.6</v>
      </c>
      <c r="O244" s="371">
        <v>0.61</v>
      </c>
      <c r="P244" s="371">
        <v>0.63</v>
      </c>
      <c r="Q244" s="371">
        <v>0.64</v>
      </c>
      <c r="R244" s="371">
        <v>0.65</v>
      </c>
      <c r="S244" s="371">
        <v>0.67</v>
      </c>
      <c r="T244" s="371">
        <v>0.68</v>
      </c>
      <c r="U244" s="371">
        <v>0.69</v>
      </c>
      <c r="V244" s="371">
        <f t="shared" ref="V244:X245" si="61">U244</f>
        <v>0.69</v>
      </c>
      <c r="W244" s="371">
        <f t="shared" si="61"/>
        <v>0.69</v>
      </c>
      <c r="X244" s="371">
        <v>2</v>
      </c>
      <c r="Y244" s="381">
        <v>1000</v>
      </c>
    </row>
    <row r="245" spans="1:26" x14ac:dyDescent="0.2">
      <c r="A245" s="378" t="s">
        <v>34</v>
      </c>
      <c r="B245" s="372">
        <v>0</v>
      </c>
      <c r="C245" s="373">
        <v>108.72</v>
      </c>
      <c r="D245" s="373">
        <v>131.19</v>
      </c>
      <c r="E245" s="373">
        <v>153.13999999999999</v>
      </c>
      <c r="F245" s="373">
        <v>168.97</v>
      </c>
      <c r="G245" s="373">
        <v>189.92</v>
      </c>
      <c r="H245" s="373">
        <v>199.95</v>
      </c>
      <c r="I245" s="373">
        <v>203.59</v>
      </c>
      <c r="J245" s="373">
        <v>205.03</v>
      </c>
      <c r="K245" s="373">
        <v>202.6</v>
      </c>
      <c r="L245" s="373">
        <v>203.06</v>
      </c>
      <c r="M245" s="373">
        <v>199.34</v>
      </c>
      <c r="N245" s="373">
        <v>194.71</v>
      </c>
      <c r="O245" s="373">
        <v>194.1</v>
      </c>
      <c r="P245" s="373">
        <v>193.49</v>
      </c>
      <c r="Q245" s="373">
        <v>193.68</v>
      </c>
      <c r="R245" s="373">
        <v>202.91</v>
      </c>
      <c r="S245" s="373">
        <v>163.38999999999999</v>
      </c>
      <c r="T245" s="373">
        <v>80.44</v>
      </c>
      <c r="U245" s="373">
        <v>0</v>
      </c>
      <c r="V245" s="373">
        <f t="shared" si="61"/>
        <v>0</v>
      </c>
      <c r="W245" s="373">
        <f t="shared" si="61"/>
        <v>0</v>
      </c>
      <c r="X245" s="373">
        <f t="shared" si="61"/>
        <v>0</v>
      </c>
      <c r="Y245" s="382">
        <v>0</v>
      </c>
    </row>
    <row r="246" spans="1:26" ht="13.5" thickBot="1" x14ac:dyDescent="0.25">
      <c r="A246" s="379" t="s">
        <v>119</v>
      </c>
      <c r="B246" s="374">
        <f t="shared" ref="B246:X246" si="62">(C245+B245)*(C244-B244)/2</f>
        <v>0.54359999999999997</v>
      </c>
      <c r="C246" s="375">
        <f t="shared" si="62"/>
        <v>1.1995500000000001</v>
      </c>
      <c r="D246" s="375">
        <f t="shared" si="62"/>
        <v>4.2649499999999998</v>
      </c>
      <c r="E246" s="375">
        <f t="shared" si="62"/>
        <v>8.0527500000000014</v>
      </c>
      <c r="F246" s="375">
        <f t="shared" si="62"/>
        <v>17.944500000000001</v>
      </c>
      <c r="G246" s="375">
        <f t="shared" si="62"/>
        <v>19.493499999999997</v>
      </c>
      <c r="H246" s="375">
        <f t="shared" si="62"/>
        <v>10.088499999999996</v>
      </c>
      <c r="I246" s="375">
        <f t="shared" si="62"/>
        <v>10.215500000000009</v>
      </c>
      <c r="J246" s="375">
        <f t="shared" si="62"/>
        <v>10.190749999999998</v>
      </c>
      <c r="K246" s="375">
        <f t="shared" si="62"/>
        <v>10.141499999999997</v>
      </c>
      <c r="L246" s="375">
        <f t="shared" si="62"/>
        <v>10.060000000000008</v>
      </c>
      <c r="M246" s="375">
        <f t="shared" si="62"/>
        <v>9.8512499999999878</v>
      </c>
      <c r="N246" s="375">
        <f t="shared" si="62"/>
        <v>1.9440500000000018</v>
      </c>
      <c r="O246" s="375">
        <f t="shared" si="62"/>
        <v>3.8759000000000037</v>
      </c>
      <c r="P246" s="375">
        <f t="shared" si="62"/>
        <v>1.9358500000000018</v>
      </c>
      <c r="Q246" s="375">
        <f t="shared" si="62"/>
        <v>1.982950000000002</v>
      </c>
      <c r="R246" s="375">
        <f t="shared" si="62"/>
        <v>3.6630000000000029</v>
      </c>
      <c r="S246" s="375">
        <f t="shared" si="62"/>
        <v>1.2191500000000011</v>
      </c>
      <c r="T246" s="375">
        <f t="shared" si="62"/>
        <v>0.40219999999999589</v>
      </c>
      <c r="U246" s="375">
        <f t="shared" si="62"/>
        <v>0</v>
      </c>
      <c r="V246" s="375">
        <f t="shared" si="62"/>
        <v>0</v>
      </c>
      <c r="W246" s="375">
        <f t="shared" si="62"/>
        <v>0</v>
      </c>
      <c r="X246" s="375">
        <f t="shared" si="62"/>
        <v>0</v>
      </c>
      <c r="Y246" s="369"/>
    </row>
    <row r="247" spans="1:26" ht="13.5" thickBot="1" x14ac:dyDescent="0.25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6" ht="13.5" thickBot="1" x14ac:dyDescent="0.25">
      <c r="A248" s="361" t="s">
        <v>392</v>
      </c>
      <c r="B248" s="359">
        <f>ROW(A248)</f>
        <v>248</v>
      </c>
      <c r="C248" s="363" t="s">
        <v>118</v>
      </c>
      <c r="D248" s="353">
        <f>SUM(B251:Y251)</f>
        <v>142.7236025</v>
      </c>
      <c r="E248" s="363" t="s">
        <v>117</v>
      </c>
      <c r="F248" s="354">
        <v>208</v>
      </c>
      <c r="G248" s="363" t="s">
        <v>59</v>
      </c>
      <c r="H248" s="64">
        <v>0.19700000000000001</v>
      </c>
      <c r="I248" s="363" t="s">
        <v>274</v>
      </c>
      <c r="J248" s="355">
        <f>H248-L248</f>
        <v>7.0000000000000007E-2</v>
      </c>
      <c r="K248" s="363" t="s">
        <v>275</v>
      </c>
      <c r="L248" s="64">
        <v>0.127</v>
      </c>
      <c r="M248" s="363" t="s">
        <v>60</v>
      </c>
      <c r="N248" s="65">
        <v>63</v>
      </c>
      <c r="O248" s="363" t="s">
        <v>62</v>
      </c>
      <c r="P248" s="65">
        <v>114</v>
      </c>
      <c r="Q248" s="363" t="s">
        <v>63</v>
      </c>
      <c r="R248" s="65">
        <v>127</v>
      </c>
      <c r="S248" s="363" t="s">
        <v>64</v>
      </c>
      <c r="T248" s="65">
        <v>38</v>
      </c>
      <c r="U248" s="363" t="s">
        <v>57</v>
      </c>
      <c r="V248" s="66" t="s">
        <v>122</v>
      </c>
      <c r="W248" s="463" t="s">
        <v>398</v>
      </c>
      <c r="X248" s="465">
        <v>1.8</v>
      </c>
      <c r="Y248" s="463" t="s">
        <v>397</v>
      </c>
      <c r="Z248" s="358">
        <v>15</v>
      </c>
    </row>
    <row r="249" spans="1:26" x14ac:dyDescent="0.2">
      <c r="A249" s="362" t="s">
        <v>33</v>
      </c>
      <c r="B249" s="370">
        <v>0</v>
      </c>
      <c r="C249" s="370">
        <v>6.0000000000000001E-3</v>
      </c>
      <c r="D249" s="371">
        <v>1.7999999999999999E-2</v>
      </c>
      <c r="E249" s="371">
        <v>3.5999999999999997E-2</v>
      </c>
      <c r="F249" s="371">
        <v>4.7E-2</v>
      </c>
      <c r="G249" s="371">
        <v>8.4000000000000005E-2</v>
      </c>
      <c r="H249" s="371">
        <v>0.13500000000000001</v>
      </c>
      <c r="I249" s="371">
        <v>0.23799999999999999</v>
      </c>
      <c r="J249" s="371">
        <v>0.438</v>
      </c>
      <c r="K249" s="371">
        <v>0.63</v>
      </c>
      <c r="L249" s="371">
        <v>0.85899999999999999</v>
      </c>
      <c r="M249" s="371">
        <v>1.2829999999999999</v>
      </c>
      <c r="N249" s="371">
        <v>1.4470000000000001</v>
      </c>
      <c r="O249" s="371">
        <v>1.643</v>
      </c>
      <c r="P249" s="371">
        <v>1.7130000000000001</v>
      </c>
      <c r="Q249" s="371">
        <v>1.7430000000000001</v>
      </c>
      <c r="R249" s="371">
        <v>1.79</v>
      </c>
      <c r="S249" s="371">
        <v>1.8180000000000001</v>
      </c>
      <c r="T249" s="371">
        <v>1.8520000000000001</v>
      </c>
      <c r="U249" s="371">
        <v>2</v>
      </c>
      <c r="V249" s="371">
        <f t="shared" ref="V249:X250" si="63">U249</f>
        <v>2</v>
      </c>
      <c r="W249" s="371">
        <f t="shared" si="63"/>
        <v>2</v>
      </c>
      <c r="X249" s="371">
        <f t="shared" si="63"/>
        <v>2</v>
      </c>
      <c r="Y249" s="381">
        <v>1000</v>
      </c>
    </row>
    <row r="250" spans="1:26" x14ac:dyDescent="0.2">
      <c r="A250" s="378" t="s">
        <v>34</v>
      </c>
      <c r="B250" s="372">
        <v>0</v>
      </c>
      <c r="C250" s="372">
        <v>104.068</v>
      </c>
      <c r="D250" s="373">
        <v>137.928</v>
      </c>
      <c r="E250" s="373">
        <v>70.706999999999994</v>
      </c>
      <c r="F250" s="373">
        <v>62.241999999999997</v>
      </c>
      <c r="G250" s="373">
        <v>73.694000000000003</v>
      </c>
      <c r="H250" s="373">
        <v>78.176000000000002</v>
      </c>
      <c r="I250" s="373">
        <v>84.150999999999996</v>
      </c>
      <c r="J250" s="373">
        <v>89.628</v>
      </c>
      <c r="K250" s="373">
        <v>88.135000000000005</v>
      </c>
      <c r="L250" s="373">
        <v>87.138999999999996</v>
      </c>
      <c r="M250" s="373">
        <v>77.180000000000007</v>
      </c>
      <c r="N250" s="373">
        <v>70.706999999999994</v>
      </c>
      <c r="O250" s="373">
        <v>67.718999999999994</v>
      </c>
      <c r="P250" s="373">
        <v>64.233999999999995</v>
      </c>
      <c r="Q250" s="373">
        <v>54.274999999999999</v>
      </c>
      <c r="R250" s="373">
        <v>18.423999999999999</v>
      </c>
      <c r="S250" s="373">
        <v>6.4729999999999999</v>
      </c>
      <c r="T250" s="373">
        <v>0</v>
      </c>
      <c r="U250" s="373">
        <v>0</v>
      </c>
      <c r="V250" s="373">
        <f t="shared" si="63"/>
        <v>0</v>
      </c>
      <c r="W250" s="373">
        <f t="shared" si="63"/>
        <v>0</v>
      </c>
      <c r="X250" s="373">
        <f t="shared" si="63"/>
        <v>0</v>
      </c>
      <c r="Y250" s="382">
        <v>0</v>
      </c>
    </row>
    <row r="251" spans="1:26" ht="13.5" thickBot="1" x14ac:dyDescent="0.25">
      <c r="A251" s="379" t="s">
        <v>119</v>
      </c>
      <c r="B251" s="374">
        <f t="shared" ref="B251:X251" si="64">(C250+B250)*(C249-B249)/2</f>
        <v>0.31220399999999998</v>
      </c>
      <c r="C251" s="375">
        <f t="shared" si="64"/>
        <v>1.4519759999999997</v>
      </c>
      <c r="D251" s="375">
        <f t="shared" si="64"/>
        <v>1.8777149999999998</v>
      </c>
      <c r="E251" s="375">
        <f t="shared" si="64"/>
        <v>0.73121950000000013</v>
      </c>
      <c r="F251" s="375">
        <f t="shared" si="64"/>
        <v>2.5148160000000006</v>
      </c>
      <c r="G251" s="375">
        <f t="shared" si="64"/>
        <v>3.8726850000000006</v>
      </c>
      <c r="H251" s="375">
        <f t="shared" si="64"/>
        <v>8.3598404999999989</v>
      </c>
      <c r="I251" s="375">
        <f t="shared" si="64"/>
        <v>17.3779</v>
      </c>
      <c r="J251" s="375">
        <f t="shared" si="64"/>
        <v>17.065248</v>
      </c>
      <c r="K251" s="375">
        <f t="shared" si="64"/>
        <v>20.068873</v>
      </c>
      <c r="L251" s="375">
        <f t="shared" si="64"/>
        <v>34.835628</v>
      </c>
      <c r="M251" s="375">
        <f t="shared" si="64"/>
        <v>12.126734000000011</v>
      </c>
      <c r="N251" s="375">
        <f t="shared" si="64"/>
        <v>13.565747999999996</v>
      </c>
      <c r="O251" s="375">
        <f t="shared" si="64"/>
        <v>4.6183550000000029</v>
      </c>
      <c r="P251" s="375">
        <f t="shared" si="64"/>
        <v>1.7776350000000014</v>
      </c>
      <c r="Q251" s="375">
        <f t="shared" si="64"/>
        <v>1.7084264999999974</v>
      </c>
      <c r="R251" s="375">
        <f t="shared" si="64"/>
        <v>0.34855800000000031</v>
      </c>
      <c r="S251" s="375">
        <f t="shared" si="64"/>
        <v>0.1100410000000001</v>
      </c>
      <c r="T251" s="375">
        <f t="shared" si="64"/>
        <v>0</v>
      </c>
      <c r="U251" s="375">
        <f t="shared" si="64"/>
        <v>0</v>
      </c>
      <c r="V251" s="375">
        <f t="shared" si="64"/>
        <v>0</v>
      </c>
      <c r="W251" s="375">
        <f t="shared" si="64"/>
        <v>0</v>
      </c>
      <c r="X251" s="375">
        <f t="shared" si="64"/>
        <v>0</v>
      </c>
      <c r="Y251" s="369"/>
    </row>
    <row r="252" spans="1:26" ht="13.5" thickBot="1" x14ac:dyDescent="0.25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6" ht="13.5" thickBot="1" x14ac:dyDescent="0.25">
      <c r="A253" s="361" t="s">
        <v>277</v>
      </c>
      <c r="B253" s="360">
        <f>ROW(A253)</f>
        <v>253</v>
      </c>
      <c r="C253" s="363" t="s">
        <v>118</v>
      </c>
      <c r="D253" s="353">
        <f>SUM(B256:Y256)</f>
        <v>33.500000000000007</v>
      </c>
      <c r="E253" s="363" t="s">
        <v>117</v>
      </c>
      <c r="F253" s="354">
        <f>D253/g/J253</f>
        <v>68.297655453618759</v>
      </c>
      <c r="G253" s="363" t="s">
        <v>59</v>
      </c>
      <c r="H253" s="64">
        <v>8.5000000000000006E-2</v>
      </c>
      <c r="I253" s="363" t="s">
        <v>274</v>
      </c>
      <c r="J253" s="355">
        <f>H253-L253</f>
        <v>0.05</v>
      </c>
      <c r="K253" s="363" t="s">
        <v>275</v>
      </c>
      <c r="L253" s="64">
        <v>3.5000000000000003E-2</v>
      </c>
      <c r="M253" s="363" t="s">
        <v>60</v>
      </c>
      <c r="N253" s="65">
        <v>20</v>
      </c>
      <c r="O253" s="363" t="s">
        <v>62</v>
      </c>
      <c r="P253" s="65">
        <v>20</v>
      </c>
      <c r="Q253" s="363" t="s">
        <v>63</v>
      </c>
      <c r="R253" s="65">
        <v>39</v>
      </c>
      <c r="S253" s="363" t="s">
        <v>64</v>
      </c>
      <c r="T253" s="65">
        <v>39</v>
      </c>
      <c r="U253" s="363" t="s">
        <v>57</v>
      </c>
      <c r="V253" s="66" t="s">
        <v>405</v>
      </c>
      <c r="W253" s="12"/>
      <c r="X253" s="12"/>
      <c r="Y253" s="12"/>
    </row>
    <row r="254" spans="1:26" x14ac:dyDescent="0.2">
      <c r="A254" s="362" t="s">
        <v>33</v>
      </c>
      <c r="B254" s="370">
        <v>0</v>
      </c>
      <c r="C254" s="371">
        <v>0.05</v>
      </c>
      <c r="D254" s="371">
        <v>0.1</v>
      </c>
      <c r="E254" s="371">
        <v>0.25</v>
      </c>
      <c r="F254" s="371">
        <v>0.3</v>
      </c>
      <c r="G254" s="371">
        <v>0.35</v>
      </c>
      <c r="H254" s="371">
        <v>0.45</v>
      </c>
      <c r="I254" s="371">
        <v>0.55000000000000004</v>
      </c>
      <c r="J254" s="371">
        <v>3.5</v>
      </c>
      <c r="K254" s="371">
        <v>3.6</v>
      </c>
      <c r="L254" s="371">
        <v>3.6</v>
      </c>
      <c r="M254" s="371">
        <v>3.6</v>
      </c>
      <c r="N254" s="371">
        <v>3.6</v>
      </c>
      <c r="O254" s="371">
        <v>3.6</v>
      </c>
      <c r="P254" s="371">
        <v>3.6</v>
      </c>
      <c r="Q254" s="371">
        <v>3.6</v>
      </c>
      <c r="R254" s="371">
        <v>3.6</v>
      </c>
      <c r="S254" s="371">
        <v>3.6</v>
      </c>
      <c r="T254" s="371">
        <v>3.6</v>
      </c>
      <c r="U254" s="371">
        <v>3.6</v>
      </c>
      <c r="V254" s="371">
        <v>3.6</v>
      </c>
      <c r="W254" s="371">
        <v>3.6</v>
      </c>
      <c r="X254" s="371">
        <v>3.6</v>
      </c>
      <c r="Y254" s="381">
        <v>1000</v>
      </c>
    </row>
    <row r="255" spans="1:26" x14ac:dyDescent="0.2">
      <c r="A255" s="378" t="s">
        <v>34</v>
      </c>
      <c r="B255" s="372">
        <v>0</v>
      </c>
      <c r="C255" s="373">
        <v>68</v>
      </c>
      <c r="D255" s="373">
        <v>62</v>
      </c>
      <c r="E255" s="373">
        <v>60</v>
      </c>
      <c r="F255" s="373">
        <v>39</v>
      </c>
      <c r="G255" s="373">
        <v>38</v>
      </c>
      <c r="H255" s="373">
        <v>9</v>
      </c>
      <c r="I255" s="373">
        <v>5</v>
      </c>
      <c r="J255" s="373">
        <v>3</v>
      </c>
      <c r="K255" s="373">
        <v>0</v>
      </c>
      <c r="L255" s="373">
        <v>0</v>
      </c>
      <c r="M255" s="373">
        <v>0</v>
      </c>
      <c r="N255" s="373">
        <v>0</v>
      </c>
      <c r="O255" s="373">
        <v>0</v>
      </c>
      <c r="P255" s="373">
        <v>0</v>
      </c>
      <c r="Q255" s="373">
        <v>0</v>
      </c>
      <c r="R255" s="373">
        <v>0</v>
      </c>
      <c r="S255" s="373">
        <v>0</v>
      </c>
      <c r="T255" s="373">
        <v>0</v>
      </c>
      <c r="U255" s="373">
        <v>0</v>
      </c>
      <c r="V255" s="373">
        <v>0</v>
      </c>
      <c r="W255" s="373">
        <v>0</v>
      </c>
      <c r="X255" s="373">
        <v>0</v>
      </c>
      <c r="Y255" s="382">
        <v>0</v>
      </c>
    </row>
    <row r="256" spans="1:26" ht="13.5" thickBot="1" x14ac:dyDescent="0.25">
      <c r="A256" s="379" t="s">
        <v>119</v>
      </c>
      <c r="B256" s="374">
        <f t="shared" ref="B256:V256" si="65">(C255+B255)*(C254-B254)/2</f>
        <v>1.7000000000000002</v>
      </c>
      <c r="C256" s="375">
        <f t="shared" si="65"/>
        <v>3.25</v>
      </c>
      <c r="D256" s="375">
        <f t="shared" si="65"/>
        <v>9.15</v>
      </c>
      <c r="E256" s="375">
        <f t="shared" si="65"/>
        <v>2.4749999999999996</v>
      </c>
      <c r="F256" s="375">
        <f t="shared" si="65"/>
        <v>1.9249999999999996</v>
      </c>
      <c r="G256" s="375">
        <f t="shared" si="65"/>
        <v>2.350000000000001</v>
      </c>
      <c r="H256" s="375">
        <f t="shared" si="65"/>
        <v>0.70000000000000018</v>
      </c>
      <c r="I256" s="375">
        <f t="shared" si="65"/>
        <v>11.8</v>
      </c>
      <c r="J256" s="375">
        <f t="shared" si="65"/>
        <v>0.15000000000000013</v>
      </c>
      <c r="K256" s="375">
        <f t="shared" si="65"/>
        <v>0</v>
      </c>
      <c r="L256" s="375">
        <f t="shared" si="65"/>
        <v>0</v>
      </c>
      <c r="M256" s="375">
        <f t="shared" si="65"/>
        <v>0</v>
      </c>
      <c r="N256" s="375">
        <f t="shared" si="65"/>
        <v>0</v>
      </c>
      <c r="O256" s="375">
        <f t="shared" si="65"/>
        <v>0</v>
      </c>
      <c r="P256" s="375">
        <f t="shared" si="65"/>
        <v>0</v>
      </c>
      <c r="Q256" s="375">
        <f t="shared" si="65"/>
        <v>0</v>
      </c>
      <c r="R256" s="375">
        <f t="shared" si="65"/>
        <v>0</v>
      </c>
      <c r="S256" s="375">
        <f t="shared" si="65"/>
        <v>0</v>
      </c>
      <c r="T256" s="375">
        <f t="shared" si="65"/>
        <v>0</v>
      </c>
      <c r="U256" s="375">
        <f t="shared" si="65"/>
        <v>0</v>
      </c>
      <c r="V256" s="375">
        <f t="shared" si="65"/>
        <v>0</v>
      </c>
      <c r="W256" s="375">
        <f>(X255+W255)*(X254-W254)/2</f>
        <v>0</v>
      </c>
      <c r="X256" s="375">
        <f>(Y255+X255)*(Y254-X254)/2</f>
        <v>0</v>
      </c>
      <c r="Y256" s="369"/>
    </row>
    <row r="257" spans="1:25" ht="13.5" thickBot="1" x14ac:dyDescent="0.25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3.5" thickBot="1" x14ac:dyDescent="0.25">
      <c r="A258" s="361" t="s">
        <v>278</v>
      </c>
      <c r="B258" s="359">
        <f>ROW(A258)</f>
        <v>258</v>
      </c>
      <c r="C258" s="363" t="s">
        <v>118</v>
      </c>
      <c r="D258" s="353">
        <f>SUM(B261:Y261)</f>
        <v>145.46</v>
      </c>
      <c r="E258" s="363" t="s">
        <v>117</v>
      </c>
      <c r="F258" s="354">
        <f>D258/g/J258</f>
        <v>211.82466870540264</v>
      </c>
      <c r="G258" s="363" t="s">
        <v>59</v>
      </c>
      <c r="H258" s="64">
        <v>0.22</v>
      </c>
      <c r="I258" s="363" t="s">
        <v>274</v>
      </c>
      <c r="J258" s="355">
        <f>H258-L258</f>
        <v>7.0000000000000007E-2</v>
      </c>
      <c r="K258" s="363" t="s">
        <v>275</v>
      </c>
      <c r="L258" s="64">
        <v>0.15</v>
      </c>
      <c r="M258" s="363" t="s">
        <v>60</v>
      </c>
      <c r="N258" s="65">
        <v>50</v>
      </c>
      <c r="O258" s="363" t="s">
        <v>62</v>
      </c>
      <c r="P258" s="65">
        <v>55</v>
      </c>
      <c r="Q258" s="363" t="s">
        <v>63</v>
      </c>
      <c r="R258" s="65">
        <v>76</v>
      </c>
      <c r="S258" s="363" t="s">
        <v>64</v>
      </c>
      <c r="T258" s="65">
        <v>40</v>
      </c>
      <c r="U258" s="363" t="s">
        <v>57</v>
      </c>
      <c r="V258" s="66" t="s">
        <v>405</v>
      </c>
      <c r="W258" s="12"/>
      <c r="X258" s="12"/>
      <c r="Y258" s="12"/>
    </row>
    <row r="259" spans="1:25" x14ac:dyDescent="0.2">
      <c r="A259" s="362" t="s">
        <v>33</v>
      </c>
      <c r="B259" s="370">
        <v>0</v>
      </c>
      <c r="C259" s="371">
        <v>0.02</v>
      </c>
      <c r="D259" s="371">
        <v>0.04</v>
      </c>
      <c r="E259" s="371">
        <v>0.05</v>
      </c>
      <c r="F259" s="371">
        <v>0.06</v>
      </c>
      <c r="G259" s="371">
        <v>0.94</v>
      </c>
      <c r="H259" s="377">
        <v>0.94200000000000006</v>
      </c>
      <c r="I259" s="371">
        <v>0.95</v>
      </c>
      <c r="J259" s="371">
        <v>0.95</v>
      </c>
      <c r="K259" s="371">
        <v>0.95</v>
      </c>
      <c r="L259" s="371">
        <v>0.95</v>
      </c>
      <c r="M259" s="371">
        <v>0.95</v>
      </c>
      <c r="N259" s="371">
        <v>0.95</v>
      </c>
      <c r="O259" s="371">
        <v>0.95</v>
      </c>
      <c r="P259" s="371">
        <v>0.95</v>
      </c>
      <c r="Q259" s="371">
        <v>0.95</v>
      </c>
      <c r="R259" s="371">
        <v>0.95</v>
      </c>
      <c r="S259" s="371">
        <v>0.95</v>
      </c>
      <c r="T259" s="371">
        <v>0.95</v>
      </c>
      <c r="U259" s="371">
        <v>0.95</v>
      </c>
      <c r="V259" s="371">
        <v>0.95</v>
      </c>
      <c r="W259" s="371">
        <v>0.95</v>
      </c>
      <c r="X259" s="371">
        <v>2</v>
      </c>
      <c r="Y259" s="381">
        <v>1000</v>
      </c>
    </row>
    <row r="260" spans="1:25" x14ac:dyDescent="0.2">
      <c r="A260" s="378" t="s">
        <v>34</v>
      </c>
      <c r="B260" s="372">
        <v>0</v>
      </c>
      <c r="C260" s="373">
        <v>320</v>
      </c>
      <c r="D260" s="373">
        <v>170</v>
      </c>
      <c r="E260" s="373">
        <v>205</v>
      </c>
      <c r="F260" s="373">
        <v>217</v>
      </c>
      <c r="G260" s="373">
        <v>85</v>
      </c>
      <c r="H260" s="373">
        <v>82</v>
      </c>
      <c r="I260" s="373">
        <v>0</v>
      </c>
      <c r="J260" s="373">
        <v>0</v>
      </c>
      <c r="K260" s="373">
        <v>0</v>
      </c>
      <c r="L260" s="373">
        <v>0</v>
      </c>
      <c r="M260" s="373">
        <v>0</v>
      </c>
      <c r="N260" s="373">
        <v>0</v>
      </c>
      <c r="O260" s="373">
        <v>0</v>
      </c>
      <c r="P260" s="373">
        <v>0</v>
      </c>
      <c r="Q260" s="373">
        <v>0</v>
      </c>
      <c r="R260" s="373">
        <v>0</v>
      </c>
      <c r="S260" s="373">
        <v>0</v>
      </c>
      <c r="T260" s="373">
        <v>0</v>
      </c>
      <c r="U260" s="373">
        <v>0</v>
      </c>
      <c r="V260" s="373">
        <v>0</v>
      </c>
      <c r="W260" s="373">
        <v>0</v>
      </c>
      <c r="X260" s="373">
        <v>0</v>
      </c>
      <c r="Y260" s="382">
        <v>0</v>
      </c>
    </row>
    <row r="261" spans="1:25" ht="13.5" thickBot="1" x14ac:dyDescent="0.25">
      <c r="A261" s="379" t="s">
        <v>119</v>
      </c>
      <c r="B261" s="374">
        <f t="shared" ref="B261:H261" si="66">(C260+B260)*(C259-B259)/2</f>
        <v>3.2</v>
      </c>
      <c r="C261" s="375">
        <f t="shared" si="66"/>
        <v>4.9000000000000004</v>
      </c>
      <c r="D261" s="375">
        <f t="shared" si="66"/>
        <v>1.8750000000000004</v>
      </c>
      <c r="E261" s="375">
        <f t="shared" si="66"/>
        <v>2.109999999999999</v>
      </c>
      <c r="F261" s="375">
        <f t="shared" si="66"/>
        <v>132.88</v>
      </c>
      <c r="G261" s="375">
        <f t="shared" si="66"/>
        <v>0.16700000000000942</v>
      </c>
      <c r="H261" s="375">
        <f t="shared" si="66"/>
        <v>0.32799999999999574</v>
      </c>
      <c r="I261" s="375">
        <f t="shared" ref="I261:V261" si="67">(J260+I260)*(J259-I259)/2</f>
        <v>0</v>
      </c>
      <c r="J261" s="375">
        <f>(K260+J260)*(K259-J259)/2</f>
        <v>0</v>
      </c>
      <c r="K261" s="375">
        <f t="shared" si="67"/>
        <v>0</v>
      </c>
      <c r="L261" s="375">
        <f t="shared" si="67"/>
        <v>0</v>
      </c>
      <c r="M261" s="375">
        <f t="shared" si="67"/>
        <v>0</v>
      </c>
      <c r="N261" s="375">
        <f t="shared" si="67"/>
        <v>0</v>
      </c>
      <c r="O261" s="375">
        <f t="shared" si="67"/>
        <v>0</v>
      </c>
      <c r="P261" s="375">
        <f t="shared" si="67"/>
        <v>0</v>
      </c>
      <c r="Q261" s="375">
        <f t="shared" si="67"/>
        <v>0</v>
      </c>
      <c r="R261" s="375">
        <f t="shared" si="67"/>
        <v>0</v>
      </c>
      <c r="S261" s="375">
        <f>(T260+S260)*(T259-S259)/2</f>
        <v>0</v>
      </c>
      <c r="T261" s="375">
        <f t="shared" si="67"/>
        <v>0</v>
      </c>
      <c r="U261" s="375">
        <f t="shared" si="67"/>
        <v>0</v>
      </c>
      <c r="V261" s="375">
        <f t="shared" si="67"/>
        <v>0</v>
      </c>
      <c r="W261" s="375">
        <f>(X260+W260)*(X259-W259)/2</f>
        <v>0</v>
      </c>
      <c r="X261" s="375">
        <f>(Y260+X260)*(Y259-X259)/2</f>
        <v>0</v>
      </c>
      <c r="Y261" s="369"/>
    </row>
    <row r="262" spans="1:25" x14ac:dyDescent="0.2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3.5" thickBot="1" x14ac:dyDescent="0.25">
      <c r="A263" s="6" t="s">
        <v>316</v>
      </c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3.5" thickBot="1" x14ac:dyDescent="0.25">
      <c r="A264" s="361" t="s">
        <v>35</v>
      </c>
      <c r="B264" s="359">
        <f>ROW(A264)</f>
        <v>264</v>
      </c>
      <c r="C264" s="363" t="s">
        <v>118</v>
      </c>
      <c r="D264" s="353">
        <f>SUM(B267:Y267)</f>
        <v>1071.5999999999999</v>
      </c>
      <c r="E264" s="363" t="s">
        <v>117</v>
      </c>
      <c r="F264" s="354">
        <f>D264/g/J264</f>
        <v>163.03802090465106</v>
      </c>
      <c r="G264" s="363" t="s">
        <v>59</v>
      </c>
      <c r="H264" s="64">
        <v>2.02</v>
      </c>
      <c r="I264" s="363" t="s">
        <v>274</v>
      </c>
      <c r="J264" s="355">
        <f>H264-L264</f>
        <v>0.66999999999999993</v>
      </c>
      <c r="K264" s="363" t="s">
        <v>275</v>
      </c>
      <c r="L264" s="64">
        <v>1.35</v>
      </c>
      <c r="M264" s="363" t="s">
        <v>60</v>
      </c>
      <c r="N264" s="65">
        <v>154</v>
      </c>
      <c r="O264" s="363" t="s">
        <v>62</v>
      </c>
      <c r="P264" s="65">
        <v>168</v>
      </c>
      <c r="Q264" s="363" t="s">
        <v>63</v>
      </c>
      <c r="R264" s="65">
        <v>230</v>
      </c>
      <c r="S264" s="363" t="s">
        <v>64</v>
      </c>
      <c r="T264" s="65">
        <v>67</v>
      </c>
      <c r="U264" s="363" t="s">
        <v>57</v>
      </c>
      <c r="V264" s="66" t="s">
        <v>121</v>
      </c>
      <c r="W264" s="12"/>
      <c r="X264" s="12"/>
      <c r="Y264" s="12"/>
    </row>
    <row r="265" spans="1:25" x14ac:dyDescent="0.2">
      <c r="A265" s="362" t="s">
        <v>33</v>
      </c>
      <c r="B265" s="370">
        <v>0</v>
      </c>
      <c r="C265" s="371">
        <v>0.02</v>
      </c>
      <c r="D265" s="371">
        <v>0.05</v>
      </c>
      <c r="E265" s="371">
        <v>0.06</v>
      </c>
      <c r="F265" s="371">
        <v>0.09</v>
      </c>
      <c r="G265" s="371">
        <v>0.17</v>
      </c>
      <c r="H265" s="371">
        <v>0.2</v>
      </c>
      <c r="I265" s="371">
        <v>0.38</v>
      </c>
      <c r="J265" s="371">
        <v>0.75</v>
      </c>
      <c r="K265" s="371">
        <v>0.79</v>
      </c>
      <c r="L265" s="371">
        <v>1.1299999999999999</v>
      </c>
      <c r="M265" s="371">
        <v>1.2</v>
      </c>
      <c r="N265" s="371">
        <v>1.5</v>
      </c>
      <c r="O265" s="371">
        <v>1.54</v>
      </c>
      <c r="P265" s="371">
        <v>1.65</v>
      </c>
      <c r="Q265" s="371">
        <v>1.7</v>
      </c>
      <c r="R265" s="371">
        <v>1.79</v>
      </c>
      <c r="S265" s="371">
        <v>1.79</v>
      </c>
      <c r="T265" s="371">
        <v>1.79</v>
      </c>
      <c r="U265" s="371">
        <v>1.79</v>
      </c>
      <c r="V265" s="371">
        <v>1.79</v>
      </c>
      <c r="W265" s="371">
        <v>1.79</v>
      </c>
      <c r="X265" s="371">
        <v>1.79</v>
      </c>
      <c r="Y265" s="381">
        <v>1000</v>
      </c>
    </row>
    <row r="266" spans="1:25" x14ac:dyDescent="0.2">
      <c r="A266" s="378" t="s">
        <v>34</v>
      </c>
      <c r="B266" s="372">
        <v>0</v>
      </c>
      <c r="C266" s="373">
        <v>20</v>
      </c>
      <c r="D266" s="373">
        <v>870</v>
      </c>
      <c r="E266" s="373">
        <v>530</v>
      </c>
      <c r="F266" s="373">
        <v>790</v>
      </c>
      <c r="G266" s="373">
        <v>700</v>
      </c>
      <c r="H266" s="373">
        <v>710</v>
      </c>
      <c r="I266" s="373">
        <v>670</v>
      </c>
      <c r="J266" s="373">
        <v>630</v>
      </c>
      <c r="K266" s="373">
        <v>630</v>
      </c>
      <c r="L266" s="373">
        <v>710</v>
      </c>
      <c r="M266" s="373">
        <v>690</v>
      </c>
      <c r="N266" s="373">
        <v>690</v>
      </c>
      <c r="O266" s="373">
        <v>660</v>
      </c>
      <c r="P266" s="373">
        <v>160</v>
      </c>
      <c r="Q266" s="373">
        <v>10</v>
      </c>
      <c r="R266" s="373">
        <v>0</v>
      </c>
      <c r="S266" s="373">
        <v>0</v>
      </c>
      <c r="T266" s="373">
        <v>0</v>
      </c>
      <c r="U266" s="373">
        <v>0</v>
      </c>
      <c r="V266" s="373">
        <v>0</v>
      </c>
      <c r="W266" s="373">
        <v>0</v>
      </c>
      <c r="X266" s="373">
        <v>0</v>
      </c>
      <c r="Y266" s="382">
        <v>0</v>
      </c>
    </row>
    <row r="267" spans="1:25" ht="13.5" thickBot="1" x14ac:dyDescent="0.25">
      <c r="A267" s="379" t="s">
        <v>119</v>
      </c>
      <c r="B267" s="374">
        <f t="shared" ref="B267:Q267" si="68">(C266+B266)*(C265-B265)/2</f>
        <v>0.2</v>
      </c>
      <c r="C267" s="375">
        <f t="shared" si="68"/>
        <v>13.350000000000001</v>
      </c>
      <c r="D267" s="375">
        <f t="shared" si="68"/>
        <v>6.9999999999999964</v>
      </c>
      <c r="E267" s="375">
        <f t="shared" si="68"/>
        <v>19.8</v>
      </c>
      <c r="F267" s="375">
        <f t="shared" si="68"/>
        <v>59.600000000000009</v>
      </c>
      <c r="G267" s="375">
        <f t="shared" si="68"/>
        <v>21.15</v>
      </c>
      <c r="H267" s="375">
        <f t="shared" si="68"/>
        <v>124.19999999999999</v>
      </c>
      <c r="I267" s="375">
        <f t="shared" si="68"/>
        <v>240.5</v>
      </c>
      <c r="J267" s="375">
        <f>(K266+J266)*(K265-J265)/2</f>
        <v>25.200000000000024</v>
      </c>
      <c r="K267" s="375">
        <f t="shared" si="68"/>
        <v>227.7999999999999</v>
      </c>
      <c r="L267" s="375">
        <f t="shared" si="68"/>
        <v>49.000000000000043</v>
      </c>
      <c r="M267" s="375">
        <f t="shared" si="68"/>
        <v>207.00000000000003</v>
      </c>
      <c r="N267" s="375">
        <f t="shared" si="68"/>
        <v>27.000000000000025</v>
      </c>
      <c r="O267" s="375">
        <f t="shared" si="68"/>
        <v>45.099999999999952</v>
      </c>
      <c r="P267" s="375">
        <f t="shared" si="68"/>
        <v>4.2500000000000036</v>
      </c>
      <c r="Q267" s="375">
        <f t="shared" si="68"/>
        <v>0.4500000000000004</v>
      </c>
      <c r="R267" s="375">
        <f t="shared" ref="R267:X267" si="69">(S266+R266)*(S265-R265)/2</f>
        <v>0</v>
      </c>
      <c r="S267" s="375">
        <f t="shared" si="69"/>
        <v>0</v>
      </c>
      <c r="T267" s="375">
        <f t="shared" si="69"/>
        <v>0</v>
      </c>
      <c r="U267" s="375">
        <f t="shared" si="69"/>
        <v>0</v>
      </c>
      <c r="V267" s="375">
        <f t="shared" si="69"/>
        <v>0</v>
      </c>
      <c r="W267" s="375">
        <f t="shared" si="69"/>
        <v>0</v>
      </c>
      <c r="X267" s="375">
        <f t="shared" si="69"/>
        <v>0</v>
      </c>
      <c r="Y267" s="383"/>
    </row>
    <row r="268" spans="1:25" ht="13.5" thickBot="1" x14ac:dyDescent="0.25">
      <c r="S268" s="12"/>
      <c r="T268" s="12"/>
      <c r="U268" s="12"/>
      <c r="V268" s="12"/>
      <c r="W268" s="12"/>
      <c r="X268" s="12"/>
      <c r="Y268" s="12"/>
    </row>
    <row r="269" spans="1:25" ht="13.5" thickBot="1" x14ac:dyDescent="0.25">
      <c r="A269" s="361" t="s">
        <v>36</v>
      </c>
      <c r="B269" s="359">
        <f>ROW(A269)</f>
        <v>269</v>
      </c>
      <c r="C269" s="363" t="s">
        <v>118</v>
      </c>
      <c r="D269" s="353">
        <f>SUM(B272:Y272)</f>
        <v>2102.35</v>
      </c>
      <c r="E269" s="363" t="s">
        <v>117</v>
      </c>
      <c r="F269" s="354">
        <f>D269/g/J269</f>
        <v>174.23319493133766</v>
      </c>
      <c r="G269" s="363" t="s">
        <v>59</v>
      </c>
      <c r="H269" s="64">
        <v>3.7</v>
      </c>
      <c r="I269" s="363" t="s">
        <v>274</v>
      </c>
      <c r="J269" s="355">
        <f>H269-L269</f>
        <v>1.23</v>
      </c>
      <c r="K269" s="363" t="s">
        <v>275</v>
      </c>
      <c r="L269" s="64">
        <v>2.4700000000000002</v>
      </c>
      <c r="M269" s="363" t="s">
        <v>60</v>
      </c>
      <c r="N269" s="65">
        <v>151</v>
      </c>
      <c r="O269" s="363" t="s">
        <v>62</v>
      </c>
      <c r="P269" s="65">
        <v>171</v>
      </c>
      <c r="Q269" s="363" t="s">
        <v>63</v>
      </c>
      <c r="R269" s="65">
        <v>247</v>
      </c>
      <c r="S269" s="363" t="s">
        <v>64</v>
      </c>
      <c r="T269" s="65">
        <v>90</v>
      </c>
      <c r="U269" s="363" t="s">
        <v>57</v>
      </c>
      <c r="V269" s="66" t="s">
        <v>121</v>
      </c>
      <c r="W269" s="12"/>
      <c r="X269" s="12"/>
      <c r="Y269" s="12"/>
    </row>
    <row r="270" spans="1:25" x14ac:dyDescent="0.2">
      <c r="A270" s="362" t="s">
        <v>33</v>
      </c>
      <c r="B270" s="370">
        <v>0</v>
      </c>
      <c r="C270" s="371">
        <v>0.05</v>
      </c>
      <c r="D270" s="371">
        <v>0.1</v>
      </c>
      <c r="E270" s="371">
        <v>1</v>
      </c>
      <c r="F270" s="371">
        <v>1.35</v>
      </c>
      <c r="G270" s="371">
        <v>1.75</v>
      </c>
      <c r="H270" s="371">
        <v>2.15</v>
      </c>
      <c r="I270" s="371">
        <v>2.25</v>
      </c>
      <c r="J270" s="371">
        <v>2.48</v>
      </c>
      <c r="K270" s="371">
        <v>2.6</v>
      </c>
      <c r="L270" s="371">
        <v>2.8</v>
      </c>
      <c r="M270" s="371">
        <v>2.8</v>
      </c>
      <c r="N270" s="371">
        <v>2.8</v>
      </c>
      <c r="O270" s="371">
        <v>2.8</v>
      </c>
      <c r="P270" s="371">
        <v>2.8</v>
      </c>
      <c r="Q270" s="371">
        <v>2.8</v>
      </c>
      <c r="R270" s="371">
        <v>2.8</v>
      </c>
      <c r="S270" s="371">
        <v>2.8</v>
      </c>
      <c r="T270" s="371">
        <v>2.8</v>
      </c>
      <c r="U270" s="371">
        <v>2.8</v>
      </c>
      <c r="V270" s="371">
        <v>2.8</v>
      </c>
      <c r="W270" s="371">
        <v>2.8</v>
      </c>
      <c r="X270" s="371">
        <v>2.8</v>
      </c>
      <c r="Y270" s="381">
        <v>1000</v>
      </c>
    </row>
    <row r="271" spans="1:25" x14ac:dyDescent="0.2">
      <c r="A271" s="378" t="s">
        <v>34</v>
      </c>
      <c r="B271" s="372">
        <v>0</v>
      </c>
      <c r="C271" s="373">
        <v>860</v>
      </c>
      <c r="D271" s="373">
        <v>840</v>
      </c>
      <c r="E271" s="373">
        <v>840</v>
      </c>
      <c r="F271" s="373">
        <v>850</v>
      </c>
      <c r="G271" s="373">
        <v>900</v>
      </c>
      <c r="H271" s="373">
        <v>1050</v>
      </c>
      <c r="I271" s="373">
        <v>1020</v>
      </c>
      <c r="J271" s="373">
        <v>120</v>
      </c>
      <c r="K271" s="373">
        <v>30</v>
      </c>
      <c r="L271" s="373">
        <v>0</v>
      </c>
      <c r="M271" s="373">
        <v>0</v>
      </c>
      <c r="N271" s="373">
        <v>0</v>
      </c>
      <c r="O271" s="373">
        <v>0</v>
      </c>
      <c r="P271" s="373">
        <v>0</v>
      </c>
      <c r="Q271" s="373">
        <v>0</v>
      </c>
      <c r="R271" s="373">
        <v>0</v>
      </c>
      <c r="S271" s="373">
        <v>0</v>
      </c>
      <c r="T271" s="373">
        <v>0</v>
      </c>
      <c r="U271" s="373">
        <v>0</v>
      </c>
      <c r="V271" s="373">
        <v>0</v>
      </c>
      <c r="W271" s="373">
        <v>0</v>
      </c>
      <c r="X271" s="373">
        <v>0</v>
      </c>
      <c r="Y271" s="382">
        <v>0</v>
      </c>
    </row>
    <row r="272" spans="1:25" ht="13.5" thickBot="1" x14ac:dyDescent="0.25">
      <c r="A272" s="379" t="s">
        <v>119</v>
      </c>
      <c r="B272" s="374">
        <f t="shared" ref="B272:K272" si="70">(C271+B271)*(C270-B270)/2</f>
        <v>21.5</v>
      </c>
      <c r="C272" s="375">
        <f t="shared" si="70"/>
        <v>42.5</v>
      </c>
      <c r="D272" s="375">
        <f t="shared" si="70"/>
        <v>756</v>
      </c>
      <c r="E272" s="375">
        <f t="shared" si="70"/>
        <v>295.75000000000006</v>
      </c>
      <c r="F272" s="375">
        <f t="shared" si="70"/>
        <v>349.99999999999994</v>
      </c>
      <c r="G272" s="375">
        <f t="shared" si="70"/>
        <v>389.99999999999989</v>
      </c>
      <c r="H272" s="375">
        <f t="shared" si="70"/>
        <v>103.50000000000009</v>
      </c>
      <c r="I272" s="375">
        <f t="shared" si="70"/>
        <v>131.1</v>
      </c>
      <c r="J272" s="375">
        <f>(K271+J271)*(K270-J270)/2</f>
        <v>9.0000000000000071</v>
      </c>
      <c r="K272" s="375">
        <f t="shared" si="70"/>
        <v>2.999999999999996</v>
      </c>
      <c r="L272" s="375">
        <f t="shared" ref="L272:V272" si="71">(M271+L271)*(M270-L270)/2</f>
        <v>0</v>
      </c>
      <c r="M272" s="375">
        <f t="shared" si="71"/>
        <v>0</v>
      </c>
      <c r="N272" s="375">
        <f t="shared" si="71"/>
        <v>0</v>
      </c>
      <c r="O272" s="375">
        <f t="shared" si="71"/>
        <v>0</v>
      </c>
      <c r="P272" s="375">
        <f t="shared" si="71"/>
        <v>0</v>
      </c>
      <c r="Q272" s="375">
        <f t="shared" si="71"/>
        <v>0</v>
      </c>
      <c r="R272" s="375">
        <f t="shared" si="71"/>
        <v>0</v>
      </c>
      <c r="S272" s="375">
        <f>(T271+S271)*(T270-S270)/2</f>
        <v>0</v>
      </c>
      <c r="T272" s="375">
        <f t="shared" si="71"/>
        <v>0</v>
      </c>
      <c r="U272" s="375">
        <f t="shared" si="71"/>
        <v>0</v>
      </c>
      <c r="V272" s="375">
        <f t="shared" si="71"/>
        <v>0</v>
      </c>
      <c r="W272" s="375">
        <f>(X271+W271)*(X270-W270)/2</f>
        <v>0</v>
      </c>
      <c r="X272" s="375">
        <f>(Y271+X271)*(Y270-X270)/2</f>
        <v>0</v>
      </c>
      <c r="Y272" s="369"/>
    </row>
    <row r="273" spans="1:25" ht="13.5" thickBot="1" x14ac:dyDescent="0.25"/>
    <row r="274" spans="1:25" ht="13.5" thickBot="1" x14ac:dyDescent="0.25">
      <c r="A274" s="361" t="s">
        <v>45</v>
      </c>
      <c r="B274" s="359">
        <f>ROW(A274)</f>
        <v>274</v>
      </c>
      <c r="C274" s="363" t="s">
        <v>118</v>
      </c>
      <c r="D274" s="353">
        <f>SUM(B277:Y277)</f>
        <v>2058.37</v>
      </c>
      <c r="E274" s="363" t="s">
        <v>117</v>
      </c>
      <c r="F274" s="354">
        <f>D274/g/J274</f>
        <v>203.12066731598335</v>
      </c>
      <c r="G274" s="363" t="s">
        <v>59</v>
      </c>
      <c r="H274" s="64">
        <v>1.6850000000000001</v>
      </c>
      <c r="I274" s="363" t="s">
        <v>274</v>
      </c>
      <c r="J274" s="355">
        <f>H274-L274</f>
        <v>1.0329999999999999</v>
      </c>
      <c r="K274" s="363" t="s">
        <v>275</v>
      </c>
      <c r="L274" s="64">
        <v>0.65200000000000002</v>
      </c>
      <c r="M274" s="363" t="s">
        <v>60</v>
      </c>
      <c r="N274" s="65">
        <v>250</v>
      </c>
      <c r="O274" s="363" t="s">
        <v>62</v>
      </c>
      <c r="P274" s="65">
        <v>240</v>
      </c>
      <c r="Q274" s="363" t="s">
        <v>63</v>
      </c>
      <c r="R274" s="65">
        <v>488</v>
      </c>
      <c r="S274" s="363" t="s">
        <v>64</v>
      </c>
      <c r="T274" s="65">
        <v>54</v>
      </c>
      <c r="U274" s="363" t="s">
        <v>57</v>
      </c>
      <c r="V274" s="66" t="s">
        <v>121</v>
      </c>
      <c r="W274" s="12"/>
      <c r="X274" s="12"/>
      <c r="Y274" s="12"/>
    </row>
    <row r="275" spans="1:25" x14ac:dyDescent="0.2">
      <c r="A275" s="362" t="s">
        <v>33</v>
      </c>
      <c r="B275" s="370">
        <v>0</v>
      </c>
      <c r="C275" s="371">
        <v>0.05</v>
      </c>
      <c r="D275" s="371">
        <v>0.5</v>
      </c>
      <c r="E275" s="371">
        <v>1</v>
      </c>
      <c r="F275" s="371">
        <v>1.5</v>
      </c>
      <c r="G275" s="371">
        <v>2</v>
      </c>
      <c r="H275" s="371">
        <v>2.5</v>
      </c>
      <c r="I275" s="371">
        <v>2.97</v>
      </c>
      <c r="J275" s="371">
        <v>3.2</v>
      </c>
      <c r="K275" s="371">
        <v>3.47</v>
      </c>
      <c r="L275" s="371">
        <v>3.59</v>
      </c>
      <c r="M275" s="371">
        <v>3.59</v>
      </c>
      <c r="N275" s="371">
        <v>3.59</v>
      </c>
      <c r="O275" s="371">
        <v>3.59</v>
      </c>
      <c r="P275" s="371">
        <v>3.59</v>
      </c>
      <c r="Q275" s="371">
        <v>3.59</v>
      </c>
      <c r="R275" s="371">
        <v>3.59</v>
      </c>
      <c r="S275" s="371">
        <v>3.59</v>
      </c>
      <c r="T275" s="371">
        <v>3.59</v>
      </c>
      <c r="U275" s="371">
        <v>3.59</v>
      </c>
      <c r="V275" s="371">
        <v>3.59</v>
      </c>
      <c r="W275" s="371">
        <v>3.59</v>
      </c>
      <c r="X275" s="371">
        <v>3.59</v>
      </c>
      <c r="Y275" s="381">
        <v>1000</v>
      </c>
    </row>
    <row r="276" spans="1:25" x14ac:dyDescent="0.2">
      <c r="A276" s="378" t="s">
        <v>34</v>
      </c>
      <c r="B276" s="372">
        <v>0</v>
      </c>
      <c r="C276" s="373">
        <v>893</v>
      </c>
      <c r="D276" s="373">
        <v>798</v>
      </c>
      <c r="E276" s="373">
        <v>739</v>
      </c>
      <c r="F276" s="373">
        <v>659</v>
      </c>
      <c r="G276" s="373">
        <v>586</v>
      </c>
      <c r="H276" s="373">
        <v>513</v>
      </c>
      <c r="I276" s="373">
        <v>417</v>
      </c>
      <c r="J276" s="373">
        <v>225</v>
      </c>
      <c r="K276" s="373">
        <v>67</v>
      </c>
      <c r="L276" s="373">
        <v>0</v>
      </c>
      <c r="M276" s="373">
        <v>0</v>
      </c>
      <c r="N276" s="373">
        <v>0</v>
      </c>
      <c r="O276" s="373">
        <v>0</v>
      </c>
      <c r="P276" s="373">
        <v>0</v>
      </c>
      <c r="Q276" s="373">
        <v>0</v>
      </c>
      <c r="R276" s="373">
        <v>0</v>
      </c>
      <c r="S276" s="373">
        <v>0</v>
      </c>
      <c r="T276" s="373">
        <v>0</v>
      </c>
      <c r="U276" s="373">
        <v>0</v>
      </c>
      <c r="V276" s="373">
        <v>0</v>
      </c>
      <c r="W276" s="373">
        <v>0</v>
      </c>
      <c r="X276" s="373">
        <v>0</v>
      </c>
      <c r="Y276" s="382">
        <v>0</v>
      </c>
    </row>
    <row r="277" spans="1:25" ht="13.5" thickBot="1" x14ac:dyDescent="0.25">
      <c r="A277" s="380" t="s">
        <v>119</v>
      </c>
      <c r="B277" s="374">
        <f t="shared" ref="B277:V277" si="72">(C276+B276)*(C275-B275)/2</f>
        <v>22.325000000000003</v>
      </c>
      <c r="C277" s="375">
        <f t="shared" si="72"/>
        <v>380.47500000000002</v>
      </c>
      <c r="D277" s="375">
        <f t="shared" si="72"/>
        <v>384.25</v>
      </c>
      <c r="E277" s="375">
        <f t="shared" si="72"/>
        <v>349.5</v>
      </c>
      <c r="F277" s="375">
        <f t="shared" si="72"/>
        <v>311.25</v>
      </c>
      <c r="G277" s="375">
        <f t="shared" si="72"/>
        <v>274.75</v>
      </c>
      <c r="H277" s="375">
        <f t="shared" si="72"/>
        <v>218.5500000000001</v>
      </c>
      <c r="I277" s="375">
        <f t="shared" si="72"/>
        <v>73.83</v>
      </c>
      <c r="J277" s="375">
        <f>(K276+J276)*(K275-J275)/2</f>
        <v>39.42</v>
      </c>
      <c r="K277" s="375">
        <f t="shared" si="72"/>
        <v>4.0199999999999889</v>
      </c>
      <c r="L277" s="375">
        <f t="shared" si="72"/>
        <v>0</v>
      </c>
      <c r="M277" s="375">
        <f t="shared" si="72"/>
        <v>0</v>
      </c>
      <c r="N277" s="375">
        <f t="shared" si="72"/>
        <v>0</v>
      </c>
      <c r="O277" s="375">
        <f t="shared" si="72"/>
        <v>0</v>
      </c>
      <c r="P277" s="375">
        <f t="shared" si="72"/>
        <v>0</v>
      </c>
      <c r="Q277" s="375">
        <f t="shared" si="72"/>
        <v>0</v>
      </c>
      <c r="R277" s="375">
        <f t="shared" si="72"/>
        <v>0</v>
      </c>
      <c r="S277" s="375">
        <f>(T276+S276)*(T275-S275)/2</f>
        <v>0</v>
      </c>
      <c r="T277" s="375">
        <f t="shared" si="72"/>
        <v>0</v>
      </c>
      <c r="U277" s="375">
        <f t="shared" si="72"/>
        <v>0</v>
      </c>
      <c r="V277" s="375">
        <f t="shared" si="72"/>
        <v>0</v>
      </c>
      <c r="W277" s="375">
        <f>(X276+W276)*(X275-W275)/2</f>
        <v>0</v>
      </c>
      <c r="X277" s="375">
        <f>(Y276+X276)*(Y275-X275)/2</f>
        <v>0</v>
      </c>
      <c r="Y277" s="369"/>
    </row>
    <row r="278" spans="1:25" ht="13.5" thickBot="1" x14ac:dyDescent="0.25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ht="13.5" thickBot="1" x14ac:dyDescent="0.25">
      <c r="A279" s="361" t="s">
        <v>37</v>
      </c>
      <c r="B279" s="359">
        <f>ROW(A279)</f>
        <v>279</v>
      </c>
      <c r="C279" s="363" t="s">
        <v>118</v>
      </c>
      <c r="D279" s="353">
        <f>SUM(B282:Y282)</f>
        <v>2486.041999999999</v>
      </c>
      <c r="E279" s="363" t="s">
        <v>117</v>
      </c>
      <c r="F279" s="354">
        <f>D279/g/J279</f>
        <v>199.54264891200521</v>
      </c>
      <c r="G279" s="363" t="s">
        <v>59</v>
      </c>
      <c r="H279" s="64">
        <v>2.59</v>
      </c>
      <c r="I279" s="363" t="s">
        <v>274</v>
      </c>
      <c r="J279" s="355">
        <f>H279-L279</f>
        <v>1.2699999999999998</v>
      </c>
      <c r="K279" s="363" t="s">
        <v>275</v>
      </c>
      <c r="L279" s="64">
        <v>1.32</v>
      </c>
      <c r="M279" s="363" t="s">
        <v>60</v>
      </c>
      <c r="N279" s="65">
        <v>175</v>
      </c>
      <c r="O279" s="363" t="s">
        <v>62</v>
      </c>
      <c r="P279" s="65">
        <v>175</v>
      </c>
      <c r="Q279" s="363" t="s">
        <v>63</v>
      </c>
      <c r="R279" s="65">
        <v>350</v>
      </c>
      <c r="S279" s="363" t="s">
        <v>64</v>
      </c>
      <c r="T279" s="65">
        <v>75</v>
      </c>
      <c r="U279" s="363" t="s">
        <v>57</v>
      </c>
      <c r="V279" s="66" t="s">
        <v>121</v>
      </c>
      <c r="W279" s="12"/>
      <c r="X279" s="12"/>
      <c r="Y279" s="12"/>
    </row>
    <row r="280" spans="1:25" x14ac:dyDescent="0.2">
      <c r="A280" s="362" t="s">
        <v>33</v>
      </c>
      <c r="B280" s="370">
        <v>0</v>
      </c>
      <c r="C280" s="371">
        <v>0.04</v>
      </c>
      <c r="D280" s="371">
        <v>7.0000000000000007E-2</v>
      </c>
      <c r="E280" s="371">
        <v>0.1</v>
      </c>
      <c r="F280" s="371">
        <v>0.21</v>
      </c>
      <c r="G280" s="371">
        <v>0.35</v>
      </c>
      <c r="H280" s="371">
        <v>0.53</v>
      </c>
      <c r="I280" s="371">
        <v>0.82</v>
      </c>
      <c r="J280" s="371">
        <v>1.18</v>
      </c>
      <c r="K280" s="371">
        <v>1.72</v>
      </c>
      <c r="L280" s="371">
        <v>2.15</v>
      </c>
      <c r="M280" s="371">
        <v>2.39</v>
      </c>
      <c r="N280" s="371">
        <v>2.9</v>
      </c>
      <c r="O280" s="371">
        <v>3.07</v>
      </c>
      <c r="P280" s="371">
        <v>3.56</v>
      </c>
      <c r="Q280" s="371">
        <v>3.98</v>
      </c>
      <c r="R280" s="371">
        <v>4.32</v>
      </c>
      <c r="S280" s="371">
        <v>4.4800000000000004</v>
      </c>
      <c r="T280" s="371">
        <v>4.5999999999999996</v>
      </c>
      <c r="U280" s="371">
        <v>4.6500000000000004</v>
      </c>
      <c r="V280" s="371">
        <v>4.8</v>
      </c>
      <c r="W280" s="371">
        <v>4.83</v>
      </c>
      <c r="X280" s="371">
        <v>4.84</v>
      </c>
      <c r="Y280" s="381">
        <v>1000</v>
      </c>
    </row>
    <row r="281" spans="1:25" x14ac:dyDescent="0.2">
      <c r="A281" s="378" t="s">
        <v>34</v>
      </c>
      <c r="B281" s="372">
        <v>0</v>
      </c>
      <c r="C281" s="373">
        <v>394.4</v>
      </c>
      <c r="D281" s="373">
        <v>617.70000000000005</v>
      </c>
      <c r="E281" s="373">
        <v>645.1</v>
      </c>
      <c r="F281" s="373">
        <v>658.2</v>
      </c>
      <c r="G281" s="373">
        <v>669.2</v>
      </c>
      <c r="H281" s="373">
        <v>667.7</v>
      </c>
      <c r="I281" s="373">
        <v>661.6</v>
      </c>
      <c r="J281" s="373">
        <v>626.9</v>
      </c>
      <c r="K281" s="373">
        <v>588.5</v>
      </c>
      <c r="L281" s="373">
        <v>557.70000000000005</v>
      </c>
      <c r="M281" s="373">
        <v>542.29999999999995</v>
      </c>
      <c r="N281" s="373">
        <v>492.9</v>
      </c>
      <c r="O281" s="373">
        <v>470.3</v>
      </c>
      <c r="P281" s="373">
        <v>426.8</v>
      </c>
      <c r="Q281" s="373">
        <v>399</v>
      </c>
      <c r="R281" s="373">
        <v>394</v>
      </c>
      <c r="S281" s="373">
        <v>380.6</v>
      </c>
      <c r="T281" s="373">
        <v>364.2</v>
      </c>
      <c r="U281" s="373">
        <v>290.89999999999998</v>
      </c>
      <c r="V281" s="373">
        <v>91.2</v>
      </c>
      <c r="W281" s="373">
        <v>45.8</v>
      </c>
      <c r="X281" s="373">
        <v>0</v>
      </c>
      <c r="Y281" s="382">
        <v>0</v>
      </c>
    </row>
    <row r="282" spans="1:25" ht="13.5" thickBot="1" x14ac:dyDescent="0.25">
      <c r="A282" s="379" t="s">
        <v>119</v>
      </c>
      <c r="B282" s="374">
        <f t="shared" ref="B282:V282" si="73">(C281+B281)*(C280-B280)/2</f>
        <v>7.8879999999999999</v>
      </c>
      <c r="C282" s="375">
        <f t="shared" si="73"/>
        <v>15.181500000000003</v>
      </c>
      <c r="D282" s="375">
        <f t="shared" si="73"/>
        <v>18.942000000000004</v>
      </c>
      <c r="E282" s="375">
        <f t="shared" si="73"/>
        <v>71.6815</v>
      </c>
      <c r="F282" s="375">
        <f t="shared" si="73"/>
        <v>92.917999999999992</v>
      </c>
      <c r="G282" s="375">
        <f t="shared" si="73"/>
        <v>120.32100000000004</v>
      </c>
      <c r="H282" s="375">
        <f t="shared" si="73"/>
        <v>192.74849999999998</v>
      </c>
      <c r="I282" s="375">
        <f t="shared" si="73"/>
        <v>231.92999999999998</v>
      </c>
      <c r="J282" s="375">
        <f>(K281+J281)*(K280-J280)/2</f>
        <v>328.15800000000007</v>
      </c>
      <c r="K282" s="375">
        <f t="shared" si="73"/>
        <v>246.43299999999996</v>
      </c>
      <c r="L282" s="375">
        <f t="shared" si="73"/>
        <v>132.00000000000011</v>
      </c>
      <c r="M282" s="375">
        <f t="shared" si="73"/>
        <v>263.97599999999983</v>
      </c>
      <c r="N282" s="375">
        <f t="shared" si="73"/>
        <v>81.871999999999971</v>
      </c>
      <c r="O282" s="375">
        <f t="shared" si="73"/>
        <v>219.78950000000009</v>
      </c>
      <c r="P282" s="375">
        <f t="shared" si="73"/>
        <v>173.41799999999995</v>
      </c>
      <c r="Q282" s="375">
        <f t="shared" si="73"/>
        <v>134.81000000000012</v>
      </c>
      <c r="R282" s="375">
        <f t="shared" si="73"/>
        <v>61.96800000000006</v>
      </c>
      <c r="S282" s="375">
        <f>(T281+S281)*(T280-S280)/2</f>
        <v>44.687999999999704</v>
      </c>
      <c r="T282" s="375">
        <f t="shared" si="73"/>
        <v>16.377500000000232</v>
      </c>
      <c r="U282" s="375">
        <f t="shared" si="73"/>
        <v>28.657499999999896</v>
      </c>
      <c r="V282" s="375">
        <f t="shared" si="73"/>
        <v>2.055000000000017</v>
      </c>
      <c r="W282" s="375">
        <f>(X281+W281)*(X280-W280)/2</f>
        <v>0.2289999999999951</v>
      </c>
      <c r="X282" s="375">
        <f>(Y281+X281)*(Y280-X280)/2</f>
        <v>0</v>
      </c>
      <c r="Y282" s="369"/>
    </row>
    <row r="283" spans="1:25" ht="13.5" thickBot="1" x14ac:dyDescent="0.25">
      <c r="A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3.5" thickBot="1" x14ac:dyDescent="0.25">
      <c r="A284" s="361" t="s">
        <v>46</v>
      </c>
      <c r="B284" s="359">
        <f>ROW(A284)</f>
        <v>284</v>
      </c>
      <c r="C284" s="363" t="s">
        <v>118</v>
      </c>
      <c r="D284" s="353">
        <f>SUM(B287:Y287)</f>
        <v>3739.0284999999994</v>
      </c>
      <c r="E284" s="363" t="s">
        <v>117</v>
      </c>
      <c r="F284" s="354">
        <f>D284/g/J284</f>
        <v>203.4941790441234</v>
      </c>
      <c r="G284" s="363" t="s">
        <v>59</v>
      </c>
      <c r="H284" s="64">
        <v>3.5110000000000001</v>
      </c>
      <c r="I284" s="363" t="s">
        <v>274</v>
      </c>
      <c r="J284" s="355">
        <f>H284-L284</f>
        <v>1.8730000000000002</v>
      </c>
      <c r="K284" s="363" t="s">
        <v>275</v>
      </c>
      <c r="L284" s="64">
        <v>1.6379999999999999</v>
      </c>
      <c r="M284" s="363" t="s">
        <v>60</v>
      </c>
      <c r="N284" s="65">
        <v>243</v>
      </c>
      <c r="O284" s="363" t="s">
        <v>62</v>
      </c>
      <c r="P284" s="65">
        <v>243</v>
      </c>
      <c r="Q284" s="363" t="s">
        <v>63</v>
      </c>
      <c r="R284" s="65">
        <v>486</v>
      </c>
      <c r="S284" s="363" t="s">
        <v>64</v>
      </c>
      <c r="T284" s="65">
        <v>75</v>
      </c>
      <c r="U284" s="363" t="s">
        <v>57</v>
      </c>
      <c r="V284" s="66" t="s">
        <v>121</v>
      </c>
      <c r="W284" s="12"/>
      <c r="X284" s="12"/>
      <c r="Y284" s="12"/>
    </row>
    <row r="285" spans="1:25" x14ac:dyDescent="0.2">
      <c r="A285" s="362" t="s">
        <v>33</v>
      </c>
      <c r="B285" s="370">
        <v>0</v>
      </c>
      <c r="C285" s="371">
        <v>0.01</v>
      </c>
      <c r="D285" s="371">
        <v>0.1</v>
      </c>
      <c r="E285" s="371">
        <v>0.12</v>
      </c>
      <c r="F285" s="371">
        <v>0.26</v>
      </c>
      <c r="G285" s="371">
        <v>0.71</v>
      </c>
      <c r="H285" s="371">
        <v>1.28</v>
      </c>
      <c r="I285" s="371">
        <v>2.0499999999999998</v>
      </c>
      <c r="J285" s="371">
        <v>2.41</v>
      </c>
      <c r="K285" s="371">
        <v>2.83</v>
      </c>
      <c r="L285" s="371">
        <v>3.25</v>
      </c>
      <c r="M285" s="371">
        <v>3.65</v>
      </c>
      <c r="N285" s="371">
        <v>3.8</v>
      </c>
      <c r="O285" s="371">
        <v>4</v>
      </c>
      <c r="P285" s="371">
        <v>4.0999999999999996</v>
      </c>
      <c r="Q285" s="371">
        <v>4.1900000000000004</v>
      </c>
      <c r="R285" s="371">
        <v>4.3099999999999996</v>
      </c>
      <c r="S285" s="371">
        <v>4.41</v>
      </c>
      <c r="T285" s="371">
        <v>4.5199999999999996</v>
      </c>
      <c r="U285" s="371">
        <v>4.5999999999999996</v>
      </c>
      <c r="V285" s="371">
        <v>4.6500000000000004</v>
      </c>
      <c r="W285" s="371">
        <v>4.67</v>
      </c>
      <c r="X285" s="371">
        <v>4.68</v>
      </c>
      <c r="Y285" s="381">
        <v>1000</v>
      </c>
    </row>
    <row r="286" spans="1:25" x14ac:dyDescent="0.2">
      <c r="A286" s="378" t="s">
        <v>34</v>
      </c>
      <c r="B286" s="372">
        <v>27</v>
      </c>
      <c r="C286" s="373">
        <v>402.4</v>
      </c>
      <c r="D286" s="373">
        <v>1286</v>
      </c>
      <c r="E286" s="373">
        <v>1257</v>
      </c>
      <c r="F286" s="373">
        <v>1042</v>
      </c>
      <c r="G286" s="373">
        <v>1027</v>
      </c>
      <c r="H286" s="373">
        <v>998.4</v>
      </c>
      <c r="I286" s="373">
        <v>901.4</v>
      </c>
      <c r="J286" s="373">
        <v>849.6</v>
      </c>
      <c r="K286" s="373">
        <v>763.5</v>
      </c>
      <c r="L286" s="373">
        <v>707.1</v>
      </c>
      <c r="M286" s="373">
        <v>655.1</v>
      </c>
      <c r="N286" s="373">
        <v>651.70000000000005</v>
      </c>
      <c r="O286" s="373">
        <v>624.1</v>
      </c>
      <c r="P286" s="373">
        <v>601.29999999999995</v>
      </c>
      <c r="Q286" s="373">
        <v>536.20000000000005</v>
      </c>
      <c r="R286" s="373">
        <v>415.7</v>
      </c>
      <c r="S286" s="373">
        <v>270.2</v>
      </c>
      <c r="T286" s="373">
        <v>140.19999999999999</v>
      </c>
      <c r="U286" s="373">
        <v>76.900000000000006</v>
      </c>
      <c r="V286" s="373">
        <v>54.9</v>
      </c>
      <c r="W286" s="373">
        <v>40.200000000000003</v>
      </c>
      <c r="X286" s="373">
        <v>0</v>
      </c>
      <c r="Y286" s="382">
        <v>0</v>
      </c>
    </row>
    <row r="287" spans="1:25" ht="13.5" thickBot="1" x14ac:dyDescent="0.25">
      <c r="A287" s="379" t="s">
        <v>119</v>
      </c>
      <c r="B287" s="374">
        <f t="shared" ref="B287:V287" si="74">(C286+B286)*(C285-B285)/2</f>
        <v>2.1469999999999998</v>
      </c>
      <c r="C287" s="375">
        <f t="shared" si="74"/>
        <v>75.978000000000009</v>
      </c>
      <c r="D287" s="375">
        <f t="shared" si="74"/>
        <v>25.429999999999989</v>
      </c>
      <c r="E287" s="375">
        <f t="shared" si="74"/>
        <v>160.93</v>
      </c>
      <c r="F287" s="375">
        <f t="shared" si="74"/>
        <v>465.52499999999998</v>
      </c>
      <c r="G287" s="375">
        <f t="shared" si="74"/>
        <v>577.23900000000003</v>
      </c>
      <c r="H287" s="375">
        <f t="shared" si="74"/>
        <v>731.42299999999977</v>
      </c>
      <c r="I287" s="375">
        <f t="shared" si="74"/>
        <v>315.18000000000029</v>
      </c>
      <c r="J287" s="375">
        <f>(K286+J286)*(K285-J285)/2</f>
        <v>338.75099999999992</v>
      </c>
      <c r="K287" s="375">
        <f t="shared" si="74"/>
        <v>308.82599999999991</v>
      </c>
      <c r="L287" s="375">
        <f t="shared" si="74"/>
        <v>272.43999999999994</v>
      </c>
      <c r="M287" s="375">
        <f t="shared" si="74"/>
        <v>98.009999999999962</v>
      </c>
      <c r="N287" s="375">
        <f t="shared" si="74"/>
        <v>127.58000000000013</v>
      </c>
      <c r="O287" s="375">
        <f t="shared" si="74"/>
        <v>61.26999999999979</v>
      </c>
      <c r="P287" s="375">
        <f t="shared" si="74"/>
        <v>51.187500000000426</v>
      </c>
      <c r="Q287" s="375">
        <f t="shared" si="74"/>
        <v>57.113999999999635</v>
      </c>
      <c r="R287" s="375">
        <f t="shared" si="74"/>
        <v>34.295000000000179</v>
      </c>
      <c r="S287" s="375">
        <f>(T286+S286)*(T285-S285)/2</f>
        <v>22.571999999999882</v>
      </c>
      <c r="T287" s="375">
        <f t="shared" si="74"/>
        <v>8.6840000000000082</v>
      </c>
      <c r="U287" s="375">
        <f t="shared" si="74"/>
        <v>3.295000000000047</v>
      </c>
      <c r="V287" s="375">
        <f t="shared" si="74"/>
        <v>0.95099999999997964</v>
      </c>
      <c r="W287" s="375">
        <f>(X286+W286)*(X285-W285)/2</f>
        <v>0.20099999999999574</v>
      </c>
      <c r="X287" s="375">
        <f>(Y286+X286)*(Y285-X285)/2</f>
        <v>0</v>
      </c>
      <c r="Y287" s="369"/>
    </row>
    <row r="288" spans="1:25" ht="13.5" thickBot="1" x14ac:dyDescent="0.25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3.5" thickBot="1" x14ac:dyDescent="0.25">
      <c r="A289" s="361" t="s">
        <v>321</v>
      </c>
      <c r="B289" s="359">
        <f>ROW(A289)</f>
        <v>289</v>
      </c>
      <c r="C289" s="363" t="s">
        <v>118</v>
      </c>
      <c r="D289" s="353">
        <f>SUM(B292:Y292)</f>
        <v>5322.2813159999996</v>
      </c>
      <c r="E289" s="363" t="s">
        <v>117</v>
      </c>
      <c r="F289" s="354">
        <f>D289/g/J289</f>
        <v>210.04116210318938</v>
      </c>
      <c r="G289" s="363" t="s">
        <v>59</v>
      </c>
      <c r="H289" s="64">
        <v>4.9770000000000003</v>
      </c>
      <c r="I289" s="363" t="s">
        <v>274</v>
      </c>
      <c r="J289" s="355">
        <f>H289-L289</f>
        <v>2.5830000000000002</v>
      </c>
      <c r="K289" s="363" t="s">
        <v>275</v>
      </c>
      <c r="L289" s="64">
        <v>2.3940000000000001</v>
      </c>
      <c r="M289" s="363" t="s">
        <v>60</v>
      </c>
      <c r="N289" s="65">
        <v>197</v>
      </c>
      <c r="O289" s="363" t="s">
        <v>62</v>
      </c>
      <c r="P289" s="65">
        <v>197</v>
      </c>
      <c r="Q289" s="363" t="s">
        <v>63</v>
      </c>
      <c r="R289" s="65">
        <v>394</v>
      </c>
      <c r="S289" s="363" t="s">
        <v>64</v>
      </c>
      <c r="T289" s="65">
        <v>98</v>
      </c>
      <c r="U289" s="363" t="s">
        <v>57</v>
      </c>
      <c r="V289" s="66" t="s">
        <v>121</v>
      </c>
      <c r="W289" s="12"/>
      <c r="X289" s="12"/>
      <c r="Y289" s="12"/>
    </row>
    <row r="290" spans="1:25" x14ac:dyDescent="0.2">
      <c r="A290" s="362" t="s">
        <v>33</v>
      </c>
      <c r="B290" s="370">
        <v>0</v>
      </c>
      <c r="C290" s="371">
        <v>3.6999999999999998E-2</v>
      </c>
      <c r="D290" s="371">
        <v>0.121</v>
      </c>
      <c r="E290" s="371">
        <v>0.32800000000000001</v>
      </c>
      <c r="F290" s="371">
        <v>1.2989999999999999</v>
      </c>
      <c r="G290" s="371">
        <v>1.5449999999999999</v>
      </c>
      <c r="H290" s="371">
        <v>1.7969999999999999</v>
      </c>
      <c r="I290" s="371">
        <v>1.998</v>
      </c>
      <c r="J290" s="371">
        <v>2.2080000000000002</v>
      </c>
      <c r="K290" s="371">
        <v>2.4620000000000002</v>
      </c>
      <c r="L290" s="371">
        <v>2.782</v>
      </c>
      <c r="M290" s="371">
        <v>3.0859999999999999</v>
      </c>
      <c r="N290" s="371">
        <v>3.2130000000000001</v>
      </c>
      <c r="O290" s="371">
        <v>3.258</v>
      </c>
      <c r="P290" s="371">
        <v>3.3279999999999998</v>
      </c>
      <c r="Q290" s="371">
        <v>3.383</v>
      </c>
      <c r="R290" s="371">
        <v>3.4279999999999999</v>
      </c>
      <c r="S290" s="371">
        <v>3.5</v>
      </c>
      <c r="T290" s="371">
        <v>3.5</v>
      </c>
      <c r="U290" s="371">
        <v>3.5</v>
      </c>
      <c r="V290" s="371">
        <v>3.5</v>
      </c>
      <c r="W290" s="371">
        <v>3.5</v>
      </c>
      <c r="X290" s="371">
        <v>3.5</v>
      </c>
      <c r="Y290" s="381">
        <v>1000</v>
      </c>
    </row>
    <row r="291" spans="1:25" x14ac:dyDescent="0.2">
      <c r="A291" s="378" t="s">
        <v>34</v>
      </c>
      <c r="B291" s="372">
        <v>0</v>
      </c>
      <c r="C291" s="373">
        <v>1474.12</v>
      </c>
      <c r="D291" s="373">
        <v>1436.5</v>
      </c>
      <c r="E291" s="373">
        <v>1523.49</v>
      </c>
      <c r="F291" s="373">
        <v>1775.06</v>
      </c>
      <c r="G291" s="373">
        <v>1807.97</v>
      </c>
      <c r="H291" s="373">
        <v>1807.97</v>
      </c>
      <c r="I291" s="373">
        <v>1786.81</v>
      </c>
      <c r="J291" s="373">
        <v>1737.44</v>
      </c>
      <c r="K291" s="373">
        <v>1572.86</v>
      </c>
      <c r="L291" s="373">
        <v>1415.34</v>
      </c>
      <c r="M291" s="373">
        <v>1309.55</v>
      </c>
      <c r="N291" s="373">
        <v>1290.74</v>
      </c>
      <c r="O291" s="373">
        <v>1309.55</v>
      </c>
      <c r="P291" s="373">
        <v>679.45899999999995</v>
      </c>
      <c r="Q291" s="373">
        <v>173.97900000000001</v>
      </c>
      <c r="R291" s="373">
        <v>68.180999999999997</v>
      </c>
      <c r="S291" s="373">
        <v>0</v>
      </c>
      <c r="T291" s="373">
        <v>0</v>
      </c>
      <c r="U291" s="373">
        <v>0</v>
      </c>
      <c r="V291" s="373">
        <v>0</v>
      </c>
      <c r="W291" s="373">
        <v>0</v>
      </c>
      <c r="X291" s="373">
        <v>0</v>
      </c>
      <c r="Y291" s="382">
        <v>0</v>
      </c>
    </row>
    <row r="292" spans="1:25" ht="13.5" thickBot="1" x14ac:dyDescent="0.25">
      <c r="A292" s="379" t="s">
        <v>119</v>
      </c>
      <c r="B292" s="374">
        <f t="shared" ref="B292:X292" si="75">(C291+B291)*(C290-B290)/2</f>
        <v>27.271219999999996</v>
      </c>
      <c r="C292" s="375">
        <f t="shared" si="75"/>
        <v>122.24603999999998</v>
      </c>
      <c r="D292" s="375">
        <f t="shared" si="75"/>
        <v>306.35896500000001</v>
      </c>
      <c r="E292" s="375">
        <f t="shared" si="75"/>
        <v>1601.446025</v>
      </c>
      <c r="F292" s="375">
        <f t="shared" si="75"/>
        <v>440.71268999999995</v>
      </c>
      <c r="G292" s="375">
        <f t="shared" si="75"/>
        <v>455.60844000000003</v>
      </c>
      <c r="H292" s="375">
        <f t="shared" si="75"/>
        <v>361.27539000000007</v>
      </c>
      <c r="I292" s="375">
        <f t="shared" si="75"/>
        <v>370.04625000000033</v>
      </c>
      <c r="J292" s="375">
        <f t="shared" si="75"/>
        <v>420.40810000000005</v>
      </c>
      <c r="K292" s="375">
        <f t="shared" si="75"/>
        <v>478.11199999999974</v>
      </c>
      <c r="L292" s="375">
        <f t="shared" si="75"/>
        <v>414.18327999999974</v>
      </c>
      <c r="M292" s="375">
        <f t="shared" si="75"/>
        <v>165.11841500000028</v>
      </c>
      <c r="N292" s="375">
        <f t="shared" si="75"/>
        <v>58.506524999999904</v>
      </c>
      <c r="O292" s="375">
        <f t="shared" si="75"/>
        <v>69.615314999999839</v>
      </c>
      <c r="P292" s="375">
        <f t="shared" si="75"/>
        <v>23.469545000000068</v>
      </c>
      <c r="Q292" s="375">
        <f t="shared" si="75"/>
        <v>5.4485999999999919</v>
      </c>
      <c r="R292" s="375">
        <f t="shared" si="75"/>
        <v>2.4545160000000021</v>
      </c>
      <c r="S292" s="375">
        <f t="shared" si="75"/>
        <v>0</v>
      </c>
      <c r="T292" s="375">
        <f t="shared" si="75"/>
        <v>0</v>
      </c>
      <c r="U292" s="375">
        <f t="shared" si="75"/>
        <v>0</v>
      </c>
      <c r="V292" s="375">
        <f t="shared" si="75"/>
        <v>0</v>
      </c>
      <c r="W292" s="375">
        <f t="shared" si="75"/>
        <v>0</v>
      </c>
      <c r="X292" s="375">
        <f t="shared" si="75"/>
        <v>0</v>
      </c>
      <c r="Y292" s="369"/>
    </row>
    <row r="293" spans="1:25" ht="13.5" thickBot="1" x14ac:dyDescent="0.25">
      <c r="A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3.5" thickBot="1" x14ac:dyDescent="0.25">
      <c r="A294" s="361" t="s">
        <v>322</v>
      </c>
      <c r="B294" s="359">
        <f>ROW(A294)</f>
        <v>294</v>
      </c>
      <c r="C294" s="363" t="s">
        <v>118</v>
      </c>
      <c r="D294" s="353">
        <f>SUM(B297:Y297)</f>
        <v>7412.4371409999985</v>
      </c>
      <c r="E294" s="363" t="s">
        <v>117</v>
      </c>
      <c r="F294" s="354">
        <f>D294/g/J294</f>
        <v>223.28608637999045</v>
      </c>
      <c r="G294" s="363" t="s">
        <v>59</v>
      </c>
      <c r="H294" s="64">
        <v>6.25</v>
      </c>
      <c r="I294" s="363" t="s">
        <v>274</v>
      </c>
      <c r="J294" s="355">
        <f>H294-L294</f>
        <v>3.3839999999999999</v>
      </c>
      <c r="K294" s="363" t="s">
        <v>275</v>
      </c>
      <c r="L294" s="64">
        <v>2.8660000000000001</v>
      </c>
      <c r="M294" s="363" t="s">
        <v>60</v>
      </c>
      <c r="N294" s="65">
        <v>290</v>
      </c>
      <c r="O294" s="363" t="s">
        <v>62</v>
      </c>
      <c r="P294" s="65">
        <v>290</v>
      </c>
      <c r="Q294" s="363" t="s">
        <v>63</v>
      </c>
      <c r="R294" s="65">
        <v>579</v>
      </c>
      <c r="S294" s="363" t="s">
        <v>64</v>
      </c>
      <c r="T294" s="65">
        <v>98</v>
      </c>
      <c r="U294" s="363" t="s">
        <v>57</v>
      </c>
      <c r="V294" s="66" t="s">
        <v>121</v>
      </c>
      <c r="W294" s="12"/>
      <c r="X294" s="12"/>
      <c r="Y294" s="12"/>
    </row>
    <row r="295" spans="1:25" x14ac:dyDescent="0.2">
      <c r="A295" s="362" t="s">
        <v>33</v>
      </c>
      <c r="B295" s="370">
        <v>0</v>
      </c>
      <c r="C295" s="371">
        <v>1.7000000000000001E-2</v>
      </c>
      <c r="D295" s="371">
        <v>5.1999999999999998E-2</v>
      </c>
      <c r="E295" s="371">
        <v>8.7999999999999995E-2</v>
      </c>
      <c r="F295" s="371">
        <v>0.108</v>
      </c>
      <c r="G295" s="371">
        <v>0.127</v>
      </c>
      <c r="H295" s="371">
        <v>0.17399999999999999</v>
      </c>
      <c r="I295" s="371">
        <v>0.25700000000000001</v>
      </c>
      <c r="J295" s="371">
        <v>0.40300000000000002</v>
      </c>
      <c r="K295" s="371">
        <v>0.76200000000000001</v>
      </c>
      <c r="L295" s="371">
        <v>0.97699999999999998</v>
      </c>
      <c r="M295" s="371">
        <v>1.341</v>
      </c>
      <c r="N295" s="371">
        <v>1.5009999999999999</v>
      </c>
      <c r="O295" s="371">
        <v>1.661</v>
      </c>
      <c r="P295" s="371">
        <v>1.96</v>
      </c>
      <c r="Q295" s="371">
        <v>2.4039999999999999</v>
      </c>
      <c r="R295" s="371">
        <v>2.641</v>
      </c>
      <c r="S295" s="371">
        <v>2.7160000000000002</v>
      </c>
      <c r="T295" s="371">
        <v>2.8210000000000002</v>
      </c>
      <c r="U295" s="371">
        <v>2.8919999999999999</v>
      </c>
      <c r="V295" s="371">
        <v>2.92</v>
      </c>
      <c r="W295" s="371">
        <v>2.97</v>
      </c>
      <c r="X295" s="371">
        <v>3</v>
      </c>
      <c r="Y295" s="381">
        <v>1000</v>
      </c>
    </row>
    <row r="296" spans="1:25" x14ac:dyDescent="0.2">
      <c r="A296" s="378" t="s">
        <v>34</v>
      </c>
      <c r="B296" s="372">
        <v>0</v>
      </c>
      <c r="C296" s="373">
        <v>329.84699999999998</v>
      </c>
      <c r="D296" s="373">
        <v>1003.68</v>
      </c>
      <c r="E296" s="373">
        <v>2346.62</v>
      </c>
      <c r="F296" s="373">
        <v>2549.2399999999998</v>
      </c>
      <c r="G296" s="373">
        <v>2605.79</v>
      </c>
      <c r="H296" s="373">
        <v>2520.9699999999998</v>
      </c>
      <c r="I296" s="373">
        <v>2516.2600000000002</v>
      </c>
      <c r="J296" s="373">
        <v>2596.37</v>
      </c>
      <c r="K296" s="373">
        <v>2808.41</v>
      </c>
      <c r="L296" s="373">
        <v>2954.49</v>
      </c>
      <c r="M296" s="373">
        <v>2959.2</v>
      </c>
      <c r="N296" s="373">
        <v>2907.36</v>
      </c>
      <c r="O296" s="373">
        <v>2869.67</v>
      </c>
      <c r="P296" s="373">
        <v>2695.32</v>
      </c>
      <c r="Q296" s="373">
        <v>2351.34</v>
      </c>
      <c r="R296" s="373">
        <v>2228.8200000000002</v>
      </c>
      <c r="S296" s="373">
        <v>2007.35</v>
      </c>
      <c r="T296" s="373">
        <v>1427.77</v>
      </c>
      <c r="U296" s="373">
        <v>504.19400000000002</v>
      </c>
      <c r="V296" s="373">
        <v>334.55900000000003</v>
      </c>
      <c r="W296" s="373">
        <v>122.515</v>
      </c>
      <c r="X296" s="373">
        <v>0</v>
      </c>
      <c r="Y296" s="382">
        <v>0</v>
      </c>
    </row>
    <row r="297" spans="1:25" ht="13.5" thickBot="1" x14ac:dyDescent="0.25">
      <c r="A297" s="379" t="s">
        <v>119</v>
      </c>
      <c r="B297" s="374">
        <f t="shared" ref="B297:X297" si="76">(C296+B296)*(C295-B295)/2</f>
        <v>2.8036995</v>
      </c>
      <c r="C297" s="375">
        <f t="shared" si="76"/>
        <v>23.336722499999997</v>
      </c>
      <c r="D297" s="375">
        <f t="shared" si="76"/>
        <v>60.305399999999992</v>
      </c>
      <c r="E297" s="375">
        <f t="shared" si="76"/>
        <v>48.958600000000004</v>
      </c>
      <c r="F297" s="375">
        <f t="shared" si="76"/>
        <v>48.972785000000002</v>
      </c>
      <c r="G297" s="375">
        <f t="shared" si="76"/>
        <v>120.47885999999997</v>
      </c>
      <c r="H297" s="375">
        <f t="shared" si="76"/>
        <v>209.04504500000002</v>
      </c>
      <c r="I297" s="375">
        <f t="shared" si="76"/>
        <v>373.22199000000006</v>
      </c>
      <c r="J297" s="375">
        <f t="shared" si="76"/>
        <v>970.15800999999988</v>
      </c>
      <c r="K297" s="375">
        <f t="shared" si="76"/>
        <v>619.51174999999989</v>
      </c>
      <c r="L297" s="375">
        <f t="shared" si="76"/>
        <v>1076.2915799999998</v>
      </c>
      <c r="M297" s="375">
        <f t="shared" si="76"/>
        <v>469.3247999999997</v>
      </c>
      <c r="N297" s="375">
        <f t="shared" si="76"/>
        <v>462.16240000000045</v>
      </c>
      <c r="O297" s="375">
        <f t="shared" si="76"/>
        <v>831.96600499999977</v>
      </c>
      <c r="P297" s="375">
        <f t="shared" si="76"/>
        <v>1120.3585199999998</v>
      </c>
      <c r="Q297" s="375">
        <f t="shared" si="76"/>
        <v>542.74896000000024</v>
      </c>
      <c r="R297" s="375">
        <f t="shared" si="76"/>
        <v>158.85637500000038</v>
      </c>
      <c r="S297" s="375">
        <f t="shared" si="76"/>
        <v>180.34379999999996</v>
      </c>
      <c r="T297" s="375">
        <f t="shared" si="76"/>
        <v>68.584721999999744</v>
      </c>
      <c r="U297" s="375">
        <f t="shared" si="76"/>
        <v>11.742542000000011</v>
      </c>
      <c r="V297" s="375">
        <f t="shared" si="76"/>
        <v>11.42685000000006</v>
      </c>
      <c r="W297" s="375">
        <f t="shared" si="76"/>
        <v>1.8377249999999881</v>
      </c>
      <c r="X297" s="375">
        <f t="shared" si="76"/>
        <v>0</v>
      </c>
      <c r="Y297" s="369"/>
    </row>
    <row r="298" spans="1:25" ht="13.5" thickBot="1" x14ac:dyDescent="0.25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3.5" thickBot="1" x14ac:dyDescent="0.25">
      <c r="A299" s="361" t="s">
        <v>47</v>
      </c>
      <c r="B299" s="359">
        <f>ROW(A299)</f>
        <v>299</v>
      </c>
      <c r="C299" s="363" t="s">
        <v>118</v>
      </c>
      <c r="D299" s="353">
        <f>SUM(B302:Y302)</f>
        <v>1E-3</v>
      </c>
      <c r="E299" s="363" t="s">
        <v>117</v>
      </c>
      <c r="F299" s="354">
        <f>D299/g/J299</f>
        <v>1.019367991845056</v>
      </c>
      <c r="G299" s="363" t="s">
        <v>59</v>
      </c>
      <c r="H299" s="64">
        <v>1E-4</v>
      </c>
      <c r="I299" s="363" t="s">
        <v>274</v>
      </c>
      <c r="J299" s="355">
        <f>H299-L299</f>
        <v>1E-4</v>
      </c>
      <c r="K299" s="363" t="s">
        <v>275</v>
      </c>
      <c r="L299" s="64">
        <v>0</v>
      </c>
      <c r="M299" s="363" t="s">
        <v>60</v>
      </c>
      <c r="N299" s="65">
        <v>0</v>
      </c>
      <c r="O299" s="363" t="s">
        <v>62</v>
      </c>
      <c r="P299" s="65">
        <v>0</v>
      </c>
      <c r="Q299" s="363" t="s">
        <v>63</v>
      </c>
      <c r="R299" s="65">
        <v>0</v>
      </c>
      <c r="S299" s="363" t="s">
        <v>64</v>
      </c>
      <c r="T299" s="65">
        <v>0</v>
      </c>
      <c r="U299" s="363" t="s">
        <v>57</v>
      </c>
      <c r="V299" s="66" t="s">
        <v>121</v>
      </c>
      <c r="W299" s="12"/>
      <c r="X299" s="12"/>
      <c r="Y299" s="12"/>
    </row>
    <row r="300" spans="1:25" x14ac:dyDescent="0.2">
      <c r="A300" s="362" t="s">
        <v>33</v>
      </c>
      <c r="B300" s="370">
        <v>0</v>
      </c>
      <c r="C300" s="371">
        <v>0.1</v>
      </c>
      <c r="D300" s="371">
        <v>0.2</v>
      </c>
      <c r="E300" s="371">
        <v>1</v>
      </c>
      <c r="F300" s="371">
        <v>1</v>
      </c>
      <c r="G300" s="371">
        <v>1</v>
      </c>
      <c r="H300" s="371">
        <v>1</v>
      </c>
      <c r="I300" s="371">
        <v>1</v>
      </c>
      <c r="J300" s="371">
        <v>1</v>
      </c>
      <c r="K300" s="371">
        <v>1</v>
      </c>
      <c r="L300" s="371">
        <v>1</v>
      </c>
      <c r="M300" s="371">
        <v>1</v>
      </c>
      <c r="N300" s="371">
        <v>1</v>
      </c>
      <c r="O300" s="371">
        <v>1</v>
      </c>
      <c r="P300" s="371">
        <v>1</v>
      </c>
      <c r="Q300" s="371">
        <v>1</v>
      </c>
      <c r="R300" s="371">
        <v>1</v>
      </c>
      <c r="S300" s="371">
        <v>1</v>
      </c>
      <c r="T300" s="371">
        <v>1</v>
      </c>
      <c r="U300" s="371">
        <v>1</v>
      </c>
      <c r="V300" s="371">
        <v>1</v>
      </c>
      <c r="W300" s="371">
        <v>1</v>
      </c>
      <c r="X300" s="371">
        <v>1</v>
      </c>
      <c r="Y300" s="381">
        <v>1000</v>
      </c>
    </row>
    <row r="301" spans="1:25" x14ac:dyDescent="0.2">
      <c r="A301" s="378" t="s">
        <v>34</v>
      </c>
      <c r="B301" s="372">
        <v>0</v>
      </c>
      <c r="C301" s="373">
        <v>0.01</v>
      </c>
      <c r="D301" s="373">
        <v>0</v>
      </c>
      <c r="E301" s="373">
        <v>0</v>
      </c>
      <c r="F301" s="373">
        <v>0</v>
      </c>
      <c r="G301" s="373">
        <v>0</v>
      </c>
      <c r="H301" s="373">
        <v>0</v>
      </c>
      <c r="I301" s="373">
        <v>0</v>
      </c>
      <c r="J301" s="373">
        <v>0</v>
      </c>
      <c r="K301" s="373">
        <v>0</v>
      </c>
      <c r="L301" s="373">
        <v>0</v>
      </c>
      <c r="M301" s="373">
        <v>0</v>
      </c>
      <c r="N301" s="373">
        <v>0</v>
      </c>
      <c r="O301" s="373">
        <v>0</v>
      </c>
      <c r="P301" s="373">
        <v>0</v>
      </c>
      <c r="Q301" s="373">
        <v>0</v>
      </c>
      <c r="R301" s="373">
        <v>0</v>
      </c>
      <c r="S301" s="373">
        <v>0</v>
      </c>
      <c r="T301" s="373">
        <v>0</v>
      </c>
      <c r="U301" s="373">
        <v>0</v>
      </c>
      <c r="V301" s="373">
        <v>0</v>
      </c>
      <c r="W301" s="373">
        <v>0</v>
      </c>
      <c r="X301" s="373">
        <v>0</v>
      </c>
      <c r="Y301" s="382">
        <v>0</v>
      </c>
    </row>
    <row r="302" spans="1:25" ht="13.5" thickBot="1" x14ac:dyDescent="0.25">
      <c r="A302" s="379" t="s">
        <v>119</v>
      </c>
      <c r="B302" s="374">
        <f t="shared" ref="B302:G302" si="77">(C301+B301)*(C300-B300)/2</f>
        <v>5.0000000000000001E-4</v>
      </c>
      <c r="C302" s="375">
        <f t="shared" si="77"/>
        <v>5.0000000000000001E-4</v>
      </c>
      <c r="D302" s="375">
        <f t="shared" si="77"/>
        <v>0</v>
      </c>
      <c r="E302" s="375">
        <f t="shared" si="77"/>
        <v>0</v>
      </c>
      <c r="F302" s="375">
        <f t="shared" si="77"/>
        <v>0</v>
      </c>
      <c r="G302" s="375">
        <f t="shared" si="77"/>
        <v>0</v>
      </c>
      <c r="H302" s="375">
        <f t="shared" ref="H302:V302" si="78">(I301+H301)*(I300-H300)/2</f>
        <v>0</v>
      </c>
      <c r="I302" s="375">
        <f t="shared" si="78"/>
        <v>0</v>
      </c>
      <c r="J302" s="375">
        <f>(K301+J301)*(K300-J300)/2</f>
        <v>0</v>
      </c>
      <c r="K302" s="375">
        <f t="shared" si="78"/>
        <v>0</v>
      </c>
      <c r="L302" s="375">
        <f t="shared" si="78"/>
        <v>0</v>
      </c>
      <c r="M302" s="375">
        <f t="shared" si="78"/>
        <v>0</v>
      </c>
      <c r="N302" s="375">
        <f t="shared" si="78"/>
        <v>0</v>
      </c>
      <c r="O302" s="375">
        <f t="shared" si="78"/>
        <v>0</v>
      </c>
      <c r="P302" s="375">
        <f t="shared" si="78"/>
        <v>0</v>
      </c>
      <c r="Q302" s="375">
        <f t="shared" si="78"/>
        <v>0</v>
      </c>
      <c r="R302" s="375">
        <f t="shared" si="78"/>
        <v>0</v>
      </c>
      <c r="S302" s="375">
        <f>(T301+S301)*(T300-S300)/2</f>
        <v>0</v>
      </c>
      <c r="T302" s="375">
        <f t="shared" si="78"/>
        <v>0</v>
      </c>
      <c r="U302" s="375">
        <f t="shared" si="78"/>
        <v>0</v>
      </c>
      <c r="V302" s="375">
        <f t="shared" si="78"/>
        <v>0</v>
      </c>
      <c r="W302" s="375">
        <f>(X301+W301)*(X300-W300)/2</f>
        <v>0</v>
      </c>
      <c r="X302" s="375">
        <f>(Y301+X301)*(Y300-X300)/2</f>
        <v>0</v>
      </c>
      <c r="Y302" s="369"/>
    </row>
    <row r="304" spans="1:25" x14ac:dyDescent="0.2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6" spans="1:19" x14ac:dyDescent="0.2">
      <c r="A306" s="397" t="str">
        <f>IF(Lang="Français","Liste des propu affichés :","Motor list (shown):")</f>
        <v>Liste des propu affichés :</v>
      </c>
      <c r="C306" s="641" t="s">
        <v>279</v>
      </c>
      <c r="D306" s="642"/>
      <c r="F306" s="641" t="s">
        <v>184</v>
      </c>
      <c r="G306" s="642"/>
      <c r="H306" s="12"/>
      <c r="I306" s="641" t="s">
        <v>401</v>
      </c>
      <c r="J306" s="642"/>
      <c r="K306" s="12"/>
      <c r="L306" s="641" t="s">
        <v>185</v>
      </c>
      <c r="M306" s="642"/>
      <c r="O306" s="641" t="s">
        <v>400</v>
      </c>
      <c r="P306" s="642"/>
      <c r="R306" s="641" t="s">
        <v>121</v>
      </c>
      <c r="S306" s="642"/>
    </row>
    <row r="307" spans="1:19" x14ac:dyDescent="0.2">
      <c r="A307" s="398" t="str">
        <f t="array" ref="A307:A336">IF(RIGHT(Type_fusee,1)=".",Liste_fusex, IF(LEFT(Type_fusee,4)="Mini",Liste_minif, IF(LEFT(Type_fusee,5)="Micro",Liste_µfu, IF(RIGHT(Type_fusee,1)=" ",Liste_H2O, IF(LEFT(Type_fusee,1)="R",Liste_RC, IF(LEFT(Type_fusee,1)=",",Liste_minifT))))))</f>
        <v>p24-1G 25E75 (Rufina)</v>
      </c>
      <c r="C307" s="632" t="str">
        <f>A26</f>
        <v>H2O 1.5L 300g 6bar</v>
      </c>
      <c r="D307" s="633"/>
      <c r="F307" s="632" t="str">
        <f>A67</f>
        <v>µ-propu A8-3</v>
      </c>
      <c r="G307" s="633"/>
      <c r="H307" s="473"/>
      <c r="I307" s="630" t="str">
        <f>A133</f>
        <v>p29-1G 41F36</v>
      </c>
      <c r="J307" s="631"/>
      <c r="K307" s="473"/>
      <c r="L307" s="630" t="str">
        <f>A113</f>
        <v>p24-1G 25E75 (Rufina)</v>
      </c>
      <c r="M307" s="631"/>
      <c r="O307" s="632" t="str">
        <f>A108</f>
        <v>p24-1G 24E22</v>
      </c>
      <c r="P307" s="633"/>
      <c r="R307" s="632" t="str">
        <f>A274</f>
        <v>Barasinga (Pro54-5G)</v>
      </c>
      <c r="S307" s="633"/>
    </row>
    <row r="308" spans="1:19" x14ac:dyDescent="0.2">
      <c r="A308" s="398" t="str">
        <v>p29-1G 56F120</v>
      </c>
      <c r="C308" s="632" t="str">
        <f>A31</f>
        <v>H2O 1.5L 450g 6bar</v>
      </c>
      <c r="D308" s="633"/>
      <c r="F308" s="632" t="str">
        <f>A72</f>
        <v>µ-propu B4-4</v>
      </c>
      <c r="G308" s="633"/>
      <c r="H308" s="473"/>
      <c r="I308" s="630" t="str">
        <f>A138</f>
        <v>p29-1G 51F36</v>
      </c>
      <c r="J308" s="631"/>
      <c r="K308" s="473"/>
      <c r="L308" s="630" t="str">
        <f>A148</f>
        <v>p29-1G 56F120</v>
      </c>
      <c r="M308" s="631"/>
      <c r="O308" s="632" t="str">
        <f>A113</f>
        <v>p24-1G 25E75 (Rufina)</v>
      </c>
      <c r="P308" s="633"/>
      <c r="R308" s="632" t="str">
        <f>A284</f>
        <v>Orignal (Pro75-3G)</v>
      </c>
      <c r="S308" s="633"/>
    </row>
    <row r="309" spans="1:19" x14ac:dyDescent="0.2">
      <c r="A309" s="398" t="str">
        <v>p29-2G 110G250</v>
      </c>
      <c r="C309" s="632" t="str">
        <f>A36</f>
        <v>H2O 1.5L 600g 6bar</v>
      </c>
      <c r="D309" s="633"/>
      <c r="F309" s="632" t="str">
        <f>A77</f>
        <v>µ-propu C6-3</v>
      </c>
      <c r="G309" s="633"/>
      <c r="H309" s="473"/>
      <c r="I309" s="630" t="str">
        <f>A143</f>
        <v>p29-1G 55F29</v>
      </c>
      <c r="J309" s="631"/>
      <c r="K309" s="473"/>
      <c r="L309" s="630" t="str">
        <f>A218</f>
        <v>p29-2G 110G250</v>
      </c>
      <c r="M309" s="631"/>
      <c r="O309" s="632" t="str">
        <f>A118</f>
        <v>p24-1G 26E31</v>
      </c>
      <c r="P309" s="633"/>
      <c r="R309" s="632" t="s">
        <v>186</v>
      </c>
      <c r="S309" s="633"/>
    </row>
    <row r="310" spans="1:19" x14ac:dyDescent="0.2">
      <c r="A310" s="398" t="str">
        <v>Cariacou</v>
      </c>
      <c r="C310" s="632" t="str">
        <f>A41</f>
        <v>H2O 1.5L 750g 6bar</v>
      </c>
      <c r="D310" s="633"/>
      <c r="F310" s="632" t="str">
        <f>A82</f>
        <v>µ-propu C6-3 x2</v>
      </c>
      <c r="G310" s="633"/>
      <c r="H310" s="473"/>
      <c r="I310" s="630" t="str">
        <f>A148</f>
        <v>p29-1G 56F120</v>
      </c>
      <c r="J310" s="631"/>
      <c r="K310" s="473"/>
      <c r="L310" s="630" t="str">
        <f>A258</f>
        <v>Cariacou</v>
      </c>
      <c r="M310" s="631"/>
      <c r="O310" s="632" t="str">
        <f>A123</f>
        <v>p24-2G 50E51</v>
      </c>
      <c r="P310" s="633"/>
      <c r="R310" s="632" t="s">
        <v>186</v>
      </c>
      <c r="S310" s="633"/>
    </row>
    <row r="311" spans="1:19" x14ac:dyDescent="0.2">
      <c r="A311" s="398" t="str">
        <v>Pandora</v>
      </c>
      <c r="C311" s="632" t="str">
        <f>A46</f>
        <v>H2O 2.0L 400g 6bar</v>
      </c>
      <c r="D311" s="633"/>
      <c r="F311" s="632" t="str">
        <f>A87</f>
        <v>µ-propu C6-3 x3</v>
      </c>
      <c r="G311" s="633"/>
      <c r="H311" s="473"/>
      <c r="I311" s="630" t="str">
        <f>A153</f>
        <v>p29-1G 57F59</v>
      </c>
      <c r="J311" s="631"/>
      <c r="K311" s="473"/>
      <c r="L311" s="630" t="str">
        <f>A193</f>
        <v>Pandora</v>
      </c>
      <c r="M311" s="631"/>
      <c r="O311" s="632" t="str">
        <f>A128</f>
        <v>p24-1G 53E70</v>
      </c>
      <c r="P311" s="633"/>
      <c r="R311" s="632" t="s">
        <v>186</v>
      </c>
      <c r="S311" s="633"/>
    </row>
    <row r="312" spans="1:19" x14ac:dyDescent="0.2">
      <c r="A312" s="398" t="str">
        <v xml:space="preserve"> </v>
      </c>
      <c r="C312" s="632" t="str">
        <f>A51</f>
        <v>H2O 2.0L 600g 6bar</v>
      </c>
      <c r="D312" s="633"/>
      <c r="F312" s="632" t="s">
        <v>186</v>
      </c>
      <c r="G312" s="633"/>
      <c r="H312" s="473"/>
      <c r="I312" s="630" t="str">
        <f>A158</f>
        <v>p24-3G 60F50</v>
      </c>
      <c r="J312" s="631"/>
      <c r="K312" s="473"/>
      <c r="L312" s="632" t="s">
        <v>186</v>
      </c>
      <c r="M312" s="633"/>
      <c r="O312" s="632" t="str">
        <f>A133</f>
        <v>p29-1G 41F36</v>
      </c>
      <c r="P312" s="633"/>
      <c r="R312" s="632" t="s">
        <v>186</v>
      </c>
      <c r="S312" s="633"/>
    </row>
    <row r="313" spans="1:19" x14ac:dyDescent="0.2">
      <c r="A313" s="398" t="str">
        <v xml:space="preserve"> </v>
      </c>
      <c r="C313" s="632" t="str">
        <f>A56</f>
        <v>H2O 2.0L 800g 6bar</v>
      </c>
      <c r="D313" s="633"/>
      <c r="F313" s="632" t="s">
        <v>186</v>
      </c>
      <c r="G313" s="633"/>
      <c r="H313" s="473"/>
      <c r="I313" s="630" t="str">
        <f>A163</f>
        <v>p24-3G 68F79</v>
      </c>
      <c r="J313" s="631"/>
      <c r="K313" s="473"/>
      <c r="L313" s="632" t="s">
        <v>186</v>
      </c>
      <c r="M313" s="633"/>
      <c r="O313" s="632" t="str">
        <f>A138</f>
        <v>p29-1G 51F36</v>
      </c>
      <c r="P313" s="633"/>
      <c r="R313" s="632" t="s">
        <v>186</v>
      </c>
      <c r="S313" s="633"/>
    </row>
    <row r="314" spans="1:19" x14ac:dyDescent="0.2">
      <c r="A314" s="398" t="str">
        <v xml:space="preserve"> </v>
      </c>
      <c r="C314" s="632" t="str">
        <f>A61</f>
        <v>H2O 2.0L 1000g 6bar</v>
      </c>
      <c r="D314" s="633"/>
      <c r="F314" s="632" t="s">
        <v>186</v>
      </c>
      <c r="G314" s="633"/>
      <c r="H314" s="473"/>
      <c r="I314" s="630" t="str">
        <f>A168</f>
        <v>p24-3G 68F240</v>
      </c>
      <c r="J314" s="631"/>
      <c r="K314" s="473"/>
      <c r="L314" s="632" t="s">
        <v>186</v>
      </c>
      <c r="M314" s="633"/>
      <c r="O314" s="632" t="str">
        <f>A143</f>
        <v>p29-1G 55F29</v>
      </c>
      <c r="P314" s="633"/>
      <c r="R314" s="632" t="s">
        <v>186</v>
      </c>
      <c r="S314" s="633"/>
    </row>
    <row r="315" spans="1:19" x14ac:dyDescent="0.2">
      <c r="A315" s="398" t="str">
        <v xml:space="preserve"> </v>
      </c>
      <c r="C315" s="632" t="s">
        <v>186</v>
      </c>
      <c r="D315" s="633"/>
      <c r="F315" s="632" t="s">
        <v>186</v>
      </c>
      <c r="G315" s="633"/>
      <c r="H315" s="473"/>
      <c r="I315" s="630" t="str">
        <f>A173</f>
        <v>p24-3G 73F30</v>
      </c>
      <c r="J315" s="631"/>
      <c r="K315" s="473"/>
      <c r="L315" s="632" t="s">
        <v>186</v>
      </c>
      <c r="M315" s="633"/>
      <c r="O315" s="632" t="str">
        <f>A148</f>
        <v>p29-1G 56F120</v>
      </c>
      <c r="P315" s="633"/>
      <c r="R315" s="632" t="s">
        <v>186</v>
      </c>
      <c r="S315" s="633"/>
    </row>
    <row r="316" spans="1:19" x14ac:dyDescent="0.2">
      <c r="A316" s="398" t="str">
        <v xml:space="preserve"> </v>
      </c>
      <c r="C316" s="632" t="s">
        <v>186</v>
      </c>
      <c r="D316" s="633"/>
      <c r="F316" s="632" t="s">
        <v>186</v>
      </c>
      <c r="G316" s="633"/>
      <c r="H316" s="473"/>
      <c r="I316" s="630" t="str">
        <f>A178</f>
        <v>p24-3G 74F85</v>
      </c>
      <c r="J316" s="631"/>
      <c r="K316" s="473"/>
      <c r="L316" s="632" t="s">
        <v>186</v>
      </c>
      <c r="M316" s="633"/>
      <c r="O316" s="632" t="str">
        <f>A153</f>
        <v>p29-1G 57F59</v>
      </c>
      <c r="P316" s="633"/>
      <c r="R316" s="632" t="s">
        <v>186</v>
      </c>
      <c r="S316" s="633"/>
    </row>
    <row r="317" spans="1:19" x14ac:dyDescent="0.2">
      <c r="A317" s="398" t="str">
        <v xml:space="preserve"> </v>
      </c>
      <c r="C317" s="632" t="s">
        <v>186</v>
      </c>
      <c r="D317" s="633"/>
      <c r="F317" s="632" t="s">
        <v>186</v>
      </c>
      <c r="G317" s="633"/>
      <c r="H317" s="473"/>
      <c r="I317" s="630" t="str">
        <f>A183</f>
        <v>p24-3G 75F51</v>
      </c>
      <c r="J317" s="631"/>
      <c r="K317" s="473"/>
      <c r="L317" s="632" t="s">
        <v>186</v>
      </c>
      <c r="M317" s="633"/>
      <c r="O317" s="632" t="str">
        <f>A158</f>
        <v>p24-3G 60F50</v>
      </c>
      <c r="P317" s="633"/>
      <c r="R317" s="632" t="s">
        <v>186</v>
      </c>
      <c r="S317" s="633"/>
    </row>
    <row r="318" spans="1:19" x14ac:dyDescent="0.2">
      <c r="A318" s="398" t="str">
        <v xml:space="preserve"> </v>
      </c>
      <c r="C318" s="632" t="s">
        <v>186</v>
      </c>
      <c r="D318" s="633"/>
      <c r="F318" s="632" t="s">
        <v>186</v>
      </c>
      <c r="G318" s="633"/>
      <c r="H318" s="473"/>
      <c r="I318" s="630"/>
      <c r="J318" s="631"/>
      <c r="K318" s="473"/>
      <c r="L318" s="632" t="s">
        <v>186</v>
      </c>
      <c r="M318" s="633"/>
      <c r="O318" s="632" t="str">
        <f>A163</f>
        <v>p24-3G 68F79</v>
      </c>
      <c r="P318" s="633"/>
      <c r="R318" s="632" t="s">
        <v>186</v>
      </c>
      <c r="S318" s="633"/>
    </row>
    <row r="319" spans="1:19" x14ac:dyDescent="0.2">
      <c r="A319" s="398" t="str">
        <v xml:space="preserve"> </v>
      </c>
      <c r="C319" s="632" t="s">
        <v>186</v>
      </c>
      <c r="D319" s="633"/>
      <c r="F319" s="632" t="s">
        <v>186</v>
      </c>
      <c r="G319" s="633"/>
      <c r="H319" s="473"/>
      <c r="I319" s="630"/>
      <c r="J319" s="631"/>
      <c r="K319" s="473"/>
      <c r="L319" s="632" t="s">
        <v>186</v>
      </c>
      <c r="M319" s="633"/>
      <c r="O319" s="632" t="str">
        <f>A168</f>
        <v>p24-3G 68F240</v>
      </c>
      <c r="P319" s="633"/>
      <c r="R319" s="632" t="s">
        <v>186</v>
      </c>
      <c r="S319" s="633"/>
    </row>
    <row r="320" spans="1:19" x14ac:dyDescent="0.2">
      <c r="A320" s="398" t="str">
        <v xml:space="preserve"> </v>
      </c>
      <c r="C320" s="632" t="s">
        <v>186</v>
      </c>
      <c r="D320" s="633"/>
      <c r="F320" s="632" t="s">
        <v>186</v>
      </c>
      <c r="G320" s="633"/>
      <c r="H320" s="473"/>
      <c r="I320" s="630"/>
      <c r="J320" s="631"/>
      <c r="K320" s="473"/>
      <c r="L320" s="632" t="s">
        <v>186</v>
      </c>
      <c r="M320" s="633"/>
      <c r="O320" s="632" t="str">
        <f>A173</f>
        <v>p24-3G 73F30</v>
      </c>
      <c r="P320" s="633"/>
      <c r="R320" s="632" t="s">
        <v>186</v>
      </c>
      <c r="S320" s="633"/>
    </row>
    <row r="321" spans="1:19" x14ac:dyDescent="0.2">
      <c r="A321" s="398" t="str">
        <v xml:space="preserve"> </v>
      </c>
      <c r="C321" s="632" t="s">
        <v>186</v>
      </c>
      <c r="D321" s="633"/>
      <c r="F321" s="632" t="s">
        <v>186</v>
      </c>
      <c r="G321" s="633"/>
      <c r="H321" s="473"/>
      <c r="I321" s="644" t="s">
        <v>186</v>
      </c>
      <c r="J321" s="645"/>
      <c r="K321" s="473"/>
      <c r="L321" s="632" t="s">
        <v>186</v>
      </c>
      <c r="M321" s="633"/>
      <c r="O321" s="632" t="str">
        <f>A178</f>
        <v>p24-3G 74F85</v>
      </c>
      <c r="P321" s="633"/>
      <c r="R321" s="632" t="s">
        <v>186</v>
      </c>
      <c r="S321" s="633"/>
    </row>
    <row r="322" spans="1:19" x14ac:dyDescent="0.2">
      <c r="A322" s="462" t="str">
        <v xml:space="preserve"> </v>
      </c>
      <c r="C322" s="639" t="s">
        <v>186</v>
      </c>
      <c r="D322" s="640"/>
      <c r="F322" s="639" t="s">
        <v>186</v>
      </c>
      <c r="G322" s="640"/>
      <c r="H322" s="473"/>
      <c r="I322" s="639" t="s">
        <v>186</v>
      </c>
      <c r="J322" s="640"/>
      <c r="K322" s="473"/>
      <c r="L322" s="639" t="s">
        <v>186</v>
      </c>
      <c r="M322" s="640"/>
      <c r="O322" s="632" t="str">
        <f>A183</f>
        <v>p24-3G 75F51</v>
      </c>
      <c r="P322" s="633"/>
      <c r="R322" s="639" t="s">
        <v>186</v>
      </c>
      <c r="S322" s="640"/>
    </row>
    <row r="323" spans="1:19" x14ac:dyDescent="0.2">
      <c r="A323" s="398" t="str">
        <v xml:space="preserve"> </v>
      </c>
      <c r="C323" s="643" t="s">
        <v>186</v>
      </c>
      <c r="D323" s="643"/>
      <c r="F323" s="643" t="s">
        <v>186</v>
      </c>
      <c r="G323" s="643"/>
      <c r="I323" s="638" t="s">
        <v>186</v>
      </c>
      <c r="J323" s="638"/>
      <c r="L323" s="638" t="s">
        <v>186</v>
      </c>
      <c r="M323" s="638"/>
      <c r="O323" s="632" t="str">
        <f>A208</f>
        <v>p29-2G 84G88</v>
      </c>
      <c r="P323" s="633"/>
      <c r="R323" s="637" t="s">
        <v>186</v>
      </c>
      <c r="S323" s="637"/>
    </row>
    <row r="324" spans="1:19" x14ac:dyDescent="0.2">
      <c r="A324" s="398" t="str">
        <v xml:space="preserve"> </v>
      </c>
      <c r="C324" s="629" t="s">
        <v>186</v>
      </c>
      <c r="D324" s="629"/>
      <c r="F324" s="629" t="s">
        <v>186</v>
      </c>
      <c r="G324" s="629"/>
      <c r="I324" s="638" t="s">
        <v>186</v>
      </c>
      <c r="J324" s="638"/>
      <c r="L324" s="638" t="s">
        <v>186</v>
      </c>
      <c r="M324" s="638"/>
      <c r="O324" s="632" t="str">
        <f>A213</f>
        <v>p29-2G 93G80</v>
      </c>
      <c r="P324" s="633"/>
      <c r="R324" s="636" t="str">
        <f>A264</f>
        <v>Isard</v>
      </c>
      <c r="S324" s="636"/>
    </row>
    <row r="325" spans="1:19" x14ac:dyDescent="0.2">
      <c r="A325" s="398" t="str">
        <v xml:space="preserve"> </v>
      </c>
      <c r="C325" s="629" t="s">
        <v>186</v>
      </c>
      <c r="D325" s="629"/>
      <c r="F325" s="629" t="s">
        <v>186</v>
      </c>
      <c r="G325" s="629"/>
      <c r="I325" s="638" t="s">
        <v>186</v>
      </c>
      <c r="J325" s="638"/>
      <c r="L325" s="638" t="s">
        <v>186</v>
      </c>
      <c r="M325" s="638"/>
      <c r="O325" s="632" t="str">
        <f>A218</f>
        <v>p29-2G 110G250</v>
      </c>
      <c r="P325" s="633"/>
      <c r="R325" s="636" t="str">
        <f>A269</f>
        <v>Chamois</v>
      </c>
      <c r="S325" s="636"/>
    </row>
    <row r="326" spans="1:19" x14ac:dyDescent="0.2">
      <c r="A326" s="398" t="str">
        <v xml:space="preserve"> </v>
      </c>
      <c r="C326" s="629" t="s">
        <v>186</v>
      </c>
      <c r="D326" s="629"/>
      <c r="F326" s="629" t="s">
        <v>186</v>
      </c>
      <c r="G326" s="629"/>
      <c r="I326" s="638" t="s">
        <v>186</v>
      </c>
      <c r="J326" s="638"/>
      <c r="L326" s="638" t="s">
        <v>186</v>
      </c>
      <c r="M326" s="638"/>
      <c r="O326" s="632" t="str">
        <f>A223</f>
        <v>p29-2G 116G126</v>
      </c>
      <c r="P326" s="633"/>
      <c r="R326" s="636" t="str">
        <f>A279</f>
        <v>Pro75-2G</v>
      </c>
      <c r="S326" s="636"/>
    </row>
    <row r="327" spans="1:19" x14ac:dyDescent="0.2">
      <c r="A327" s="398" t="str">
        <v xml:space="preserve"> </v>
      </c>
      <c r="C327" s="629" t="s">
        <v>186</v>
      </c>
      <c r="D327" s="629"/>
      <c r="F327" s="629" t="s">
        <v>186</v>
      </c>
      <c r="G327" s="629"/>
      <c r="I327" s="638" t="s">
        <v>186</v>
      </c>
      <c r="J327" s="638"/>
      <c r="L327" s="638" t="s">
        <v>186</v>
      </c>
      <c r="M327" s="638"/>
      <c r="O327" s="632" t="str">
        <f>A228</f>
        <v>p29-3G 125G131</v>
      </c>
      <c r="P327" s="633"/>
      <c r="R327" s="636" t="str">
        <f>A289</f>
        <v>Pro98-2G WT</v>
      </c>
      <c r="S327" s="636"/>
    </row>
    <row r="328" spans="1:19" x14ac:dyDescent="0.2">
      <c r="A328" s="398" t="str">
        <v xml:space="preserve"> </v>
      </c>
      <c r="C328" s="629" t="s">
        <v>186</v>
      </c>
      <c r="D328" s="629"/>
      <c r="F328" s="629" t="s">
        <v>186</v>
      </c>
      <c r="G328" s="629"/>
      <c r="I328" s="638" t="s">
        <v>186</v>
      </c>
      <c r="J328" s="638"/>
      <c r="L328" s="638" t="s">
        <v>186</v>
      </c>
      <c r="M328" s="638"/>
      <c r="O328" s="632" t="str">
        <f>A243</f>
        <v>p38-1G 128G185</v>
      </c>
      <c r="P328" s="633"/>
      <c r="R328" s="636" t="str">
        <f>A294</f>
        <v>Pro98-3G WT</v>
      </c>
      <c r="S328" s="636"/>
    </row>
    <row r="329" spans="1:19" x14ac:dyDescent="0.2">
      <c r="A329" s="398" t="str">
        <v xml:space="preserve"> </v>
      </c>
      <c r="C329" s="629" t="s">
        <v>186</v>
      </c>
      <c r="D329" s="629"/>
      <c r="F329" s="629" t="s">
        <v>186</v>
      </c>
      <c r="G329" s="629"/>
      <c r="I329" s="638" t="s">
        <v>186</v>
      </c>
      <c r="J329" s="638"/>
      <c r="L329" s="638" t="s">
        <v>186</v>
      </c>
      <c r="M329" s="638"/>
      <c r="O329" s="632" t="str">
        <f>A238</f>
        <v>p38-1G 137G58</v>
      </c>
      <c r="P329" s="633"/>
      <c r="R329" s="636" t="str">
        <f>A299</f>
        <v>Aucun (2e ét. inerte)</v>
      </c>
      <c r="S329" s="636"/>
    </row>
    <row r="330" spans="1:19" x14ac:dyDescent="0.2">
      <c r="A330" s="398" t="str">
        <v xml:space="preserve"> </v>
      </c>
      <c r="C330" s="629" t="s">
        <v>186</v>
      </c>
      <c r="D330" s="629"/>
      <c r="F330" s="629" t="s">
        <v>186</v>
      </c>
      <c r="G330" s="629"/>
      <c r="I330" s="638" t="s">
        <v>186</v>
      </c>
      <c r="J330" s="638"/>
      <c r="L330" s="638" t="s">
        <v>186</v>
      </c>
      <c r="M330" s="638"/>
      <c r="O330" s="632" t="str">
        <f>A248</f>
        <v>p38-1G 141G78</v>
      </c>
      <c r="P330" s="633"/>
      <c r="R330" s="638" t="s">
        <v>186</v>
      </c>
      <c r="S330" s="638"/>
    </row>
    <row r="331" spans="1:19" x14ac:dyDescent="0.2">
      <c r="A331" s="398" t="str">
        <v xml:space="preserve"> </v>
      </c>
      <c r="C331" s="629" t="s">
        <v>186</v>
      </c>
      <c r="D331" s="629"/>
      <c r="F331" s="629" t="s">
        <v>186</v>
      </c>
      <c r="G331" s="629"/>
      <c r="I331" s="629" t="s">
        <v>186</v>
      </c>
      <c r="J331" s="629"/>
      <c r="L331" s="638" t="s">
        <v>186</v>
      </c>
      <c r="M331" s="638"/>
      <c r="O331" s="632" t="str">
        <f>A188</f>
        <v>p24-6G 140G145 PK</v>
      </c>
      <c r="P331" s="633"/>
      <c r="R331" s="629" t="s">
        <v>186</v>
      </c>
      <c r="S331" s="629"/>
    </row>
    <row r="332" spans="1:19" x14ac:dyDescent="0.2">
      <c r="A332" s="398" t="str">
        <v xml:space="preserve"> </v>
      </c>
      <c r="C332" s="629" t="s">
        <v>186</v>
      </c>
      <c r="D332" s="629"/>
      <c r="F332" s="629" t="s">
        <v>186</v>
      </c>
      <c r="G332" s="629"/>
      <c r="I332" s="629" t="s">
        <v>186</v>
      </c>
      <c r="J332" s="629"/>
      <c r="L332" s="638" t="s">
        <v>186</v>
      </c>
      <c r="M332" s="638"/>
      <c r="O332" s="632" t="str">
        <f>A193</f>
        <v>Pandora</v>
      </c>
      <c r="P332" s="633"/>
      <c r="R332" s="629" t="s">
        <v>186</v>
      </c>
      <c r="S332" s="629"/>
    </row>
    <row r="333" spans="1:19" x14ac:dyDescent="0.2">
      <c r="A333" s="398" t="str">
        <v xml:space="preserve"> </v>
      </c>
      <c r="C333" s="629" t="s">
        <v>186</v>
      </c>
      <c r="D333" s="629"/>
      <c r="F333" s="629" t="s">
        <v>186</v>
      </c>
      <c r="G333" s="629"/>
      <c r="I333" s="629" t="s">
        <v>186</v>
      </c>
      <c r="J333" s="629"/>
      <c r="L333" s="629" t="s">
        <v>186</v>
      </c>
      <c r="M333" s="629"/>
      <c r="O333" s="630" t="str">
        <f>A198</f>
        <v>p24-6G 142G117 WT</v>
      </c>
      <c r="P333" s="631"/>
      <c r="R333" s="629" t="s">
        <v>186</v>
      </c>
      <c r="S333" s="629"/>
    </row>
    <row r="334" spans="1:19" x14ac:dyDescent="0.2">
      <c r="A334" s="398" t="str">
        <v xml:space="preserve"> </v>
      </c>
      <c r="C334" s="629" t="s">
        <v>186</v>
      </c>
      <c r="D334" s="629"/>
      <c r="F334" s="629" t="s">
        <v>186</v>
      </c>
      <c r="G334" s="629"/>
      <c r="I334" s="629" t="s">
        <v>186</v>
      </c>
      <c r="J334" s="629"/>
      <c r="L334" s="629" t="s">
        <v>186</v>
      </c>
      <c r="M334" s="629"/>
      <c r="O334" s="630" t="str">
        <f>A203</f>
        <v>p24-6G 139G107 DT</v>
      </c>
      <c r="P334" s="631"/>
      <c r="R334" s="629" t="s">
        <v>186</v>
      </c>
      <c r="S334" s="629"/>
    </row>
    <row r="335" spans="1:19" x14ac:dyDescent="0.2">
      <c r="A335" s="398" t="str">
        <v xml:space="preserve"> </v>
      </c>
      <c r="C335" s="629" t="s">
        <v>186</v>
      </c>
      <c r="D335" s="629"/>
      <c r="F335" s="629" t="s">
        <v>186</v>
      </c>
      <c r="G335" s="629"/>
      <c r="I335" s="629" t="s">
        <v>186</v>
      </c>
      <c r="J335" s="629"/>
      <c r="L335" s="629" t="s">
        <v>186</v>
      </c>
      <c r="M335" s="629"/>
      <c r="O335" s="630" t="str">
        <f>A258</f>
        <v>Cariacou</v>
      </c>
      <c r="P335" s="631"/>
      <c r="R335" s="629" t="s">
        <v>186</v>
      </c>
      <c r="S335" s="629"/>
    </row>
    <row r="336" spans="1:19" x14ac:dyDescent="0.2">
      <c r="A336" s="474" t="str">
        <v xml:space="preserve"> </v>
      </c>
      <c r="C336" s="629" t="s">
        <v>186</v>
      </c>
      <c r="D336" s="629"/>
      <c r="F336" s="629" t="s">
        <v>186</v>
      </c>
      <c r="G336" s="629"/>
      <c r="I336" s="629" t="s">
        <v>186</v>
      </c>
      <c r="J336" s="629"/>
      <c r="L336" s="629" t="s">
        <v>186</v>
      </c>
      <c r="M336" s="629"/>
      <c r="O336" s="634" t="str">
        <f>A253</f>
        <v>Wapiti</v>
      </c>
      <c r="P336" s="635"/>
      <c r="R336" s="629" t="s">
        <v>186</v>
      </c>
      <c r="S336" s="629"/>
    </row>
  </sheetData>
  <sheetProtection password="C6AC" sheet="1"/>
  <dataConsolidate/>
  <mergeCells count="186">
    <mergeCell ref="C335:D335"/>
    <mergeCell ref="C336:D336"/>
    <mergeCell ref="C325:D325"/>
    <mergeCell ref="C326:D326"/>
    <mergeCell ref="C327:D327"/>
    <mergeCell ref="C328:D328"/>
    <mergeCell ref="C329:D329"/>
    <mergeCell ref="C330:D330"/>
    <mergeCell ref="L313:M313"/>
    <mergeCell ref="L314:M314"/>
    <mergeCell ref="L315:M315"/>
    <mergeCell ref="I322:J322"/>
    <mergeCell ref="I314:J314"/>
    <mergeCell ref="I315:J315"/>
    <mergeCell ref="I316:J316"/>
    <mergeCell ref="I317:J317"/>
    <mergeCell ref="C334:D334"/>
    <mergeCell ref="C331:D331"/>
    <mergeCell ref="C332:D332"/>
    <mergeCell ref="C333:D333"/>
    <mergeCell ref="L325:M325"/>
    <mergeCell ref="L326:M326"/>
    <mergeCell ref="I334:J334"/>
    <mergeCell ref="I323:J323"/>
    <mergeCell ref="I321:J321"/>
    <mergeCell ref="F320:G320"/>
    <mergeCell ref="F321:G321"/>
    <mergeCell ref="O329:P329"/>
    <mergeCell ref="I324:J324"/>
    <mergeCell ref="I325:J325"/>
    <mergeCell ref="I330:J330"/>
    <mergeCell ref="L327:M327"/>
    <mergeCell ref="I331:J331"/>
    <mergeCell ref="F329:G329"/>
    <mergeCell ref="F330:G330"/>
    <mergeCell ref="L329:M329"/>
    <mergeCell ref="L330:M330"/>
    <mergeCell ref="F331:G331"/>
    <mergeCell ref="O327:P327"/>
    <mergeCell ref="F324:G324"/>
    <mergeCell ref="F325:G325"/>
    <mergeCell ref="F326:G326"/>
    <mergeCell ref="F327:G327"/>
    <mergeCell ref="O323:P323"/>
    <mergeCell ref="I326:J326"/>
    <mergeCell ref="L323:M323"/>
    <mergeCell ref="O324:P324"/>
    <mergeCell ref="C324:D324"/>
    <mergeCell ref="L328:M328"/>
    <mergeCell ref="F323:G323"/>
    <mergeCell ref="C321:D321"/>
    <mergeCell ref="C320:D320"/>
    <mergeCell ref="C318:D318"/>
    <mergeCell ref="C323:D323"/>
    <mergeCell ref="F328:G328"/>
    <mergeCell ref="L306:M306"/>
    <mergeCell ref="L307:M307"/>
    <mergeCell ref="L316:M316"/>
    <mergeCell ref="L317:M317"/>
    <mergeCell ref="L311:M311"/>
    <mergeCell ref="L312:M312"/>
    <mergeCell ref="C306:D306"/>
    <mergeCell ref="C307:D307"/>
    <mergeCell ref="C308:D308"/>
    <mergeCell ref="C309:D309"/>
    <mergeCell ref="C310:D310"/>
    <mergeCell ref="F306:G306"/>
    <mergeCell ref="F309:G309"/>
    <mergeCell ref="F308:G308"/>
    <mergeCell ref="F307:G307"/>
    <mergeCell ref="F319:G319"/>
    <mergeCell ref="C311:D311"/>
    <mergeCell ref="O311:P311"/>
    <mergeCell ref="R311:S311"/>
    <mergeCell ref="R315:S315"/>
    <mergeCell ref="R314:S314"/>
    <mergeCell ref="R313:S313"/>
    <mergeCell ref="I311:J311"/>
    <mergeCell ref="I312:J312"/>
    <mergeCell ref="I313:J313"/>
    <mergeCell ref="C314:D314"/>
    <mergeCell ref="C313:D313"/>
    <mergeCell ref="F314:G314"/>
    <mergeCell ref="F311:G311"/>
    <mergeCell ref="R306:S306"/>
    <mergeCell ref="R307:S307"/>
    <mergeCell ref="R308:S308"/>
    <mergeCell ref="R309:S309"/>
    <mergeCell ref="R310:S310"/>
    <mergeCell ref="R317:S317"/>
    <mergeCell ref="L310:M310"/>
    <mergeCell ref="I306:J306"/>
    <mergeCell ref="R320:S320"/>
    <mergeCell ref="R319:S319"/>
    <mergeCell ref="O319:P319"/>
    <mergeCell ref="I309:J309"/>
    <mergeCell ref="O308:P308"/>
    <mergeCell ref="O307:P307"/>
    <mergeCell ref="I310:J310"/>
    <mergeCell ref="L308:M308"/>
    <mergeCell ref="L309:M309"/>
    <mergeCell ref="O306:P306"/>
    <mergeCell ref="I307:J307"/>
    <mergeCell ref="I308:J308"/>
    <mergeCell ref="R316:S316"/>
    <mergeCell ref="O318:P318"/>
    <mergeCell ref="I319:J319"/>
    <mergeCell ref="I320:J320"/>
    <mergeCell ref="R321:S321"/>
    <mergeCell ref="L321:M321"/>
    <mergeCell ref="L322:M322"/>
    <mergeCell ref="L319:M319"/>
    <mergeCell ref="L320:M320"/>
    <mergeCell ref="C312:D312"/>
    <mergeCell ref="C322:D322"/>
    <mergeCell ref="R312:S312"/>
    <mergeCell ref="R318:S318"/>
    <mergeCell ref="R322:S322"/>
    <mergeCell ref="F318:G318"/>
    <mergeCell ref="F312:G312"/>
    <mergeCell ref="O316:P316"/>
    <mergeCell ref="F313:G313"/>
    <mergeCell ref="O321:P321"/>
    <mergeCell ref="O314:P314"/>
    <mergeCell ref="O312:P312"/>
    <mergeCell ref="O322:P322"/>
    <mergeCell ref="F322:G322"/>
    <mergeCell ref="C319:D319"/>
    <mergeCell ref="I318:J318"/>
    <mergeCell ref="C317:D317"/>
    <mergeCell ref="C316:D316"/>
    <mergeCell ref="C315:D315"/>
    <mergeCell ref="F310:G310"/>
    <mergeCell ref="O313:P313"/>
    <mergeCell ref="O310:P310"/>
    <mergeCell ref="O309:P309"/>
    <mergeCell ref="F315:G315"/>
    <mergeCell ref="F316:G316"/>
    <mergeCell ref="F317:G317"/>
    <mergeCell ref="O315:P315"/>
    <mergeCell ref="O320:P320"/>
    <mergeCell ref="O317:P317"/>
    <mergeCell ref="L318:M318"/>
    <mergeCell ref="R325:S325"/>
    <mergeCell ref="R323:S323"/>
    <mergeCell ref="I327:J327"/>
    <mergeCell ref="I328:J328"/>
    <mergeCell ref="I329:J329"/>
    <mergeCell ref="O331:P331"/>
    <mergeCell ref="L324:M324"/>
    <mergeCell ref="R329:S329"/>
    <mergeCell ref="O333:P333"/>
    <mergeCell ref="R328:S328"/>
    <mergeCell ref="R326:S326"/>
    <mergeCell ref="R327:S327"/>
    <mergeCell ref="R324:S324"/>
    <mergeCell ref="O332:P332"/>
    <mergeCell ref="O325:P325"/>
    <mergeCell ref="R330:S330"/>
    <mergeCell ref="R331:S331"/>
    <mergeCell ref="R333:S333"/>
    <mergeCell ref="O328:P328"/>
    <mergeCell ref="O326:P326"/>
    <mergeCell ref="L333:M333"/>
    <mergeCell ref="I332:J332"/>
    <mergeCell ref="I333:J333"/>
    <mergeCell ref="L331:M331"/>
    <mergeCell ref="R335:S335"/>
    <mergeCell ref="O335:P335"/>
    <mergeCell ref="O330:P330"/>
    <mergeCell ref="R336:S336"/>
    <mergeCell ref="R332:S332"/>
    <mergeCell ref="F332:G332"/>
    <mergeCell ref="F333:G333"/>
    <mergeCell ref="F334:G334"/>
    <mergeCell ref="F335:G335"/>
    <mergeCell ref="F336:G336"/>
    <mergeCell ref="O336:P336"/>
    <mergeCell ref="L335:M335"/>
    <mergeCell ref="L336:M336"/>
    <mergeCell ref="L334:M334"/>
    <mergeCell ref="I336:J336"/>
    <mergeCell ref="I335:J335"/>
    <mergeCell ref="O334:P334"/>
    <mergeCell ref="R334:S334"/>
    <mergeCell ref="L332:M332"/>
  </mergeCells>
  <phoneticPr fontId="8" type="noConversion"/>
  <pageMargins left="0.39370078740157483" right="0.39370078740157483" top="0.39370078740157483" bottom="0.39370078740157483" header="0" footer="0"/>
  <pageSetup scale="44" firstPageNumber="0" fitToHeight="3" orientation="landscape" horizontalDpi="300" verticalDpi="300"/>
  <headerFooter alignWithMargins="0"/>
  <ignoredErrors>
    <ignoredError sqref="R307:S308 C307:D314 F307:G311 O312:P329 O332:P332 R324:S329 O330:O331 O307:P309 O310:P311 P331" unlocked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E1134-95F0-2D4D-BFC4-ECED88733CEF}">
  <sheetPr codeName="Feuil4">
    <pageSetUpPr fitToPage="1"/>
  </sheetPr>
  <dimension ref="A1:IN1075"/>
  <sheetViews>
    <sheetView showGridLines="0" workbookViewId="0">
      <pane xSplit="3" ySplit="7" topLeftCell="D500" activePane="bottomRight" state="frozen"/>
      <selection pane="topRight" activeCell="D1" sqref="D1"/>
      <selection pane="bottomLeft" activeCell="A8" sqref="A8"/>
      <selection pane="bottomRight" activeCell="I511" sqref="I511"/>
    </sheetView>
  </sheetViews>
  <sheetFormatPr baseColWidth="10" defaultColWidth="11.5703125" defaultRowHeight="12.75" x14ac:dyDescent="0.2"/>
  <cols>
    <col min="1" max="1" width="4.5703125" style="7" bestFit="1" customWidth="1"/>
    <col min="2" max="2" width="6" style="7" bestFit="1" customWidth="1"/>
    <col min="3" max="3" width="1.42578125" style="8" customWidth="1"/>
    <col min="4" max="4" width="7.140625" style="7" customWidth="1"/>
    <col min="5" max="6" width="7.42578125" style="7" customWidth="1"/>
    <col min="7" max="7" width="7.140625" style="7" customWidth="1"/>
    <col min="8" max="8" width="7.42578125" style="7" customWidth="1"/>
    <col min="9" max="9" width="7.140625" style="7" customWidth="1"/>
    <col min="10" max="12" width="7.5703125" style="7" bestFit="1" customWidth="1"/>
    <col min="13" max="13" width="5.5703125" style="7" customWidth="1"/>
    <col min="14" max="14" width="6.42578125" style="7" customWidth="1"/>
    <col min="15" max="15" width="1.42578125" style="8" customWidth="1"/>
    <col min="16" max="16" width="4" style="7" customWidth="1"/>
    <col min="17" max="17" width="8.5703125" style="7" customWidth="1"/>
    <col min="18" max="18" width="5.5703125" style="7" customWidth="1"/>
    <col min="19" max="19" width="5.42578125" style="7" customWidth="1"/>
    <col min="20" max="20" width="6" style="7" customWidth="1"/>
    <col min="21" max="21" width="8.5703125" style="7" customWidth="1"/>
    <col min="22" max="22" width="6.5703125" style="7" customWidth="1"/>
    <col min="23" max="23" width="7.140625" style="7" customWidth="1"/>
    <col min="24" max="24" width="1.42578125" style="8" customWidth="1"/>
    <col min="25" max="25" width="15.5703125" style="7" customWidth="1"/>
    <col min="26" max="26" width="5.5703125" style="7" customWidth="1"/>
    <col min="27" max="27" width="7.5703125" style="7" customWidth="1"/>
    <col min="28" max="28" width="1.5703125" style="7" customWidth="1"/>
    <col min="29" max="29" width="7.42578125" style="7" bestFit="1" customWidth="1"/>
    <col min="30" max="31" width="6.5703125" style="7" bestFit="1" customWidth="1"/>
    <col min="32" max="32" width="1.85546875" style="7" customWidth="1"/>
    <col min="33" max="238" width="11.42578125" style="7" customWidth="1"/>
    <col min="239" max="239" width="11" style="7" customWidth="1"/>
  </cols>
  <sheetData>
    <row r="1" spans="1:248" ht="13.5" thickBot="1" x14ac:dyDescent="0.25">
      <c r="D1" s="646" t="s">
        <v>268</v>
      </c>
      <c r="E1" s="647"/>
      <c r="F1" s="647"/>
      <c r="G1" s="647"/>
      <c r="H1" s="647"/>
      <c r="I1" s="647"/>
      <c r="J1" s="647"/>
      <c r="K1" s="647"/>
      <c r="L1" s="647"/>
      <c r="M1" s="647"/>
      <c r="N1" s="648"/>
      <c r="P1" s="646" t="s">
        <v>17</v>
      </c>
      <c r="Q1" s="647"/>
      <c r="R1" s="647"/>
      <c r="S1" s="647"/>
      <c r="T1" s="647"/>
      <c r="U1" s="647"/>
      <c r="V1" s="647"/>
      <c r="W1" s="648"/>
      <c r="Y1" s="9"/>
      <c r="Z1" s="9"/>
      <c r="AA1" s="9"/>
      <c r="AC1" s="653" t="s">
        <v>188</v>
      </c>
      <c r="AD1" s="653"/>
      <c r="AE1" s="653"/>
      <c r="AG1" s="649" t="s">
        <v>18</v>
      </c>
      <c r="AH1" s="649"/>
    </row>
    <row r="2" spans="1:248" s="12" customFormat="1" x14ac:dyDescent="0.2">
      <c r="A2" s="330" t="s">
        <v>19</v>
      </c>
      <c r="B2" s="331" t="s">
        <v>2</v>
      </c>
      <c r="C2" s="10"/>
      <c r="D2" s="334" t="s">
        <v>195</v>
      </c>
      <c r="E2" s="335" t="s">
        <v>196</v>
      </c>
      <c r="F2" s="331" t="s">
        <v>197</v>
      </c>
      <c r="G2" s="334" t="s">
        <v>192</v>
      </c>
      <c r="H2" s="335" t="s">
        <v>193</v>
      </c>
      <c r="I2" s="331" t="s">
        <v>194</v>
      </c>
      <c r="J2" s="334" t="s">
        <v>189</v>
      </c>
      <c r="K2" s="335" t="s">
        <v>190</v>
      </c>
      <c r="L2" s="331" t="s">
        <v>191</v>
      </c>
      <c r="M2" s="330" t="s">
        <v>20</v>
      </c>
      <c r="N2" s="331" t="s">
        <v>21</v>
      </c>
      <c r="O2" s="10"/>
      <c r="P2" s="330" t="s">
        <v>26</v>
      </c>
      <c r="Q2" s="331" t="s">
        <v>25</v>
      </c>
      <c r="R2" s="330" t="s">
        <v>22</v>
      </c>
      <c r="S2" s="335" t="s">
        <v>39</v>
      </c>
      <c r="T2" s="331" t="s">
        <v>27</v>
      </c>
      <c r="U2" s="338" t="s">
        <v>28</v>
      </c>
      <c r="V2" s="330" t="s">
        <v>24</v>
      </c>
      <c r="W2" s="331" t="s">
        <v>23</v>
      </c>
      <c r="X2" s="11"/>
      <c r="Y2" s="650" t="s">
        <v>187</v>
      </c>
      <c r="Z2" s="651"/>
      <c r="AA2" s="652"/>
      <c r="AC2" s="330" t="s">
        <v>11</v>
      </c>
      <c r="AD2" s="335" t="s">
        <v>3</v>
      </c>
      <c r="AE2" s="331" t="s">
        <v>29</v>
      </c>
      <c r="AG2" s="345" t="s">
        <v>31</v>
      </c>
      <c r="AH2" s="346" t="s">
        <v>30</v>
      </c>
      <c r="IF2"/>
      <c r="IG2"/>
      <c r="IH2"/>
      <c r="II2"/>
      <c r="IJ2"/>
      <c r="IK2"/>
      <c r="IL2"/>
      <c r="IM2"/>
      <c r="IN2"/>
    </row>
    <row r="3" spans="1:248" s="12" customFormat="1" x14ac:dyDescent="0.2">
      <c r="A3" s="332" t="s">
        <v>156</v>
      </c>
      <c r="B3" s="333" t="s">
        <v>156</v>
      </c>
      <c r="C3" s="10"/>
      <c r="D3" s="336" t="s">
        <v>7</v>
      </c>
      <c r="E3" s="337" t="s">
        <v>7</v>
      </c>
      <c r="F3" s="333" t="s">
        <v>7</v>
      </c>
      <c r="G3" s="336" t="s">
        <v>157</v>
      </c>
      <c r="H3" s="337" t="s">
        <v>157</v>
      </c>
      <c r="I3" s="333" t="s">
        <v>157</v>
      </c>
      <c r="J3" s="336" t="s">
        <v>39</v>
      </c>
      <c r="K3" s="337" t="s">
        <v>39</v>
      </c>
      <c r="L3" s="333" t="s">
        <v>39</v>
      </c>
      <c r="M3" s="332" t="s">
        <v>246</v>
      </c>
      <c r="N3" s="333" t="s">
        <v>158</v>
      </c>
      <c r="O3" s="10"/>
      <c r="P3" s="336" t="s">
        <v>14</v>
      </c>
      <c r="Q3" s="339" t="s">
        <v>229</v>
      </c>
      <c r="R3" s="336" t="s">
        <v>247</v>
      </c>
      <c r="S3" s="340" t="s">
        <v>230</v>
      </c>
      <c r="T3" s="339" t="s">
        <v>229</v>
      </c>
      <c r="U3" s="341" t="s">
        <v>229</v>
      </c>
      <c r="V3" s="336" t="s">
        <v>8</v>
      </c>
      <c r="W3" s="339" t="s">
        <v>229</v>
      </c>
      <c r="X3" s="11"/>
      <c r="Y3" s="342"/>
      <c r="Z3" s="343"/>
      <c r="AA3" s="344"/>
      <c r="AC3" s="336" t="s">
        <v>156</v>
      </c>
      <c r="AD3" s="340" t="s">
        <v>39</v>
      </c>
      <c r="AE3" s="339" t="s">
        <v>39</v>
      </c>
      <c r="AG3" s="342" t="s">
        <v>7</v>
      </c>
      <c r="AH3" s="339" t="s">
        <v>7</v>
      </c>
      <c r="IF3"/>
      <c r="IG3"/>
      <c r="IH3"/>
      <c r="II3"/>
      <c r="IJ3"/>
      <c r="IK3"/>
      <c r="IL3"/>
      <c r="IM3"/>
      <c r="IN3"/>
    </row>
    <row r="4" spans="1:248" x14ac:dyDescent="0.2">
      <c r="A4" s="292" t="s">
        <v>14</v>
      </c>
      <c r="B4" s="349">
        <f>T_ini</f>
        <v>0</v>
      </c>
      <c r="D4" s="292" t="s">
        <v>14</v>
      </c>
      <c r="E4" s="293" t="s">
        <v>14</v>
      </c>
      <c r="F4" s="294" t="s">
        <v>14</v>
      </c>
      <c r="G4" s="292">
        <f>vit_xz*COS(Beta)</f>
        <v>0</v>
      </c>
      <c r="H4" s="293">
        <f>vit_xz*SIN(Beta)</f>
        <v>0</v>
      </c>
      <c r="I4" s="349">
        <f>V_ini</f>
        <v>0</v>
      </c>
      <c r="J4" s="350">
        <f>X_ini</f>
        <v>0</v>
      </c>
      <c r="K4" s="351">
        <f>Z_ini</f>
        <v>0</v>
      </c>
      <c r="L4" s="327">
        <f t="shared" ref="L4:L67" si="0">SQRT(pos_x^2+pos_z^2)</f>
        <v>0</v>
      </c>
      <c r="M4" s="292">
        <f>RADIANS(N4)</f>
        <v>1.4835298641951802</v>
      </c>
      <c r="N4" s="349">
        <f>Beta_rampe</f>
        <v>85</v>
      </c>
      <c r="P4" s="292" t="s">
        <v>14</v>
      </c>
      <c r="Q4" s="294" t="s">
        <v>14</v>
      </c>
      <c r="R4" s="292" t="s">
        <v>14</v>
      </c>
      <c r="S4" s="351">
        <f ca="1">m_tot</f>
        <v>2.1598999999999999</v>
      </c>
      <c r="T4" s="327">
        <f t="shared" ref="T4:T67" ca="1" si="1">m*g</f>
        <v>21.188618999999999</v>
      </c>
      <c r="U4" s="328">
        <f t="shared" ref="U4:U67" ca="1" si="2">IF(pos_xz&lt;L_rampe,Poids*COS(Beta),0)</f>
        <v>1.8467098267421413</v>
      </c>
      <c r="V4" s="329">
        <f t="shared" ref="V4:V67" si="3">Rho_moyen*(20000-Alt_rampe-pos_z)/(20000+Alt_rampe+pos_z)</f>
        <v>1.2250000000000001</v>
      </c>
      <c r="W4" s="327">
        <f t="shared" ref="W4:W67" si="4">1/2*Rho*Sref*Cx*vit_xz^2</f>
        <v>0</v>
      </c>
      <c r="Y4" s="295" t="s">
        <v>14</v>
      </c>
      <c r="Z4" s="296" t="s">
        <v>14</v>
      </c>
      <c r="AA4" s="297" t="s">
        <v>14</v>
      </c>
      <c r="AC4" s="320">
        <f>IF(ABS(t-ROUND(t,0))&lt;0.001,t,-1)</f>
        <v>0</v>
      </c>
      <c r="AD4" s="321">
        <f>IF(ABS(t-ROUND(t,0))&lt;0.001,pos_x,-1)</f>
        <v>0</v>
      </c>
      <c r="AE4" s="322">
        <f t="shared" ref="AE4:AE67" si="5">IF(t&lt;T_para, pos_z, NA())</f>
        <v>0</v>
      </c>
      <c r="AG4" s="292" t="s">
        <v>14</v>
      </c>
      <c r="AH4" s="294" t="s">
        <v>14</v>
      </c>
    </row>
    <row r="5" spans="1:248" x14ac:dyDescent="0.2">
      <c r="A5" s="347">
        <f t="shared" ref="A5:A68" ca="1" si="6">IF(B4+0.01&lt;=T_ini+ROUNDUP(Temps_fin_propu,0), 0.01, IF(K4&gt;0, 0.1, 0.0001))</f>
        <v>0.01</v>
      </c>
      <c r="B5" s="304">
        <f t="shared" ref="B5:B68" ca="1" si="7">B4+pas</f>
        <v>0.01</v>
      </c>
      <c r="D5" s="306">
        <f t="shared" ref="D5:D68" ca="1" si="8">IF(AND(L4&lt;L_rampe,Poussee&lt;Poids*SIN(M4)),0,(-W4+Poussee)/m*COS(M4)-U4/m*SIN(M4))</f>
        <v>1.6704965592040328</v>
      </c>
      <c r="E5" s="307">
        <f t="shared" ref="E5:E68" ca="1" si="9">IF(AND(L4&lt;L_rampe,Poussee&lt;Poids*SIN(M4)),0,(-W4+Poussee)/m*SIN(M4)+U4/m*COS(M4)-Poids/m)</f>
        <v>19.095369899851725</v>
      </c>
      <c r="F5" s="304">
        <f t="shared" ref="F5:F68" ca="1" si="10">SQRT(acc_x^2+acc_z^2)</f>
        <v>19.168299621157736</v>
      </c>
      <c r="G5" s="306">
        <f t="shared" ref="G5:G68" ca="1" si="11">G4+acc_x*pas</f>
        <v>1.6704965592040329E-2</v>
      </c>
      <c r="H5" s="307">
        <f t="shared" ref="H5:H68" ca="1" si="12">H4+acc_z*pas</f>
        <v>0.19095369899851725</v>
      </c>
      <c r="I5" s="304">
        <f t="shared" ref="I5:I68" ca="1" si="13">SQRT(vit_x^2+vit_z^2)</f>
        <v>0.19168299621157736</v>
      </c>
      <c r="J5" s="306">
        <f t="shared" ref="J5:J68" ca="1" si="14">J4+0.5*(vit_x+G4)*pas*(K4&gt;=0)</f>
        <v>8.3524827960201642E-5</v>
      </c>
      <c r="K5" s="307">
        <f t="shared" ref="K5:K68" ca="1" si="15">K4+0.5*(vit_z+H4)*pas</f>
        <v>9.5476849499258624E-4</v>
      </c>
      <c r="L5" s="304">
        <f t="shared" ca="1" si="0"/>
        <v>9.5841498105788672E-4</v>
      </c>
      <c r="M5" s="306">
        <f t="shared" ref="M5:M68" ca="1" si="16">IF(AND(L4&gt;L_rampe,G5&gt;0),ATAN2(G5,H5),$M$4)</f>
        <v>1.4835298641951802</v>
      </c>
      <c r="N5" s="304">
        <f t="shared" ref="N5:N68" ca="1" si="17">DEGREES(Beta)</f>
        <v>85</v>
      </c>
      <c r="P5" s="310">
        <f t="shared" ref="P5:P68" ca="1" si="18">MATCH(t-pas/2-T_ini,CdP_t)</f>
        <v>1</v>
      </c>
      <c r="Q5" s="304">
        <f t="shared" ref="Q5:Q68" ca="1" si="19">(INDEX(CdP,2,i_P+1)-INDEX(CdP,2,i_P+0))/(INDEX(CdP,1,i_P+1)-INDEX(CdP,1,i_P+0))*(t-pas/2-T_ini-INDEX(CdP,1,i_P+0))+INDEX(CdP,2,i_P+0)</f>
        <v>62.5</v>
      </c>
      <c r="R5" s="306">
        <f t="shared" ref="R5:R68" ca="1" si="20">Poussee/(g*ISP)</f>
        <v>3.317186183656276E-2</v>
      </c>
      <c r="S5" s="307">
        <f t="shared" ref="S5:S68" ca="1" si="21">S4-Débit*pas</f>
        <v>2.1595682813816341</v>
      </c>
      <c r="T5" s="304">
        <f t="shared" ca="1" si="1"/>
        <v>21.185364840353831</v>
      </c>
      <c r="U5" s="311">
        <f t="shared" ca="1" si="2"/>
        <v>1.8464262080411602</v>
      </c>
      <c r="V5" s="306">
        <f t="shared" ca="1" si="3"/>
        <v>1.2249998830408648</v>
      </c>
      <c r="W5" s="304">
        <f t="shared" ca="1" si="4"/>
        <v>9.8594478929885684E-5</v>
      </c>
      <c r="Y5" s="314" t="str">
        <f t="shared" ref="Y5:Y68" ca="1" si="22">IF(AND(pos_z&lt;=0,K4&gt;0),"Impact balistique","") &amp; IF(AND(H6&lt;0,vit_z&gt;=0),"Apogée","") &amp; IF(AND(Poussee=0,Q4&gt;0),"Fin de propulsion","") &amp; IF(AND(L6&gt;L_rampe,pos_xz&lt;=L_rampe),"Sortie de rampe","")</f>
        <v/>
      </c>
      <c r="Z5" s="315" t="str">
        <f t="shared" ref="Z5:Z68" ca="1" si="23">IF(ABS(t-T_para)&lt;pas/2,"Para","")</f>
        <v/>
      </c>
      <c r="AA5" s="316" t="str">
        <f t="shared" ref="AA5:AA68" ca="1" si="24">IF(ABS(t-T_satellite)&lt;pas/2,"Satellite","")</f>
        <v/>
      </c>
      <c r="AC5" s="310" t="e">
        <f t="shared" ref="AC5:AC68" ca="1" si="25">IF(ABS(t-ROUND(t,0))&lt;0.001,t,NA())</f>
        <v>#N/A</v>
      </c>
      <c r="AD5" s="323" t="e">
        <f t="shared" ref="AD5:AD68" ca="1" si="26">IF(ABS(t-ROUND(t,0))&lt;0.001,pos_x,NA())</f>
        <v>#N/A</v>
      </c>
      <c r="AE5" s="324">
        <f t="shared" ca="1" si="5"/>
        <v>9.5476849499258624E-4</v>
      </c>
      <c r="AG5" s="306">
        <f t="shared" ref="AG5:AG68" ca="1" si="27">IF(AND(L4&lt;L_rampe,Poussee&lt;Poids*SIN(M4)),0,(-W4+Poussee)/m-Poids*SIN(M4)/m)</f>
        <v>19.168299620707828</v>
      </c>
      <c r="AH5" s="304">
        <f t="shared" ref="AH5:AH68" ca="1" si="28">IF(AND(L4&lt;L_rampe,Poussee&lt;Poids*SIN(M4)), g*SIN(M4), (-W4+Poussee)/m)</f>
        <v>28.940969608987853</v>
      </c>
    </row>
    <row r="6" spans="1:248" x14ac:dyDescent="0.2">
      <c r="A6" s="347">
        <f t="shared" ca="1" si="6"/>
        <v>0.01</v>
      </c>
      <c r="B6" s="304">
        <f t="shared" ca="1" si="7"/>
        <v>0.02</v>
      </c>
      <c r="D6" s="306">
        <f t="shared" ca="1" si="8"/>
        <v>6.7184627667895596</v>
      </c>
      <c r="E6" s="307">
        <f t="shared" ca="1" si="9"/>
        <v>76.796903472354643</v>
      </c>
      <c r="F6" s="304">
        <f t="shared" ca="1" si="10"/>
        <v>77.090220682593028</v>
      </c>
      <c r="G6" s="306">
        <f t="shared" ca="1" si="11"/>
        <v>8.3889593259935918E-2</v>
      </c>
      <c r="H6" s="307">
        <f t="shared" ca="1" si="12"/>
        <v>0.95892273372206371</v>
      </c>
      <c r="I6" s="304">
        <f t="shared" ca="1" si="13"/>
        <v>0.96258520303727579</v>
      </c>
      <c r="J6" s="306">
        <f t="shared" ca="1" si="14"/>
        <v>5.8649762222008292E-4</v>
      </c>
      <c r="K6" s="307">
        <f t="shared" ca="1" si="15"/>
        <v>6.7041506585954914E-3</v>
      </c>
      <c r="L6" s="304">
        <f t="shared" ca="1" si="0"/>
        <v>6.7297559773008241E-3</v>
      </c>
      <c r="M6" s="306">
        <f t="shared" ca="1" si="16"/>
        <v>1.4835298641951802</v>
      </c>
      <c r="N6" s="304">
        <f t="shared" ca="1" si="17"/>
        <v>85</v>
      </c>
      <c r="P6" s="310">
        <f t="shared" ca="1" si="18"/>
        <v>1</v>
      </c>
      <c r="Q6" s="304">
        <f t="shared" ca="1" si="19"/>
        <v>187.5</v>
      </c>
      <c r="R6" s="306">
        <f t="shared" ca="1" si="20"/>
        <v>9.9515585509688281E-2</v>
      </c>
      <c r="S6" s="307">
        <f t="shared" ca="1" si="21"/>
        <v>2.1585731255265372</v>
      </c>
      <c r="T6" s="304">
        <f t="shared" ca="1" si="1"/>
        <v>21.175602361415333</v>
      </c>
      <c r="U6" s="311">
        <f t="shared" ca="1" si="2"/>
        <v>1.845575351938217</v>
      </c>
      <c r="V6" s="306">
        <f t="shared" ca="1" si="3"/>
        <v>1.2249991787418197</v>
      </c>
      <c r="W6" s="304">
        <f t="shared" ca="1" si="4"/>
        <v>2.4863572537117727E-3</v>
      </c>
      <c r="Y6" s="314" t="str">
        <f t="shared" ca="1" si="22"/>
        <v/>
      </c>
      <c r="Z6" s="315" t="str">
        <f t="shared" ca="1" si="23"/>
        <v/>
      </c>
      <c r="AA6" s="316" t="str">
        <f t="shared" ca="1" si="24"/>
        <v/>
      </c>
      <c r="AC6" s="310" t="e">
        <f t="shared" ca="1" si="25"/>
        <v>#N/A</v>
      </c>
      <c r="AD6" s="323" t="e">
        <f t="shared" ca="1" si="26"/>
        <v>#N/A</v>
      </c>
      <c r="AE6" s="324">
        <f t="shared" ca="1" si="5"/>
        <v>6.7041506585954914E-3</v>
      </c>
      <c r="AG6" s="306">
        <f t="shared" ca="1" si="27"/>
        <v>77.090220681585279</v>
      </c>
      <c r="AH6" s="304">
        <f t="shared" ca="1" si="28"/>
        <v>86.862890669865308</v>
      </c>
    </row>
    <row r="7" spans="1:248" x14ac:dyDescent="0.2">
      <c r="A7" s="347">
        <f t="shared" ca="1" si="6"/>
        <v>0.01</v>
      </c>
      <c r="B7" s="304">
        <f t="shared" ca="1" si="7"/>
        <v>0.03</v>
      </c>
      <c r="D7" s="306">
        <f t="shared" ca="1" si="8"/>
        <v>8.8437468775772459</v>
      </c>
      <c r="E7" s="307">
        <f t="shared" ca="1" si="9"/>
        <v>101.09028177812073</v>
      </c>
      <c r="F7" s="304">
        <f t="shared" ca="1" si="10"/>
        <v>101.47638606500777</v>
      </c>
      <c r="G7" s="306">
        <f t="shared" ca="1" si="11"/>
        <v>0.17232706203570838</v>
      </c>
      <c r="H7" s="307">
        <f t="shared" ca="1" si="12"/>
        <v>1.9698255515032712</v>
      </c>
      <c r="I7" s="304">
        <f t="shared" ca="1" si="13"/>
        <v>1.9773490636872959</v>
      </c>
      <c r="J7" s="306">
        <f t="shared" ca="1" si="14"/>
        <v>1.8675808986983043E-3</v>
      </c>
      <c r="K7" s="307">
        <f t="shared" ca="1" si="15"/>
        <v>2.1347892084722167E-2</v>
      </c>
      <c r="L7" s="304">
        <f t="shared" ca="1" si="0"/>
        <v>2.1429427310922851E-2</v>
      </c>
      <c r="M7" s="306">
        <f t="shared" ca="1" si="16"/>
        <v>1.4835298641951802</v>
      </c>
      <c r="N7" s="304">
        <f t="shared" ca="1" si="17"/>
        <v>85</v>
      </c>
      <c r="P7" s="310">
        <f t="shared" ca="1" si="18"/>
        <v>2</v>
      </c>
      <c r="Q7" s="304">
        <f t="shared" ca="1" si="19"/>
        <v>240</v>
      </c>
      <c r="R7" s="306">
        <f t="shared" ca="1" si="20"/>
        <v>0.127379949452401</v>
      </c>
      <c r="S7" s="307">
        <f t="shared" ca="1" si="21"/>
        <v>2.157299326032013</v>
      </c>
      <c r="T7" s="304">
        <f t="shared" ca="1" si="1"/>
        <v>21.16310638837405</v>
      </c>
      <c r="U7" s="311">
        <f t="shared" ca="1" si="2"/>
        <v>1.8444862561264492</v>
      </c>
      <c r="V7" s="306">
        <f t="shared" ca="1" si="3"/>
        <v>1.224997384886011</v>
      </c>
      <c r="W7" s="304">
        <f t="shared" ca="1" si="4"/>
        <v>1.0491829324408543E-2</v>
      </c>
      <c r="Y7" s="314" t="str">
        <f t="shared" ca="1" si="22"/>
        <v/>
      </c>
      <c r="Z7" s="315" t="str">
        <f t="shared" ca="1" si="23"/>
        <v/>
      </c>
      <c r="AA7" s="316" t="str">
        <f t="shared" ca="1" si="24"/>
        <v/>
      </c>
      <c r="AC7" s="310" t="e">
        <f t="shared" ca="1" si="25"/>
        <v>#N/A</v>
      </c>
      <c r="AD7" s="323" t="e">
        <f t="shared" ca="1" si="26"/>
        <v>#N/A</v>
      </c>
      <c r="AE7" s="324">
        <f t="shared" ca="1" si="5"/>
        <v>2.1347892084722167E-2</v>
      </c>
      <c r="AG7" s="306">
        <f t="shared" ca="1" si="27"/>
        <v>101.47638606375199</v>
      </c>
      <c r="AH7" s="304">
        <f t="shared" ca="1" si="28"/>
        <v>111.24905605203202</v>
      </c>
    </row>
    <row r="8" spans="1:248" x14ac:dyDescent="0.2">
      <c r="A8" s="347">
        <f t="shared" ca="1" si="6"/>
        <v>0.01</v>
      </c>
      <c r="B8" s="304">
        <f t="shared" ca="1" si="7"/>
        <v>0.04</v>
      </c>
      <c r="D8" s="306">
        <f t="shared" ca="1" si="8"/>
        <v>8.0402703328533143</v>
      </c>
      <c r="E8" s="307">
        <f t="shared" ca="1" si="9"/>
        <v>91.90602302209841</v>
      </c>
      <c r="F8" s="304">
        <f t="shared" ca="1" si="10"/>
        <v>92.257048591226038</v>
      </c>
      <c r="G8" s="306">
        <f t="shared" ca="1" si="11"/>
        <v>0.25272976536424152</v>
      </c>
      <c r="H8" s="307">
        <f t="shared" ca="1" si="12"/>
        <v>2.8888857817242553</v>
      </c>
      <c r="I8" s="304">
        <f t="shared" ca="1" si="13"/>
        <v>2.8999195495995447</v>
      </c>
      <c r="J8" s="306">
        <f t="shared" ca="1" si="14"/>
        <v>3.9928650356980538E-3</v>
      </c>
      <c r="K8" s="307">
        <f t="shared" ca="1" si="15"/>
        <v>4.5641448750859806E-2</v>
      </c>
      <c r="L8" s="304">
        <f t="shared" ca="1" si="0"/>
        <v>4.5815770377356548E-2</v>
      </c>
      <c r="M8" s="306">
        <f t="shared" ca="1" si="16"/>
        <v>1.4835298641951802</v>
      </c>
      <c r="N8" s="304">
        <f t="shared" ca="1" si="17"/>
        <v>85</v>
      </c>
      <c r="P8" s="310">
        <f t="shared" ca="1" si="18"/>
        <v>2</v>
      </c>
      <c r="Q8" s="304">
        <f t="shared" ca="1" si="19"/>
        <v>220</v>
      </c>
      <c r="R8" s="306">
        <f t="shared" ca="1" si="20"/>
        <v>0.11676495366470091</v>
      </c>
      <c r="S8" s="307">
        <f t="shared" ca="1" si="21"/>
        <v>2.1561316764953662</v>
      </c>
      <c r="T8" s="304">
        <f t="shared" ca="1" si="1"/>
        <v>21.151651746419542</v>
      </c>
      <c r="U8" s="311">
        <f t="shared" ca="1" si="2"/>
        <v>1.8434879182989956</v>
      </c>
      <c r="V8" s="306">
        <f t="shared" ca="1" si="3"/>
        <v>1.2249944089352871</v>
      </c>
      <c r="W8" s="304">
        <f t="shared" ca="1" si="4"/>
        <v>2.2566041181672811E-2</v>
      </c>
      <c r="Y8" s="314" t="str">
        <f t="shared" ca="1" si="22"/>
        <v/>
      </c>
      <c r="Z8" s="315" t="str">
        <f t="shared" ca="1" si="23"/>
        <v/>
      </c>
      <c r="AA8" s="316" t="str">
        <f t="shared" ca="1" si="24"/>
        <v/>
      </c>
      <c r="AC8" s="310" t="e">
        <f t="shared" ca="1" si="25"/>
        <v>#N/A</v>
      </c>
      <c r="AD8" s="323" t="e">
        <f t="shared" ca="1" si="26"/>
        <v>#N/A</v>
      </c>
      <c r="AE8" s="324">
        <f t="shared" ca="1" si="5"/>
        <v>4.5641448750859806E-2</v>
      </c>
      <c r="AG8" s="306">
        <f t="shared" ca="1" si="27"/>
        <v>92.257048590064116</v>
      </c>
      <c r="AH8" s="304">
        <f t="shared" ca="1" si="28"/>
        <v>102.02971857834414</v>
      </c>
    </row>
    <row r="9" spans="1:248" x14ac:dyDescent="0.2">
      <c r="A9" s="347">
        <f t="shared" ca="1" si="6"/>
        <v>0.01</v>
      </c>
      <c r="B9" s="304">
        <f t="shared" ca="1" si="7"/>
        <v>0.05</v>
      </c>
      <c r="D9" s="306">
        <f t="shared" ca="1" si="8"/>
        <v>7.6225296510573015</v>
      </c>
      <c r="E9" s="307">
        <f t="shared" ca="1" si="9"/>
        <v>87.130975902189363</v>
      </c>
      <c r="F9" s="304">
        <f t="shared" ca="1" si="10"/>
        <v>87.463763467787913</v>
      </c>
      <c r="G9" s="306">
        <f t="shared" ca="1" si="11"/>
        <v>0.32895506187481455</v>
      </c>
      <c r="H9" s="307">
        <f t="shared" ca="1" si="12"/>
        <v>3.7601955407461487</v>
      </c>
      <c r="I9" s="304">
        <f t="shared" ca="1" si="13"/>
        <v>3.7745571842774197</v>
      </c>
      <c r="J9" s="306">
        <f t="shared" ca="1" si="14"/>
        <v>6.9012891718933343E-3</v>
      </c>
      <c r="K9" s="307">
        <f t="shared" ca="1" si="15"/>
        <v>7.8886855363211827E-2</v>
      </c>
      <c r="L9" s="304">
        <f t="shared" ca="1" si="0"/>
        <v>7.918815404674108E-2</v>
      </c>
      <c r="M9" s="306">
        <f t="shared" ca="1" si="16"/>
        <v>1.4835298641951802</v>
      </c>
      <c r="N9" s="304">
        <f t="shared" ca="1" si="17"/>
        <v>85</v>
      </c>
      <c r="P9" s="310">
        <f t="shared" ca="1" si="18"/>
        <v>3</v>
      </c>
      <c r="Q9" s="304">
        <f t="shared" ca="1" si="19"/>
        <v>209.56896551724137</v>
      </c>
      <c r="R9" s="306">
        <f t="shared" ca="1" si="20"/>
        <v>0.11122868430990905</v>
      </c>
      <c r="S9" s="307">
        <f t="shared" ca="1" si="21"/>
        <v>2.1550193896522671</v>
      </c>
      <c r="T9" s="304">
        <f t="shared" ca="1" si="1"/>
        <v>21.14074021248874</v>
      </c>
      <c r="U9" s="311">
        <f t="shared" ca="1" si="2"/>
        <v>1.8425369154547404</v>
      </c>
      <c r="V9" s="306">
        <f t="shared" ca="1" si="3"/>
        <v>1.2249903363983345</v>
      </c>
      <c r="W9" s="304">
        <f t="shared" ca="1" si="4"/>
        <v>3.8230858598605602E-2</v>
      </c>
      <c r="Y9" s="314" t="str">
        <f t="shared" ca="1" si="22"/>
        <v/>
      </c>
      <c r="Z9" s="315" t="str">
        <f t="shared" ca="1" si="23"/>
        <v/>
      </c>
      <c r="AA9" s="316" t="str">
        <f t="shared" ca="1" si="24"/>
        <v/>
      </c>
      <c r="AC9" s="310" t="e">
        <f t="shared" ca="1" si="25"/>
        <v>#N/A</v>
      </c>
      <c r="AD9" s="323" t="e">
        <f t="shared" ca="1" si="26"/>
        <v>#N/A</v>
      </c>
      <c r="AE9" s="324">
        <f t="shared" ca="1" si="5"/>
        <v>7.8886855363211827E-2</v>
      </c>
      <c r="AG9" s="306">
        <f t="shared" ca="1" si="27"/>
        <v>87.463763466674635</v>
      </c>
      <c r="AH9" s="304">
        <f t="shared" ca="1" si="28"/>
        <v>97.236433454954664</v>
      </c>
    </row>
    <row r="10" spans="1:248" x14ac:dyDescent="0.2">
      <c r="A10" s="347">
        <f t="shared" ca="1" si="6"/>
        <v>0.01</v>
      </c>
      <c r="B10" s="304">
        <f t="shared" ca="1" si="7"/>
        <v>6.0000000000000005E-2</v>
      </c>
      <c r="D10" s="306">
        <f t="shared" ca="1" si="8"/>
        <v>7.5913730380095519</v>
      </c>
      <c r="E10" s="307">
        <f t="shared" ca="1" si="9"/>
        <v>86.774835950618964</v>
      </c>
      <c r="F10" s="304">
        <f t="shared" ca="1" si="10"/>
        <v>87.106263258499681</v>
      </c>
      <c r="G10" s="306">
        <f t="shared" ca="1" si="11"/>
        <v>0.40486879225491007</v>
      </c>
      <c r="H10" s="307">
        <f t="shared" ca="1" si="12"/>
        <v>4.6279439002523386</v>
      </c>
      <c r="I10" s="304">
        <f t="shared" ca="1" si="13"/>
        <v>4.645619816862415</v>
      </c>
      <c r="J10" s="306">
        <f t="shared" ca="1" si="14"/>
        <v>1.0570408442541958E-2</v>
      </c>
      <c r="K10" s="307">
        <f t="shared" ca="1" si="15"/>
        <v>0.12082755256820427</v>
      </c>
      <c r="L10" s="304">
        <f t="shared" ca="1" si="0"/>
        <v>0.12128903905244005</v>
      </c>
      <c r="M10" s="306">
        <f t="shared" ca="1" si="16"/>
        <v>1.4835298641951802</v>
      </c>
      <c r="N10" s="304">
        <f t="shared" ca="1" si="17"/>
        <v>85</v>
      </c>
      <c r="P10" s="310">
        <f t="shared" ca="1" si="18"/>
        <v>3</v>
      </c>
      <c r="Q10" s="304">
        <f t="shared" ca="1" si="19"/>
        <v>208.70689655172413</v>
      </c>
      <c r="R10" s="306">
        <f t="shared" ca="1" si="20"/>
        <v>0.11077114138802543</v>
      </c>
      <c r="S10" s="307">
        <f t="shared" ca="1" si="21"/>
        <v>2.1539116782383867</v>
      </c>
      <c r="T10" s="304">
        <f t="shared" ca="1" si="1"/>
        <v>21.129873563518576</v>
      </c>
      <c r="U10" s="311">
        <f t="shared" ca="1" si="2"/>
        <v>1.8415898245925675</v>
      </c>
      <c r="V10" s="306">
        <f t="shared" ca="1" si="3"/>
        <v>1.2249851987142308</v>
      </c>
      <c r="W10" s="304">
        <f t="shared" ca="1" si="4"/>
        <v>5.7911863875918179E-2</v>
      </c>
      <c r="Y10" s="314" t="str">
        <f t="shared" ca="1" si="22"/>
        <v/>
      </c>
      <c r="Z10" s="315" t="str">
        <f t="shared" ca="1" si="23"/>
        <v/>
      </c>
      <c r="AA10" s="316" t="str">
        <f t="shared" ca="1" si="24"/>
        <v/>
      </c>
      <c r="AC10" s="310" t="e">
        <f t="shared" ca="1" si="25"/>
        <v>#N/A</v>
      </c>
      <c r="AD10" s="323" t="e">
        <f t="shared" ca="1" si="26"/>
        <v>#N/A</v>
      </c>
      <c r="AE10" s="324">
        <f t="shared" ca="1" si="5"/>
        <v>0.12082755256820427</v>
      </c>
      <c r="AG10" s="306">
        <f t="shared" ca="1" si="27"/>
        <v>87.106263257389884</v>
      </c>
      <c r="AH10" s="304">
        <f t="shared" ca="1" si="28"/>
        <v>96.878933245669913</v>
      </c>
    </row>
    <row r="11" spans="1:248" x14ac:dyDescent="0.2">
      <c r="A11" s="347">
        <f t="shared" ca="1" si="6"/>
        <v>0.01</v>
      </c>
      <c r="B11" s="304">
        <f t="shared" ca="1" si="7"/>
        <v>7.0000000000000007E-2</v>
      </c>
      <c r="D11" s="306">
        <f t="shared" ca="1" si="8"/>
        <v>7.5600038899268789</v>
      </c>
      <c r="E11" s="307">
        <f t="shared" ca="1" si="9"/>
        <v>86.416266683034337</v>
      </c>
      <c r="F11" s="304">
        <f t="shared" ca="1" si="10"/>
        <v>86.746324453829274</v>
      </c>
      <c r="G11" s="306">
        <f t="shared" ca="1" si="11"/>
        <v>0.48046883115417888</v>
      </c>
      <c r="H11" s="307">
        <f t="shared" ca="1" si="12"/>
        <v>5.4921065670826819</v>
      </c>
      <c r="I11" s="304">
        <f t="shared" ca="1" si="13"/>
        <v>5.5130830614007067</v>
      </c>
      <c r="J11" s="306">
        <f t="shared" ca="1" si="14"/>
        <v>1.4997096559587402E-2</v>
      </c>
      <c r="K11" s="307">
        <f t="shared" ca="1" si="15"/>
        <v>0.17142780490487936</v>
      </c>
      <c r="L11" s="304">
        <f t="shared" ca="1" si="0"/>
        <v>0.1720825534437555</v>
      </c>
      <c r="M11" s="306">
        <f t="shared" ca="1" si="16"/>
        <v>1.4835298641951802</v>
      </c>
      <c r="N11" s="304">
        <f t="shared" ca="1" si="17"/>
        <v>85</v>
      </c>
      <c r="P11" s="310">
        <f t="shared" ca="1" si="18"/>
        <v>3</v>
      </c>
      <c r="Q11" s="304">
        <f t="shared" ca="1" si="19"/>
        <v>207.84482758620689</v>
      </c>
      <c r="R11" s="306">
        <f t="shared" ca="1" si="20"/>
        <v>0.1103135984661418</v>
      </c>
      <c r="S11" s="307">
        <f t="shared" ca="1" si="21"/>
        <v>2.1528085422537253</v>
      </c>
      <c r="T11" s="304">
        <f t="shared" ca="1" si="1"/>
        <v>21.119051799509048</v>
      </c>
      <c r="U11" s="311">
        <f t="shared" ca="1" si="2"/>
        <v>1.8406466457124773</v>
      </c>
      <c r="V11" s="306">
        <f t="shared" ca="1" si="3"/>
        <v>1.2249790002738963</v>
      </c>
      <c r="W11" s="304">
        <f t="shared" ca="1" si="4"/>
        <v>8.15580973127224E-2</v>
      </c>
      <c r="Y11" s="314" t="str">
        <f t="shared" ca="1" si="22"/>
        <v/>
      </c>
      <c r="Z11" s="315" t="str">
        <f t="shared" ca="1" si="23"/>
        <v/>
      </c>
      <c r="AA11" s="316" t="str">
        <f t="shared" ca="1" si="24"/>
        <v/>
      </c>
      <c r="AC11" s="310" t="e">
        <f t="shared" ca="1" si="25"/>
        <v>#N/A</v>
      </c>
      <c r="AD11" s="323" t="e">
        <f t="shared" ca="1" si="26"/>
        <v>#N/A</v>
      </c>
      <c r="AE11" s="324">
        <f t="shared" ca="1" si="5"/>
        <v>0.17142780490487936</v>
      </c>
      <c r="AG11" s="306">
        <f t="shared" ca="1" si="27"/>
        <v>86.746324452722916</v>
      </c>
      <c r="AH11" s="304">
        <f t="shared" ca="1" si="28"/>
        <v>96.518994441002945</v>
      </c>
    </row>
    <row r="12" spans="1:248" x14ac:dyDescent="0.2">
      <c r="A12" s="347">
        <f t="shared" ca="1" si="6"/>
        <v>0.01</v>
      </c>
      <c r="B12" s="304">
        <f t="shared" ca="1" si="7"/>
        <v>0.08</v>
      </c>
      <c r="D12" s="306">
        <f t="shared" ca="1" si="8"/>
        <v>7.5284241441741848</v>
      </c>
      <c r="E12" s="307">
        <f t="shared" ca="1" si="9"/>
        <v>86.05529024368883</v>
      </c>
      <c r="F12" s="304">
        <f t="shared" ca="1" si="10"/>
        <v>86.38396928261696</v>
      </c>
      <c r="G12" s="306">
        <f t="shared" ca="1" si="11"/>
        <v>0.55575307259592077</v>
      </c>
      <c r="H12" s="307">
        <f t="shared" ca="1" si="12"/>
        <v>6.3526594695195699</v>
      </c>
      <c r="I12" s="304">
        <f t="shared" ca="1" si="13"/>
        <v>6.3769227542268752</v>
      </c>
      <c r="J12" s="306">
        <f t="shared" ca="1" si="14"/>
        <v>2.0178206078337903E-2</v>
      </c>
      <c r="K12" s="307">
        <f t="shared" ca="1" si="15"/>
        <v>0.23065163508789061</v>
      </c>
      <c r="L12" s="304">
        <f t="shared" ca="1" si="0"/>
        <v>0.23153258252189327</v>
      </c>
      <c r="M12" s="306">
        <f t="shared" ca="1" si="16"/>
        <v>1.4835298641951802</v>
      </c>
      <c r="N12" s="304">
        <f t="shared" ca="1" si="17"/>
        <v>85</v>
      </c>
      <c r="P12" s="310">
        <f t="shared" ca="1" si="18"/>
        <v>3</v>
      </c>
      <c r="Q12" s="304">
        <f t="shared" ca="1" si="19"/>
        <v>206.98275862068965</v>
      </c>
      <c r="R12" s="306">
        <f t="shared" ca="1" si="20"/>
        <v>0.10985605554425819</v>
      </c>
      <c r="S12" s="307">
        <f t="shared" ca="1" si="21"/>
        <v>2.1517099816982825</v>
      </c>
      <c r="T12" s="304">
        <f t="shared" ca="1" si="1"/>
        <v>21.108274920460154</v>
      </c>
      <c r="U12" s="311">
        <f t="shared" ca="1" si="2"/>
        <v>1.8397073788144693</v>
      </c>
      <c r="V12" s="306">
        <f t="shared" ca="1" si="3"/>
        <v>1.2249717455005491</v>
      </c>
      <c r="W12" s="304">
        <f t="shared" ca="1" si="4"/>
        <v>0.10911834100840219</v>
      </c>
      <c r="Y12" s="314" t="str">
        <f t="shared" ca="1" si="22"/>
        <v/>
      </c>
      <c r="Z12" s="315" t="str">
        <f t="shared" ca="1" si="23"/>
        <v/>
      </c>
      <c r="AA12" s="316" t="str">
        <f t="shared" ca="1" si="24"/>
        <v/>
      </c>
      <c r="AC12" s="310" t="e">
        <f t="shared" ca="1" si="25"/>
        <v>#N/A</v>
      </c>
      <c r="AD12" s="323" t="e">
        <f t="shared" ca="1" si="26"/>
        <v>#N/A</v>
      </c>
      <c r="AE12" s="324">
        <f t="shared" ca="1" si="5"/>
        <v>0.23065163508789061</v>
      </c>
      <c r="AG12" s="306">
        <f t="shared" ca="1" si="27"/>
        <v>86.383969281514027</v>
      </c>
      <c r="AH12" s="304">
        <f t="shared" ca="1" si="28"/>
        <v>96.156639269794056</v>
      </c>
    </row>
    <row r="13" spans="1:248" x14ac:dyDescent="0.2">
      <c r="A13" s="347">
        <f t="shared" ca="1" si="6"/>
        <v>0.01</v>
      </c>
      <c r="B13" s="304">
        <f t="shared" ca="1" si="7"/>
        <v>0.09</v>
      </c>
      <c r="D13" s="306">
        <f t="shared" ca="1" si="8"/>
        <v>7.4966357552351965</v>
      </c>
      <c r="E13" s="307">
        <f t="shared" ca="1" si="9"/>
        <v>85.69192897250538</v>
      </c>
      <c r="F13" s="304">
        <f t="shared" ca="1" si="10"/>
        <v>86.019220170119993</v>
      </c>
      <c r="G13" s="306">
        <f t="shared" ca="1" si="11"/>
        <v>0.6307194301482727</v>
      </c>
      <c r="H13" s="307">
        <f t="shared" ca="1" si="12"/>
        <v>7.2095787592446241</v>
      </c>
      <c r="I13" s="304">
        <f t="shared" ca="1" si="13"/>
        <v>7.2371149559280745</v>
      </c>
      <c r="J13" s="306">
        <f t="shared" ca="1" si="14"/>
        <v>2.6110568592058871E-2</v>
      </c>
      <c r="K13" s="307">
        <f t="shared" ca="1" si="15"/>
        <v>0.29846282623171161</v>
      </c>
      <c r="L13" s="304">
        <f t="shared" ca="1" si="0"/>
        <v>0.29960277107266797</v>
      </c>
      <c r="M13" s="306">
        <f t="shared" ca="1" si="16"/>
        <v>1.4835298641951802</v>
      </c>
      <c r="N13" s="304">
        <f t="shared" ca="1" si="17"/>
        <v>85</v>
      </c>
      <c r="P13" s="310">
        <f t="shared" ca="1" si="18"/>
        <v>3</v>
      </c>
      <c r="Q13" s="304">
        <f t="shared" ca="1" si="19"/>
        <v>206.12068965517241</v>
      </c>
      <c r="R13" s="306">
        <f t="shared" ca="1" si="20"/>
        <v>0.10939851262237456</v>
      </c>
      <c r="S13" s="307">
        <f t="shared" ca="1" si="21"/>
        <v>2.1506159965720588</v>
      </c>
      <c r="T13" s="304">
        <f t="shared" ca="1" si="1"/>
        <v>21.097542926371897</v>
      </c>
      <c r="U13" s="311">
        <f t="shared" ca="1" si="2"/>
        <v>1.8387720238985437</v>
      </c>
      <c r="V13" s="306">
        <f t="shared" ca="1" si="3"/>
        <v>1.224963438849394</v>
      </c>
      <c r="W13" s="304">
        <f t="shared" ca="1" si="4"/>
        <v>0.14054112938911698</v>
      </c>
      <c r="Y13" s="314" t="str">
        <f t="shared" ca="1" si="22"/>
        <v/>
      </c>
      <c r="Z13" s="315" t="str">
        <f t="shared" ca="1" si="23"/>
        <v/>
      </c>
      <c r="AA13" s="316" t="str">
        <f t="shared" ca="1" si="24"/>
        <v/>
      </c>
      <c r="AC13" s="310" t="e">
        <f t="shared" ca="1" si="25"/>
        <v>#N/A</v>
      </c>
      <c r="AD13" s="323" t="e">
        <f t="shared" ca="1" si="26"/>
        <v>#N/A</v>
      </c>
      <c r="AE13" s="324">
        <f t="shared" ca="1" si="5"/>
        <v>0.29846282623171161</v>
      </c>
      <c r="AG13" s="306">
        <f t="shared" ca="1" si="27"/>
        <v>86.019220169020471</v>
      </c>
      <c r="AH13" s="304">
        <f t="shared" ca="1" si="28"/>
        <v>95.7918901573005</v>
      </c>
    </row>
    <row r="14" spans="1:248" x14ac:dyDescent="0.2">
      <c r="A14" s="347">
        <f t="shared" ca="1" si="6"/>
        <v>0.01</v>
      </c>
      <c r="B14" s="304">
        <f t="shared" ca="1" si="7"/>
        <v>9.9999999999999992E-2</v>
      </c>
      <c r="D14" s="306">
        <f t="shared" ca="1" si="8"/>
        <v>7.4646406942877919</v>
      </c>
      <c r="E14" s="307">
        <f t="shared" ca="1" si="9"/>
        <v>85.32620540022252</v>
      </c>
      <c r="F14" s="304">
        <f t="shared" ca="1" si="10"/>
        <v>85.652099733140105</v>
      </c>
      <c r="G14" s="306">
        <f t="shared" ca="1" si="11"/>
        <v>0.70536583709115064</v>
      </c>
      <c r="H14" s="307">
        <f t="shared" ca="1" si="12"/>
        <v>8.062840813246849</v>
      </c>
      <c r="I14" s="304">
        <f t="shared" ca="1" si="13"/>
        <v>8.0936359532594739</v>
      </c>
      <c r="J14" s="306">
        <f t="shared" ca="1" si="14"/>
        <v>3.279099492825599E-2</v>
      </c>
      <c r="K14" s="307">
        <f t="shared" ca="1" si="15"/>
        <v>0.37482492409416895</v>
      </c>
      <c r="L14" s="304">
        <f t="shared" ca="1" si="0"/>
        <v>0.37625652561860562</v>
      </c>
      <c r="M14" s="306">
        <f t="shared" ca="1" si="16"/>
        <v>1.4835298641951802</v>
      </c>
      <c r="N14" s="304">
        <f t="shared" ca="1" si="17"/>
        <v>85</v>
      </c>
      <c r="P14" s="310">
        <f t="shared" ca="1" si="18"/>
        <v>3</v>
      </c>
      <c r="Q14" s="304">
        <f t="shared" ca="1" si="19"/>
        <v>205.25862068965517</v>
      </c>
      <c r="R14" s="306">
        <f t="shared" ca="1" si="20"/>
        <v>0.10894096970049094</v>
      </c>
      <c r="S14" s="307">
        <f t="shared" ca="1" si="21"/>
        <v>2.1495265868750537</v>
      </c>
      <c r="T14" s="304">
        <f t="shared" ca="1" si="1"/>
        <v>21.086855817244277</v>
      </c>
      <c r="U14" s="311">
        <f t="shared" ca="1" si="2"/>
        <v>1.8378405809647007</v>
      </c>
      <c r="V14" s="306">
        <f t="shared" ca="1" si="3"/>
        <v>1.2249540848073066</v>
      </c>
      <c r="W14" s="304">
        <f t="shared" ca="1" si="4"/>
        <v>0.17577475975298479</v>
      </c>
      <c r="Y14" s="314" t="str">
        <f t="shared" ca="1" si="22"/>
        <v/>
      </c>
      <c r="Z14" s="315" t="str">
        <f t="shared" ca="1" si="23"/>
        <v/>
      </c>
      <c r="AA14" s="316" t="str">
        <f t="shared" ca="1" si="24"/>
        <v/>
      </c>
      <c r="AC14" s="310" t="e">
        <f t="shared" ca="1" si="25"/>
        <v>#N/A</v>
      </c>
      <c r="AD14" s="323" t="e">
        <f t="shared" ca="1" si="26"/>
        <v>#N/A</v>
      </c>
      <c r="AE14" s="324">
        <f t="shared" ca="1" si="5"/>
        <v>0.37482492409416895</v>
      </c>
      <c r="AG14" s="306">
        <f t="shared" ca="1" si="27"/>
        <v>85.652099732043993</v>
      </c>
      <c r="AH14" s="304">
        <f t="shared" ca="1" si="28"/>
        <v>95.424769720324022</v>
      </c>
    </row>
    <row r="15" spans="1:248" x14ac:dyDescent="0.2">
      <c r="A15" s="347">
        <f t="shared" ca="1" si="6"/>
        <v>0.01</v>
      </c>
      <c r="B15" s="304">
        <f t="shared" ca="1" si="7"/>
        <v>0.10999999999999999</v>
      </c>
      <c r="D15" s="306">
        <f t="shared" ca="1" si="8"/>
        <v>7.432440948776736</v>
      </c>
      <c r="E15" s="307">
        <f t="shared" ca="1" si="9"/>
        <v>84.958142243510679</v>
      </c>
      <c r="F15" s="304">
        <f t="shared" ca="1" si="10"/>
        <v>85.282630775121191</v>
      </c>
      <c r="G15" s="306">
        <f t="shared" ca="1" si="11"/>
        <v>0.77969024657891794</v>
      </c>
      <c r="H15" s="307">
        <f t="shared" ca="1" si="12"/>
        <v>8.9124222356819551</v>
      </c>
      <c r="I15" s="304">
        <f t="shared" ca="1" si="13"/>
        <v>8.9464622610106854</v>
      </c>
      <c r="J15" s="306">
        <f t="shared" ca="1" si="14"/>
        <v>4.0216275346606337E-2</v>
      </c>
      <c r="K15" s="307">
        <f t="shared" ca="1" si="15"/>
        <v>0.45970123933881296</v>
      </c>
      <c r="L15" s="304">
        <f t="shared" ca="1" si="0"/>
        <v>0.46145701668995637</v>
      </c>
      <c r="M15" s="306">
        <f t="shared" ca="1" si="16"/>
        <v>1.4835298641951802</v>
      </c>
      <c r="N15" s="304">
        <f t="shared" ca="1" si="17"/>
        <v>85</v>
      </c>
      <c r="P15" s="310">
        <f t="shared" ca="1" si="18"/>
        <v>3</v>
      </c>
      <c r="Q15" s="304">
        <f t="shared" ca="1" si="19"/>
        <v>204.39655172413794</v>
      </c>
      <c r="R15" s="306">
        <f t="shared" ca="1" si="20"/>
        <v>0.10848342677860731</v>
      </c>
      <c r="S15" s="307">
        <f t="shared" ca="1" si="21"/>
        <v>2.1484417526072677</v>
      </c>
      <c r="T15" s="304">
        <f t="shared" ca="1" si="1"/>
        <v>21.076213593077298</v>
      </c>
      <c r="U15" s="311">
        <f t="shared" ca="1" si="2"/>
        <v>1.8369130500129407</v>
      </c>
      <c r="V15" s="306">
        <f t="shared" ca="1" si="3"/>
        <v>1.2249436878925184</v>
      </c>
      <c r="W15" s="304">
        <f t="shared" ca="1" si="4"/>
        <v>0.21476730283027609</v>
      </c>
      <c r="Y15" s="314" t="str">
        <f t="shared" ca="1" si="22"/>
        <v/>
      </c>
      <c r="Z15" s="315" t="str">
        <f t="shared" ca="1" si="23"/>
        <v/>
      </c>
      <c r="AA15" s="316" t="str">
        <f t="shared" ca="1" si="24"/>
        <v/>
      </c>
      <c r="AC15" s="310" t="e">
        <f t="shared" ca="1" si="25"/>
        <v>#N/A</v>
      </c>
      <c r="AD15" s="323" t="e">
        <f t="shared" ca="1" si="26"/>
        <v>#N/A</v>
      </c>
      <c r="AE15" s="324">
        <f t="shared" ca="1" si="5"/>
        <v>0.45970123933881296</v>
      </c>
      <c r="AG15" s="306">
        <f t="shared" ca="1" si="27"/>
        <v>85.282630774028434</v>
      </c>
      <c r="AH15" s="304">
        <f t="shared" ca="1" si="28"/>
        <v>95.055300762308462</v>
      </c>
    </row>
    <row r="16" spans="1:248" x14ac:dyDescent="0.2">
      <c r="A16" s="347">
        <f t="shared" ca="1" si="6"/>
        <v>0.01</v>
      </c>
      <c r="B16" s="304">
        <f t="shared" ca="1" si="7"/>
        <v>0.11999999999999998</v>
      </c>
      <c r="D16" s="306">
        <f t="shared" ca="1" si="8"/>
        <v>7.400038521984003</v>
      </c>
      <c r="E16" s="307">
        <f t="shared" ca="1" si="9"/>
        <v>84.587762400060853</v>
      </c>
      <c r="F16" s="304">
        <f t="shared" ca="1" si="10"/>
        <v>84.910836281219119</v>
      </c>
      <c r="G16" s="306">
        <f t="shared" ca="1" si="11"/>
        <v>0.85369063179875804</v>
      </c>
      <c r="H16" s="307">
        <f t="shared" ca="1" si="12"/>
        <v>9.7582998596825643</v>
      </c>
      <c r="I16" s="304">
        <f t="shared" ca="1" si="13"/>
        <v>9.7955706238228775</v>
      </c>
      <c r="J16" s="306">
        <f t="shared" ca="1" si="14"/>
        <v>4.8383179738494715E-2</v>
      </c>
      <c r="K16" s="307">
        <f t="shared" ca="1" si="15"/>
        <v>0.55305484981563557</v>
      </c>
      <c r="L16" s="304">
        <f t="shared" ca="1" si="0"/>
        <v>0.55516718111412411</v>
      </c>
      <c r="M16" s="306">
        <f t="shared" ca="1" si="16"/>
        <v>1.4835298641951802</v>
      </c>
      <c r="N16" s="304">
        <f t="shared" ca="1" si="17"/>
        <v>85</v>
      </c>
      <c r="P16" s="310">
        <f t="shared" ca="1" si="18"/>
        <v>3</v>
      </c>
      <c r="Q16" s="304">
        <f t="shared" ca="1" si="19"/>
        <v>203.5344827586207</v>
      </c>
      <c r="R16" s="306">
        <f t="shared" ca="1" si="20"/>
        <v>0.1080258838567237</v>
      </c>
      <c r="S16" s="307">
        <f t="shared" ca="1" si="21"/>
        <v>2.1473614937687002</v>
      </c>
      <c r="T16" s="304">
        <f t="shared" ca="1" si="1"/>
        <v>21.065616253870949</v>
      </c>
      <c r="U16" s="311">
        <f t="shared" ca="1" si="2"/>
        <v>1.8359894310432625</v>
      </c>
      <c r="V16" s="306">
        <f t="shared" ca="1" si="3"/>
        <v>1.2249322526542974</v>
      </c>
      <c r="W16" s="304">
        <f t="shared" ca="1" si="4"/>
        <v>0.25746661335496213</v>
      </c>
      <c r="Y16" s="314" t="str">
        <f t="shared" ca="1" si="22"/>
        <v/>
      </c>
      <c r="Z16" s="315" t="str">
        <f t="shared" ca="1" si="23"/>
        <v/>
      </c>
      <c r="AA16" s="316" t="str">
        <f t="shared" ca="1" si="24"/>
        <v/>
      </c>
      <c r="AC16" s="310" t="e">
        <f t="shared" ca="1" si="25"/>
        <v>#N/A</v>
      </c>
      <c r="AD16" s="323" t="e">
        <f t="shared" ca="1" si="26"/>
        <v>#N/A</v>
      </c>
      <c r="AE16" s="324">
        <f t="shared" ca="1" si="5"/>
        <v>0.55305484981563557</v>
      </c>
      <c r="AG16" s="306">
        <f t="shared" ca="1" si="27"/>
        <v>84.910836280129715</v>
      </c>
      <c r="AH16" s="304">
        <f t="shared" ca="1" si="28"/>
        <v>94.683506268409744</v>
      </c>
    </row>
    <row r="17" spans="1:34" x14ac:dyDescent="0.2">
      <c r="A17" s="347">
        <f t="shared" ca="1" si="6"/>
        <v>0.01</v>
      </c>
      <c r="B17" s="304">
        <f t="shared" ca="1" si="7"/>
        <v>0.12999999999999998</v>
      </c>
      <c r="D17" s="306">
        <f t="shared" ca="1" si="8"/>
        <v>7.3674354325967846</v>
      </c>
      <c r="E17" s="307">
        <f t="shared" ca="1" si="9"/>
        <v>84.215088943647032</v>
      </c>
      <c r="F17" s="304">
        <f t="shared" ca="1" si="10"/>
        <v>84.536739413345387</v>
      </c>
      <c r="G17" s="306">
        <f t="shared" ca="1" si="11"/>
        <v>0.92736498612472584</v>
      </c>
      <c r="H17" s="307">
        <f t="shared" ca="1" si="12"/>
        <v>10.600450749119034</v>
      </c>
      <c r="I17" s="304">
        <f t="shared" ca="1" si="13"/>
        <v>10.64093801795633</v>
      </c>
      <c r="J17" s="306">
        <f t="shared" ca="1" si="14"/>
        <v>5.7288457828112135E-2</v>
      </c>
      <c r="K17" s="307">
        <f t="shared" ca="1" si="15"/>
        <v>0.65484860285964364</v>
      </c>
      <c r="L17" s="304">
        <f t="shared" ca="1" si="0"/>
        <v>0.65734972432302019</v>
      </c>
      <c r="M17" s="306">
        <f t="shared" ca="1" si="16"/>
        <v>1.4835298641951802</v>
      </c>
      <c r="N17" s="304">
        <f t="shared" ca="1" si="17"/>
        <v>85</v>
      </c>
      <c r="P17" s="310">
        <f t="shared" ca="1" si="18"/>
        <v>3</v>
      </c>
      <c r="Q17" s="304">
        <f t="shared" ca="1" si="19"/>
        <v>202.67241379310346</v>
      </c>
      <c r="R17" s="306">
        <f t="shared" ca="1" si="20"/>
        <v>0.10756834093484008</v>
      </c>
      <c r="S17" s="307">
        <f t="shared" ca="1" si="21"/>
        <v>2.1462858103593518</v>
      </c>
      <c r="T17" s="304">
        <f t="shared" ca="1" si="1"/>
        <v>21.055063799625241</v>
      </c>
      <c r="U17" s="311">
        <f t="shared" ca="1" si="2"/>
        <v>1.835069724055667</v>
      </c>
      <c r="V17" s="306">
        <f t="shared" ca="1" si="3"/>
        <v>1.2249197836726275</v>
      </c>
      <c r="W17" s="304">
        <f t="shared" ca="1" si="4"/>
        <v>0.30382034064398072</v>
      </c>
      <c r="Y17" s="314" t="str">
        <f t="shared" ca="1" si="22"/>
        <v/>
      </c>
      <c r="Z17" s="315" t="str">
        <f t="shared" ca="1" si="23"/>
        <v/>
      </c>
      <c r="AA17" s="316" t="str">
        <f t="shared" ca="1" si="24"/>
        <v/>
      </c>
      <c r="AC17" s="310" t="e">
        <f t="shared" ca="1" si="25"/>
        <v>#N/A</v>
      </c>
      <c r="AD17" s="323" t="e">
        <f t="shared" ca="1" si="26"/>
        <v>#N/A</v>
      </c>
      <c r="AE17" s="324">
        <f t="shared" ca="1" si="5"/>
        <v>0.65484860285964364</v>
      </c>
      <c r="AG17" s="306">
        <f t="shared" ca="1" si="27"/>
        <v>84.536739412259337</v>
      </c>
      <c r="AH17" s="304">
        <f t="shared" ca="1" si="28"/>
        <v>94.309409400539366</v>
      </c>
    </row>
    <row r="18" spans="1:34" x14ac:dyDescent="0.2">
      <c r="A18" s="347">
        <f t="shared" ca="1" si="6"/>
        <v>0.01</v>
      </c>
      <c r="B18" s="304">
        <f t="shared" ca="1" si="7"/>
        <v>0.13999999999999999</v>
      </c>
      <c r="D18" s="306">
        <f t="shared" ca="1" si="8"/>
        <v>7.3346337142734246</v>
      </c>
      <c r="E18" s="307">
        <f t="shared" ca="1" si="9"/>
        <v>83.840145119164831</v>
      </c>
      <c r="F18" s="304">
        <f t="shared" ca="1" si="10"/>
        <v>84.16036350518678</v>
      </c>
      <c r="G18" s="306">
        <f t="shared" ca="1" si="11"/>
        <v>1.00071132326746</v>
      </c>
      <c r="H18" s="307">
        <f t="shared" ca="1" si="12"/>
        <v>11.438852200310683</v>
      </c>
      <c r="I18" s="304">
        <f t="shared" ca="1" si="13"/>
        <v>11.482541653008198</v>
      </c>
      <c r="J18" s="306">
        <f t="shared" ca="1" si="14"/>
        <v>6.692883937507306E-2</v>
      </c>
      <c r="K18" s="307">
        <f t="shared" ca="1" si="15"/>
        <v>0.76504511760679228</v>
      </c>
      <c r="L18" s="304">
        <f t="shared" ca="1" si="0"/>
        <v>0.76796712267784295</v>
      </c>
      <c r="M18" s="306">
        <f t="shared" ca="1" si="16"/>
        <v>1.4835298641951802</v>
      </c>
      <c r="N18" s="304">
        <f t="shared" ca="1" si="17"/>
        <v>85</v>
      </c>
      <c r="P18" s="310">
        <f t="shared" ca="1" si="18"/>
        <v>3</v>
      </c>
      <c r="Q18" s="304">
        <f t="shared" ca="1" si="19"/>
        <v>201.81034482758622</v>
      </c>
      <c r="R18" s="306">
        <f t="shared" ca="1" si="20"/>
        <v>0.10711079801295645</v>
      </c>
      <c r="S18" s="307">
        <f t="shared" ca="1" si="21"/>
        <v>2.1452147023792221</v>
      </c>
      <c r="T18" s="304">
        <f t="shared" ca="1" si="1"/>
        <v>21.04455623034017</v>
      </c>
      <c r="U18" s="311">
        <f t="shared" ca="1" si="2"/>
        <v>1.8341539290501541</v>
      </c>
      <c r="V18" s="306">
        <f t="shared" ca="1" si="3"/>
        <v>1.2249062855578823</v>
      </c>
      <c r="W18" s="304">
        <f t="shared" ca="1" si="4"/>
        <v>0.35377593918059896</v>
      </c>
      <c r="Y18" s="314" t="str">
        <f t="shared" ca="1" si="22"/>
        <v/>
      </c>
      <c r="Z18" s="315" t="str">
        <f t="shared" ca="1" si="23"/>
        <v/>
      </c>
      <c r="AA18" s="316" t="str">
        <f t="shared" ca="1" si="24"/>
        <v/>
      </c>
      <c r="AC18" s="310" t="e">
        <f t="shared" ca="1" si="25"/>
        <v>#N/A</v>
      </c>
      <c r="AD18" s="323" t="e">
        <f t="shared" ca="1" si="26"/>
        <v>#N/A</v>
      </c>
      <c r="AE18" s="324">
        <f t="shared" ca="1" si="5"/>
        <v>0.76504511760679228</v>
      </c>
      <c r="AG18" s="306">
        <f t="shared" ca="1" si="27"/>
        <v>84.160363504104055</v>
      </c>
      <c r="AH18" s="304">
        <f t="shared" ca="1" si="28"/>
        <v>93.933033492384084</v>
      </c>
    </row>
    <row r="19" spans="1:34" x14ac:dyDescent="0.2">
      <c r="A19" s="347">
        <f t="shared" ca="1" si="6"/>
        <v>0.01</v>
      </c>
      <c r="B19" s="304">
        <f t="shared" ca="1" si="7"/>
        <v>0.15</v>
      </c>
      <c r="D19" s="306">
        <f t="shared" ca="1" si="8"/>
        <v>7.3016354152073779</v>
      </c>
      <c r="E19" s="307">
        <f t="shared" ca="1" si="9"/>
        <v>83.462954337647403</v>
      </c>
      <c r="F19" s="304">
        <f t="shared" ca="1" si="10"/>
        <v>83.78173205720222</v>
      </c>
      <c r="G19" s="306">
        <f t="shared" ca="1" si="11"/>
        <v>1.0737276774195339</v>
      </c>
      <c r="H19" s="307">
        <f t="shared" ca="1" si="12"/>
        <v>12.273481743687157</v>
      </c>
      <c r="I19" s="304">
        <f t="shared" ca="1" si="13"/>
        <v>12.320358973580221</v>
      </c>
      <c r="J19" s="306">
        <f t="shared" ca="1" si="14"/>
        <v>7.7301034378508035E-2</v>
      </c>
      <c r="K19" s="307">
        <f t="shared" ca="1" si="15"/>
        <v>0.88360678732678144</v>
      </c>
      <c r="L19" s="304">
        <f t="shared" ca="1" si="0"/>
        <v>0.88698162581078488</v>
      </c>
      <c r="M19" s="306">
        <f t="shared" ca="1" si="16"/>
        <v>1.4835298641951802</v>
      </c>
      <c r="N19" s="304">
        <f t="shared" ca="1" si="17"/>
        <v>85</v>
      </c>
      <c r="P19" s="310">
        <f t="shared" ca="1" si="18"/>
        <v>3</v>
      </c>
      <c r="Q19" s="304">
        <f t="shared" ca="1" si="19"/>
        <v>200.94827586206895</v>
      </c>
      <c r="R19" s="306">
        <f t="shared" ca="1" si="20"/>
        <v>0.10665325509107282</v>
      </c>
      <c r="S19" s="307">
        <f t="shared" ca="1" si="21"/>
        <v>2.1441481698283114</v>
      </c>
      <c r="T19" s="304">
        <f t="shared" ca="1" si="1"/>
        <v>21.034093546015736</v>
      </c>
      <c r="U19" s="311">
        <f t="shared" ca="1" si="2"/>
        <v>1.8332420460267238</v>
      </c>
      <c r="V19" s="306">
        <f t="shared" ca="1" si="3"/>
        <v>1.2248917629505023</v>
      </c>
      <c r="W19" s="304">
        <f t="shared" ca="1" si="4"/>
        <v>0.40728067919827582</v>
      </c>
      <c r="Y19" s="314" t="str">
        <f t="shared" ca="1" si="22"/>
        <v/>
      </c>
      <c r="Z19" s="315" t="str">
        <f t="shared" ca="1" si="23"/>
        <v/>
      </c>
      <c r="AA19" s="316" t="str">
        <f t="shared" ca="1" si="24"/>
        <v/>
      </c>
      <c r="AC19" s="310" t="e">
        <f t="shared" ca="1" si="25"/>
        <v>#N/A</v>
      </c>
      <c r="AD19" s="323" t="e">
        <f t="shared" ca="1" si="26"/>
        <v>#N/A</v>
      </c>
      <c r="AE19" s="324">
        <f t="shared" ca="1" si="5"/>
        <v>0.88360678732678144</v>
      </c>
      <c r="AG19" s="306">
        <f t="shared" ca="1" si="27"/>
        <v>83.781732056122806</v>
      </c>
      <c r="AH19" s="304">
        <f t="shared" ca="1" si="28"/>
        <v>93.554402044402835</v>
      </c>
    </row>
    <row r="20" spans="1:34" x14ac:dyDescent="0.2">
      <c r="A20" s="347">
        <f t="shared" ca="1" si="6"/>
        <v>0.01</v>
      </c>
      <c r="B20" s="304">
        <f t="shared" ca="1" si="7"/>
        <v>0.16</v>
      </c>
      <c r="D20" s="306">
        <f t="shared" ca="1" si="8"/>
        <v>7.2684425976893738</v>
      </c>
      <c r="E20" s="307">
        <f t="shared" ca="1" si="9"/>
        <v>83.083540171261049</v>
      </c>
      <c r="F20" s="304">
        <f t="shared" ca="1" si="10"/>
        <v>83.400868731599274</v>
      </c>
      <c r="G20" s="306">
        <f t="shared" ca="1" si="11"/>
        <v>1.1464121033964276</v>
      </c>
      <c r="H20" s="307">
        <f t="shared" ca="1" si="12"/>
        <v>13.104317145399767</v>
      </c>
      <c r="I20" s="304">
        <f t="shared" ca="1" si="13"/>
        <v>13.154367660896213</v>
      </c>
      <c r="J20" s="306">
        <f t="shared" ca="1" si="14"/>
        <v>8.8401733282587838E-2</v>
      </c>
      <c r="K20" s="307">
        <f t="shared" ca="1" si="15"/>
        <v>1.010495781772216</v>
      </c>
      <c r="L20" s="304">
        <f t="shared" ca="1" si="0"/>
        <v>1.014355258983167</v>
      </c>
      <c r="M20" s="306">
        <f t="shared" ca="1" si="16"/>
        <v>1.4835298641951802</v>
      </c>
      <c r="N20" s="304">
        <f t="shared" ca="1" si="17"/>
        <v>85</v>
      </c>
      <c r="P20" s="310">
        <f t="shared" ca="1" si="18"/>
        <v>3</v>
      </c>
      <c r="Q20" s="304">
        <f t="shared" ca="1" si="19"/>
        <v>200.08620689655172</v>
      </c>
      <c r="R20" s="306">
        <f t="shared" ca="1" si="20"/>
        <v>0.10619571216918919</v>
      </c>
      <c r="S20" s="307">
        <f t="shared" ca="1" si="21"/>
        <v>2.1430862127066193</v>
      </c>
      <c r="T20" s="304">
        <f t="shared" ca="1" si="1"/>
        <v>21.023675746651936</v>
      </c>
      <c r="U20" s="311">
        <f t="shared" ca="1" si="2"/>
        <v>1.8323340749853758</v>
      </c>
      <c r="V20" s="306">
        <f t="shared" ca="1" si="3"/>
        <v>1.2248762205206651</v>
      </c>
      <c r="W20" s="304">
        <f t="shared" ca="1" si="4"/>
        <v>0.4642816572614451</v>
      </c>
      <c r="Y20" s="314" t="str">
        <f t="shared" ca="1" si="22"/>
        <v/>
      </c>
      <c r="Z20" s="315" t="str">
        <f t="shared" ca="1" si="23"/>
        <v/>
      </c>
      <c r="AA20" s="316" t="str">
        <f t="shared" ca="1" si="24"/>
        <v/>
      </c>
      <c r="AC20" s="310" t="e">
        <f t="shared" ca="1" si="25"/>
        <v>#N/A</v>
      </c>
      <c r="AD20" s="323" t="e">
        <f t="shared" ca="1" si="26"/>
        <v>#N/A</v>
      </c>
      <c r="AE20" s="324">
        <f t="shared" ca="1" si="5"/>
        <v>1.010495781772216</v>
      </c>
      <c r="AG20" s="306">
        <f t="shared" ca="1" si="27"/>
        <v>83.400868730523143</v>
      </c>
      <c r="AH20" s="304">
        <f t="shared" ca="1" si="28"/>
        <v>93.173538718803172</v>
      </c>
    </row>
    <row r="21" spans="1:34" x14ac:dyDescent="0.2">
      <c r="A21" s="347">
        <f t="shared" ca="1" si="6"/>
        <v>0.01</v>
      </c>
      <c r="B21" s="304">
        <f t="shared" ca="1" si="7"/>
        <v>0.17</v>
      </c>
      <c r="D21" s="306">
        <f t="shared" ca="1" si="8"/>
        <v>7.2350573376679472</v>
      </c>
      <c r="E21" s="307">
        <f t="shared" ca="1" si="9"/>
        <v>82.701926348281987</v>
      </c>
      <c r="F21" s="304">
        <f t="shared" ca="1" si="10"/>
        <v>83.017797347291747</v>
      </c>
      <c r="G21" s="306">
        <f t="shared" ca="1" si="11"/>
        <v>1.218762676773107</v>
      </c>
      <c r="H21" s="307">
        <f t="shared" ca="1" si="12"/>
        <v>13.931336408882586</v>
      </c>
      <c r="I21" s="304">
        <f t="shared" ca="1" si="13"/>
        <v>13.98454563436913</v>
      </c>
      <c r="J21" s="306">
        <f t="shared" ca="1" si="14"/>
        <v>0.10022760718343551</v>
      </c>
      <c r="K21" s="307">
        <f t="shared" ca="1" si="15"/>
        <v>1.1456740495436277</v>
      </c>
      <c r="L21" s="304">
        <f t="shared" ca="1" si="0"/>
        <v>1.1500498254594935</v>
      </c>
      <c r="M21" s="306">
        <f t="shared" ca="1" si="16"/>
        <v>1.4835298641951802</v>
      </c>
      <c r="N21" s="304">
        <f t="shared" ca="1" si="17"/>
        <v>85</v>
      </c>
      <c r="P21" s="310">
        <f t="shared" ca="1" si="18"/>
        <v>3</v>
      </c>
      <c r="Q21" s="304">
        <f t="shared" ca="1" si="19"/>
        <v>199.22413793103448</v>
      </c>
      <c r="R21" s="306">
        <f t="shared" ca="1" si="20"/>
        <v>0.10573816924730557</v>
      </c>
      <c r="S21" s="307">
        <f t="shared" ca="1" si="21"/>
        <v>2.1420288310141462</v>
      </c>
      <c r="T21" s="304">
        <f t="shared" ca="1" si="1"/>
        <v>21.013302832248776</v>
      </c>
      <c r="U21" s="311">
        <f t="shared" ca="1" si="2"/>
        <v>1.8314300159261105</v>
      </c>
      <c r="V21" s="306">
        <f t="shared" ca="1" si="3"/>
        <v>1.2248596629679556</v>
      </c>
      <c r="W21" s="304">
        <f t="shared" ca="1" si="4"/>
        <v>0.52472580683967029</v>
      </c>
      <c r="Y21" s="314" t="str">
        <f t="shared" ca="1" si="22"/>
        <v/>
      </c>
      <c r="Z21" s="315" t="str">
        <f t="shared" ca="1" si="23"/>
        <v/>
      </c>
      <c r="AA21" s="316" t="str">
        <f t="shared" ca="1" si="24"/>
        <v/>
      </c>
      <c r="AC21" s="310" t="e">
        <f t="shared" ca="1" si="25"/>
        <v>#N/A</v>
      </c>
      <c r="AD21" s="323" t="e">
        <f t="shared" ca="1" si="26"/>
        <v>#N/A</v>
      </c>
      <c r="AE21" s="324">
        <f t="shared" ca="1" si="5"/>
        <v>1.1456740495436277</v>
      </c>
      <c r="AG21" s="306">
        <f t="shared" ca="1" si="27"/>
        <v>83.017797346218885</v>
      </c>
      <c r="AH21" s="304">
        <f t="shared" ca="1" si="28"/>
        <v>92.790467334498913</v>
      </c>
    </row>
    <row r="22" spans="1:34" x14ac:dyDescent="0.2">
      <c r="A22" s="347">
        <f t="shared" ca="1" si="6"/>
        <v>0.01</v>
      </c>
      <c r="B22" s="304">
        <f t="shared" ca="1" si="7"/>
        <v>0.18000000000000002</v>
      </c>
      <c r="D22" s="306">
        <f t="shared" ca="1" si="8"/>
        <v>7.2014817243084916</v>
      </c>
      <c r="E22" s="307">
        <f t="shared" ca="1" si="9"/>
        <v>82.318136748056347</v>
      </c>
      <c r="F22" s="304">
        <f t="shared" ca="1" si="10"/>
        <v>82.632541874840413</v>
      </c>
      <c r="G22" s="306">
        <f t="shared" ca="1" si="11"/>
        <v>1.290777494016192</v>
      </c>
      <c r="H22" s="307">
        <f t="shared" ca="1" si="12"/>
        <v>14.75451777636315</v>
      </c>
      <c r="I22" s="304">
        <f t="shared" ca="1" si="13"/>
        <v>14.810871053117534</v>
      </c>
      <c r="J22" s="306">
        <f t="shared" ca="1" si="14"/>
        <v>0.112775308037382</v>
      </c>
      <c r="K22" s="307">
        <f t="shared" ca="1" si="15"/>
        <v>1.2891033204698563</v>
      </c>
      <c r="L22" s="304">
        <f t="shared" ca="1" si="0"/>
        <v>1.294026908896927</v>
      </c>
      <c r="M22" s="306">
        <f t="shared" ca="1" si="16"/>
        <v>1.4835298641951802</v>
      </c>
      <c r="N22" s="304">
        <f t="shared" ca="1" si="17"/>
        <v>85</v>
      </c>
      <c r="P22" s="310">
        <f t="shared" ca="1" si="18"/>
        <v>3</v>
      </c>
      <c r="Q22" s="304">
        <f t="shared" ca="1" si="19"/>
        <v>198.36206896551724</v>
      </c>
      <c r="R22" s="306">
        <f t="shared" ca="1" si="20"/>
        <v>0.10528062632542194</v>
      </c>
      <c r="S22" s="307">
        <f t="shared" ca="1" si="21"/>
        <v>2.1409760247508918</v>
      </c>
      <c r="T22" s="304">
        <f t="shared" ca="1" si="1"/>
        <v>21.00297480280625</v>
      </c>
      <c r="U22" s="311">
        <f t="shared" ca="1" si="2"/>
        <v>1.8305298688489275</v>
      </c>
      <c r="V22" s="306">
        <f t="shared" ca="1" si="3"/>
        <v>1.2248420950210341</v>
      </c>
      <c r="W22" s="304">
        <f t="shared" ca="1" si="4"/>
        <v>0.58855990887164267</v>
      </c>
      <c r="Y22" s="314" t="str">
        <f t="shared" ca="1" si="22"/>
        <v/>
      </c>
      <c r="Z22" s="315" t="str">
        <f t="shared" ca="1" si="23"/>
        <v/>
      </c>
      <c r="AA22" s="316" t="str">
        <f t="shared" ca="1" si="24"/>
        <v/>
      </c>
      <c r="AC22" s="310" t="e">
        <f t="shared" ca="1" si="25"/>
        <v>#N/A</v>
      </c>
      <c r="AD22" s="323" t="e">
        <f t="shared" ca="1" si="26"/>
        <v>#N/A</v>
      </c>
      <c r="AE22" s="324">
        <f t="shared" ca="1" si="5"/>
        <v>1.2891033204698563</v>
      </c>
      <c r="AG22" s="306">
        <f t="shared" ca="1" si="27"/>
        <v>82.632541873770805</v>
      </c>
      <c r="AH22" s="304">
        <f t="shared" ca="1" si="28"/>
        <v>92.405211862050834</v>
      </c>
    </row>
    <row r="23" spans="1:34" x14ac:dyDescent="0.2">
      <c r="A23" s="347">
        <f t="shared" ca="1" si="6"/>
        <v>0.01</v>
      </c>
      <c r="B23" s="304">
        <f t="shared" ca="1" si="7"/>
        <v>0.19000000000000003</v>
      </c>
      <c r="D23" s="306">
        <f t="shared" ca="1" si="8"/>
        <v>7.1677178595509892</v>
      </c>
      <c r="E23" s="307">
        <f t="shared" ca="1" si="9"/>
        <v>81.932195395944987</v>
      </c>
      <c r="F23" s="304">
        <f t="shared" ca="1" si="10"/>
        <v>82.245126431378509</v>
      </c>
      <c r="G23" s="306">
        <f t="shared" ca="1" si="11"/>
        <v>1.3624546726117019</v>
      </c>
      <c r="H23" s="307">
        <f t="shared" ca="1" si="12"/>
        <v>15.5738397303226</v>
      </c>
      <c r="I23" s="304">
        <f t="shared" ca="1" si="13"/>
        <v>15.63332231743132</v>
      </c>
      <c r="J23" s="306">
        <f t="shared" ca="1" si="14"/>
        <v>0.12604146887052148</v>
      </c>
      <c r="K23" s="307">
        <f t="shared" ca="1" si="15"/>
        <v>1.4407451080032851</v>
      </c>
      <c r="L23" s="304">
        <f t="shared" ca="1" si="0"/>
        <v>1.4462478757496713</v>
      </c>
      <c r="M23" s="306">
        <f t="shared" ca="1" si="16"/>
        <v>1.4835298641951802</v>
      </c>
      <c r="N23" s="304">
        <f t="shared" ca="1" si="17"/>
        <v>85</v>
      </c>
      <c r="P23" s="310">
        <f t="shared" ca="1" si="18"/>
        <v>3</v>
      </c>
      <c r="Q23" s="304">
        <f t="shared" ca="1" si="19"/>
        <v>197.5</v>
      </c>
      <c r="R23" s="306">
        <f t="shared" ca="1" si="20"/>
        <v>0.10482308340353833</v>
      </c>
      <c r="S23" s="307">
        <f t="shared" ca="1" si="21"/>
        <v>2.1399277939168564</v>
      </c>
      <c r="T23" s="304">
        <f t="shared" ca="1" si="1"/>
        <v>20.992691658324361</v>
      </c>
      <c r="U23" s="311">
        <f t="shared" ca="1" si="2"/>
        <v>1.8296336337538268</v>
      </c>
      <c r="V23" s="306">
        <f t="shared" ca="1" si="3"/>
        <v>1.2248235214373009</v>
      </c>
      <c r="W23" s="304">
        <f t="shared" ca="1" si="4"/>
        <v>0.65573060231552371</v>
      </c>
      <c r="Y23" s="314" t="str">
        <f t="shared" ca="1" si="22"/>
        <v/>
      </c>
      <c r="Z23" s="315" t="str">
        <f t="shared" ca="1" si="23"/>
        <v/>
      </c>
      <c r="AA23" s="316" t="str">
        <f t="shared" ca="1" si="24"/>
        <v/>
      </c>
      <c r="AC23" s="310" t="e">
        <f t="shared" ca="1" si="25"/>
        <v>#N/A</v>
      </c>
      <c r="AD23" s="323" t="e">
        <f t="shared" ca="1" si="26"/>
        <v>#N/A</v>
      </c>
      <c r="AE23" s="324">
        <f t="shared" ca="1" si="5"/>
        <v>1.4407451080032851</v>
      </c>
      <c r="AG23" s="306">
        <f t="shared" ca="1" si="27"/>
        <v>82.245126430312141</v>
      </c>
      <c r="AH23" s="304">
        <f t="shared" ca="1" si="28"/>
        <v>92.01779641859217</v>
      </c>
    </row>
    <row r="24" spans="1:34" x14ac:dyDescent="0.2">
      <c r="A24" s="347">
        <f t="shared" ca="1" si="6"/>
        <v>0.01</v>
      </c>
      <c r="B24" s="304">
        <f t="shared" ca="1" si="7"/>
        <v>0.20000000000000004</v>
      </c>
      <c r="D24" s="306">
        <f t="shared" ca="1" si="8"/>
        <v>7.1337678576665731</v>
      </c>
      <c r="E24" s="307">
        <f t="shared" ca="1" si="9"/>
        <v>81.544126458255022</v>
      </c>
      <c r="F24" s="304">
        <f t="shared" ca="1" si="10"/>
        <v>81.855575275523918</v>
      </c>
      <c r="G24" s="306">
        <f t="shared" ca="1" si="11"/>
        <v>1.4337923511883677</v>
      </c>
      <c r="H24" s="307">
        <f t="shared" ca="1" si="12"/>
        <v>16.38928099490515</v>
      </c>
      <c r="I24" s="304">
        <f t="shared" ca="1" si="13"/>
        <v>16.451878070186559</v>
      </c>
      <c r="J24" s="306">
        <f t="shared" ca="1" si="14"/>
        <v>0.14002270398952182</v>
      </c>
      <c r="K24" s="307">
        <f t="shared" ca="1" si="15"/>
        <v>1.6005607116294238</v>
      </c>
      <c r="L24" s="304">
        <f t="shared" ca="1" si="0"/>
        <v>1.6066738776877605</v>
      </c>
      <c r="M24" s="306">
        <f t="shared" ca="1" si="16"/>
        <v>1.4835298641951802</v>
      </c>
      <c r="N24" s="304">
        <f t="shared" ca="1" si="17"/>
        <v>85</v>
      </c>
      <c r="P24" s="310">
        <f t="shared" ca="1" si="18"/>
        <v>3</v>
      </c>
      <c r="Q24" s="304">
        <f t="shared" ca="1" si="19"/>
        <v>196.63793103448276</v>
      </c>
      <c r="R24" s="306">
        <f t="shared" ca="1" si="20"/>
        <v>0.10436554048165469</v>
      </c>
      <c r="S24" s="307">
        <f t="shared" ca="1" si="21"/>
        <v>2.1388841385120396</v>
      </c>
      <c r="T24" s="304">
        <f t="shared" ca="1" si="1"/>
        <v>20.982453398803109</v>
      </c>
      <c r="U24" s="311">
        <f t="shared" ca="1" si="2"/>
        <v>1.828741310640809</v>
      </c>
      <c r="V24" s="306">
        <f t="shared" ca="1" si="3"/>
        <v>1.224803947002562</v>
      </c>
      <c r="W24" s="304">
        <f t="shared" ca="1" si="4"/>
        <v>0.72618439468216711</v>
      </c>
      <c r="Y24" s="314" t="str">
        <f t="shared" ca="1" si="22"/>
        <v/>
      </c>
      <c r="Z24" s="315" t="str">
        <f t="shared" ca="1" si="23"/>
        <v/>
      </c>
      <c r="AA24" s="316" t="str">
        <f t="shared" ca="1" si="24"/>
        <v/>
      </c>
      <c r="AC24" s="310" t="e">
        <f t="shared" ca="1" si="25"/>
        <v>#N/A</v>
      </c>
      <c r="AD24" s="323" t="e">
        <f t="shared" ca="1" si="26"/>
        <v>#N/A</v>
      </c>
      <c r="AE24" s="324">
        <f t="shared" ca="1" si="5"/>
        <v>1.6005607116294238</v>
      </c>
      <c r="AG24" s="306">
        <f t="shared" ca="1" si="27"/>
        <v>81.855575274460776</v>
      </c>
      <c r="AH24" s="304">
        <f t="shared" ca="1" si="28"/>
        <v>91.628245262740805</v>
      </c>
    </row>
    <row r="25" spans="1:34" x14ac:dyDescent="0.2">
      <c r="A25" s="347">
        <f t="shared" ca="1" si="6"/>
        <v>0.01</v>
      </c>
      <c r="B25" s="304">
        <f t="shared" ca="1" si="7"/>
        <v>0.21000000000000005</v>
      </c>
      <c r="D25" s="306">
        <f t="shared" ca="1" si="8"/>
        <v>7.0996338448130949</v>
      </c>
      <c r="E25" s="307">
        <f t="shared" ca="1" si="9"/>
        <v>81.153954237159837</v>
      </c>
      <c r="F25" s="304">
        <f t="shared" ca="1" si="10"/>
        <v>81.463912802279808</v>
      </c>
      <c r="G25" s="306">
        <f t="shared" ca="1" si="11"/>
        <v>1.5047886896364986</v>
      </c>
      <c r="H25" s="307">
        <f t="shared" ca="1" si="12"/>
        <v>17.200820537276748</v>
      </c>
      <c r="I25" s="304">
        <f t="shared" ca="1" si="13"/>
        <v>17.266517198209357</v>
      </c>
      <c r="J25" s="306">
        <f t="shared" ca="1" si="14"/>
        <v>0.15471560919364616</v>
      </c>
      <c r="K25" s="307">
        <f t="shared" ca="1" si="15"/>
        <v>1.7685112192903334</v>
      </c>
      <c r="L25" s="304">
        <f t="shared" ca="1" si="0"/>
        <v>1.7752658540297401</v>
      </c>
      <c r="M25" s="306">
        <f t="shared" ca="1" si="16"/>
        <v>1.4835298641951802</v>
      </c>
      <c r="N25" s="304">
        <f t="shared" ca="1" si="17"/>
        <v>85</v>
      </c>
      <c r="P25" s="310">
        <f t="shared" ca="1" si="18"/>
        <v>3</v>
      </c>
      <c r="Q25" s="304">
        <f t="shared" ca="1" si="19"/>
        <v>195.77586206896552</v>
      </c>
      <c r="R25" s="306">
        <f t="shared" ca="1" si="20"/>
        <v>0.10390799755977108</v>
      </c>
      <c r="S25" s="307">
        <f t="shared" ca="1" si="21"/>
        <v>2.1378450585364419</v>
      </c>
      <c r="T25" s="304">
        <f t="shared" ca="1" si="1"/>
        <v>20.972260024242495</v>
      </c>
      <c r="U25" s="311">
        <f t="shared" ca="1" si="2"/>
        <v>1.8278528995098735</v>
      </c>
      <c r="V25" s="306">
        <f t="shared" ca="1" si="3"/>
        <v>1.2247833765306886</v>
      </c>
      <c r="W25" s="304">
        <f t="shared" ca="1" si="4"/>
        <v>0.79986767254777758</v>
      </c>
      <c r="Y25" s="314" t="str">
        <f t="shared" ca="1" si="22"/>
        <v/>
      </c>
      <c r="Z25" s="315" t="str">
        <f t="shared" ca="1" si="23"/>
        <v/>
      </c>
      <c r="AA25" s="316" t="str">
        <f t="shared" ca="1" si="24"/>
        <v/>
      </c>
      <c r="AC25" s="310" t="e">
        <f t="shared" ca="1" si="25"/>
        <v>#N/A</v>
      </c>
      <c r="AD25" s="323" t="e">
        <f t="shared" ca="1" si="26"/>
        <v>#N/A</v>
      </c>
      <c r="AE25" s="324">
        <f t="shared" ca="1" si="5"/>
        <v>1.7685112192903334</v>
      </c>
      <c r="AG25" s="306">
        <f t="shared" ca="1" si="27"/>
        <v>81.463912801219877</v>
      </c>
      <c r="AH25" s="304">
        <f t="shared" ca="1" si="28"/>
        <v>91.236582789499906</v>
      </c>
    </row>
    <row r="26" spans="1:34" x14ac:dyDescent="0.2">
      <c r="A26" s="347">
        <f t="shared" ca="1" si="6"/>
        <v>0.01</v>
      </c>
      <c r="B26" s="304">
        <f t="shared" ca="1" si="7"/>
        <v>0.22000000000000006</v>
      </c>
      <c r="D26" s="306">
        <f t="shared" ca="1" si="8"/>
        <v>7.0653179585898398</v>
      </c>
      <c r="E26" s="307">
        <f t="shared" ca="1" si="9"/>
        <v>80.761703165609575</v>
      </c>
      <c r="F26" s="304">
        <f t="shared" ca="1" si="10"/>
        <v>81.070163537925609</v>
      </c>
      <c r="G26" s="306">
        <f t="shared" ca="1" si="11"/>
        <v>1.575441869222397</v>
      </c>
      <c r="H26" s="307">
        <f t="shared" ca="1" si="12"/>
        <v>18.008437568932845</v>
      </c>
      <c r="I26" s="304">
        <f t="shared" ca="1" si="13"/>
        <v>18.077218833588613</v>
      </c>
      <c r="J26" s="306">
        <f t="shared" ca="1" si="14"/>
        <v>0.17011676198794062</v>
      </c>
      <c r="K26" s="307">
        <f t="shared" ca="1" si="15"/>
        <v>1.9445575098213814</v>
      </c>
      <c r="L26" s="304">
        <f t="shared" ca="1" si="0"/>
        <v>1.9519845341887301</v>
      </c>
      <c r="M26" s="306">
        <f t="shared" ca="1" si="16"/>
        <v>1.4835298641951802</v>
      </c>
      <c r="N26" s="304">
        <f t="shared" ca="1" si="17"/>
        <v>85</v>
      </c>
      <c r="P26" s="310">
        <f t="shared" ca="1" si="18"/>
        <v>3</v>
      </c>
      <c r="Q26" s="304">
        <f t="shared" ca="1" si="19"/>
        <v>194.91379310344826</v>
      </c>
      <c r="R26" s="306">
        <f t="shared" ca="1" si="20"/>
        <v>0.10345045463788743</v>
      </c>
      <c r="S26" s="307">
        <f t="shared" ca="1" si="21"/>
        <v>2.1368105539900633</v>
      </c>
      <c r="T26" s="304">
        <f t="shared" ca="1" si="1"/>
        <v>20.962111534642521</v>
      </c>
      <c r="U26" s="311">
        <f t="shared" ca="1" si="2"/>
        <v>1.8269684003610209</v>
      </c>
      <c r="V26" s="306">
        <f t="shared" ca="1" si="3"/>
        <v>1.2247618148632817</v>
      </c>
      <c r="W26" s="304">
        <f t="shared" ca="1" si="4"/>
        <v>0.87672671204260799</v>
      </c>
      <c r="Y26" s="314" t="str">
        <f t="shared" ca="1" si="22"/>
        <v/>
      </c>
      <c r="Z26" s="315" t="str">
        <f t="shared" ca="1" si="23"/>
        <v/>
      </c>
      <c r="AA26" s="316" t="str">
        <f t="shared" ca="1" si="24"/>
        <v/>
      </c>
      <c r="AC26" s="310" t="e">
        <f t="shared" ca="1" si="25"/>
        <v>#N/A</v>
      </c>
      <c r="AD26" s="323" t="e">
        <f t="shared" ca="1" si="26"/>
        <v>#N/A</v>
      </c>
      <c r="AE26" s="324">
        <f t="shared" ca="1" si="5"/>
        <v>1.9445575098213814</v>
      </c>
      <c r="AG26" s="306">
        <f t="shared" ca="1" si="27"/>
        <v>81.070163536868861</v>
      </c>
      <c r="AH26" s="304">
        <f t="shared" ca="1" si="28"/>
        <v>90.84283352514889</v>
      </c>
    </row>
    <row r="27" spans="1:34" x14ac:dyDescent="0.2">
      <c r="A27" s="347">
        <f t="shared" ca="1" si="6"/>
        <v>0.01</v>
      </c>
      <c r="B27" s="304">
        <f t="shared" ca="1" si="7"/>
        <v>0.23000000000000007</v>
      </c>
      <c r="D27" s="306">
        <f t="shared" ca="1" si="8"/>
        <v>7.0308223475915472</v>
      </c>
      <c r="E27" s="307">
        <f t="shared" ca="1" si="9"/>
        <v>80.367397802233484</v>
      </c>
      <c r="F27" s="304">
        <f t="shared" ca="1" si="10"/>
        <v>80.674352134899948</v>
      </c>
      <c r="G27" s="306">
        <f t="shared" ca="1" si="11"/>
        <v>1.6457500926983126</v>
      </c>
      <c r="H27" s="307">
        <f t="shared" ca="1" si="12"/>
        <v>18.81211154695518</v>
      </c>
      <c r="I27" s="304">
        <f t="shared" ca="1" si="13"/>
        <v>18.883962354937612</v>
      </c>
      <c r="J27" s="306">
        <f t="shared" ca="1" si="14"/>
        <v>0.18622272179754418</v>
      </c>
      <c r="K27" s="307">
        <f t="shared" ca="1" si="15"/>
        <v>2.1286602554008214</v>
      </c>
      <c r="L27" s="304">
        <f t="shared" ca="1" si="0"/>
        <v>2.1367904401313611</v>
      </c>
      <c r="M27" s="306">
        <f t="shared" ca="1" si="16"/>
        <v>1.4835298641951802</v>
      </c>
      <c r="N27" s="304">
        <f t="shared" ca="1" si="17"/>
        <v>85</v>
      </c>
      <c r="P27" s="310">
        <f t="shared" ca="1" si="18"/>
        <v>3</v>
      </c>
      <c r="Q27" s="304">
        <f t="shared" ca="1" si="19"/>
        <v>194.05172413793102</v>
      </c>
      <c r="R27" s="306">
        <f t="shared" ca="1" si="20"/>
        <v>0.10299291171600382</v>
      </c>
      <c r="S27" s="307">
        <f t="shared" ca="1" si="21"/>
        <v>2.1357806248729032</v>
      </c>
      <c r="T27" s="304">
        <f t="shared" ca="1" si="1"/>
        <v>20.95200793000318</v>
      </c>
      <c r="U27" s="311">
        <f t="shared" ca="1" si="2"/>
        <v>1.8260878131942504</v>
      </c>
      <c r="V27" s="306">
        <f t="shared" ca="1" si="3"/>
        <v>1.2247392668693264</v>
      </c>
      <c r="W27" s="304">
        <f t="shared" ca="1" si="4"/>
        <v>0.95670768931231631</v>
      </c>
      <c r="Y27" s="314" t="str">
        <f t="shared" ca="1" si="22"/>
        <v/>
      </c>
      <c r="Z27" s="315" t="str">
        <f t="shared" ca="1" si="23"/>
        <v/>
      </c>
      <c r="AA27" s="316" t="str">
        <f t="shared" ca="1" si="24"/>
        <v/>
      </c>
      <c r="AC27" s="310" t="e">
        <f t="shared" ca="1" si="25"/>
        <v>#N/A</v>
      </c>
      <c r="AD27" s="323" t="e">
        <f t="shared" ca="1" si="26"/>
        <v>#N/A</v>
      </c>
      <c r="AE27" s="324">
        <f t="shared" ca="1" si="5"/>
        <v>2.1286602554008214</v>
      </c>
      <c r="AG27" s="306">
        <f t="shared" ca="1" si="27"/>
        <v>80.674352133846369</v>
      </c>
      <c r="AH27" s="304">
        <f t="shared" ca="1" si="28"/>
        <v>90.447022122126398</v>
      </c>
    </row>
    <row r="28" spans="1:34" x14ac:dyDescent="0.2">
      <c r="A28" s="347">
        <f t="shared" ca="1" si="6"/>
        <v>0.01</v>
      </c>
      <c r="B28" s="304">
        <f t="shared" ca="1" si="7"/>
        <v>0.24000000000000007</v>
      </c>
      <c r="D28" s="306">
        <f t="shared" ca="1" si="8"/>
        <v>6.9961491709618944</v>
      </c>
      <c r="E28" s="307">
        <f t="shared" ca="1" si="9"/>
        <v>79.971062826236206</v>
      </c>
      <c r="F28" s="304">
        <f t="shared" ca="1" si="10"/>
        <v>80.276503366677403</v>
      </c>
      <c r="G28" s="306">
        <f t="shared" ca="1" si="11"/>
        <v>1.7157115844079316</v>
      </c>
      <c r="H28" s="307">
        <f t="shared" ca="1" si="12"/>
        <v>19.61182217521754</v>
      </c>
      <c r="I28" s="304">
        <f t="shared" ca="1" si="13"/>
        <v>19.686727388604385</v>
      </c>
      <c r="J28" s="306">
        <f t="shared" ca="1" si="14"/>
        <v>0.20303003018307539</v>
      </c>
      <c r="K28" s="307">
        <f t="shared" ca="1" si="15"/>
        <v>2.3207799240116849</v>
      </c>
      <c r="L28" s="304">
        <f t="shared" ca="1" si="0"/>
        <v>2.3296438888490711</v>
      </c>
      <c r="M28" s="306">
        <f t="shared" ca="1" si="16"/>
        <v>1.4835298641951802</v>
      </c>
      <c r="N28" s="304">
        <f t="shared" ca="1" si="17"/>
        <v>85</v>
      </c>
      <c r="P28" s="310">
        <f t="shared" ca="1" si="18"/>
        <v>3</v>
      </c>
      <c r="Q28" s="304">
        <f t="shared" ca="1" si="19"/>
        <v>193.18965517241378</v>
      </c>
      <c r="R28" s="306">
        <f t="shared" ca="1" si="20"/>
        <v>0.10253536879412019</v>
      </c>
      <c r="S28" s="307">
        <f t="shared" ca="1" si="21"/>
        <v>2.1347552711849622</v>
      </c>
      <c r="T28" s="304">
        <f t="shared" ca="1" si="1"/>
        <v>20.941949210324481</v>
      </c>
      <c r="U28" s="311">
        <f t="shared" ca="1" si="2"/>
        <v>1.825211138009563</v>
      </c>
      <c r="V28" s="306">
        <f t="shared" ca="1" si="3"/>
        <v>1.2247157374448503</v>
      </c>
      <c r="W28" s="304">
        <f t="shared" ca="1" si="4"/>
        <v>1.0397566909486573</v>
      </c>
      <c r="Y28" s="314" t="str">
        <f t="shared" ca="1" si="22"/>
        <v>Sortie de rampe</v>
      </c>
      <c r="Z28" s="315" t="str">
        <f t="shared" ca="1" si="23"/>
        <v/>
      </c>
      <c r="AA28" s="316" t="str">
        <f t="shared" ca="1" si="24"/>
        <v/>
      </c>
      <c r="AC28" s="310" t="e">
        <f t="shared" ca="1" si="25"/>
        <v>#N/A</v>
      </c>
      <c r="AD28" s="323" t="e">
        <f t="shared" ca="1" si="26"/>
        <v>#N/A</v>
      </c>
      <c r="AE28" s="324">
        <f t="shared" ca="1" si="5"/>
        <v>2.3207799240116849</v>
      </c>
      <c r="AG28" s="306">
        <f t="shared" ca="1" si="27"/>
        <v>80.276503365626994</v>
      </c>
      <c r="AH28" s="304">
        <f t="shared" ca="1" si="28"/>
        <v>90.049173353907022</v>
      </c>
    </row>
    <row r="29" spans="1:34" x14ac:dyDescent="0.2">
      <c r="A29" s="347">
        <f t="shared" ca="1" si="6"/>
        <v>0.01</v>
      </c>
      <c r="B29" s="304">
        <f t="shared" ca="1" si="7"/>
        <v>0.25000000000000006</v>
      </c>
      <c r="D29" s="306">
        <f t="shared" ca="1" si="8"/>
        <v>6.9613005979465976</v>
      </c>
      <c r="E29" s="307">
        <f t="shared" ca="1" si="9"/>
        <v>79.572723032289858</v>
      </c>
      <c r="F29" s="304">
        <f t="shared" ca="1" si="10"/>
        <v>79.876642122641115</v>
      </c>
      <c r="G29" s="306">
        <f t="shared" ca="1" si="11"/>
        <v>1.7853245903873975</v>
      </c>
      <c r="H29" s="307">
        <f t="shared" ca="1" si="12"/>
        <v>20.40754940554044</v>
      </c>
      <c r="I29" s="304">
        <f t="shared" ca="1" si="13"/>
        <v>20.485493809830796</v>
      </c>
      <c r="J29" s="306">
        <f t="shared" ca="1" si="14"/>
        <v>0.22053521105705204</v>
      </c>
      <c r="K29" s="307">
        <f t="shared" ca="1" si="15"/>
        <v>2.5208767819154749</v>
      </c>
      <c r="L29" s="304">
        <f t="shared" ca="1" si="0"/>
        <v>2.5305049948412472</v>
      </c>
      <c r="M29" s="306">
        <f t="shared" ca="1" si="16"/>
        <v>1.4835298641951802</v>
      </c>
      <c r="N29" s="304">
        <f t="shared" ca="1" si="17"/>
        <v>85</v>
      </c>
      <c r="P29" s="310">
        <f t="shared" ca="1" si="18"/>
        <v>3</v>
      </c>
      <c r="Q29" s="304">
        <f t="shared" ca="1" si="19"/>
        <v>192.32758620689654</v>
      </c>
      <c r="R29" s="306">
        <f t="shared" ca="1" si="20"/>
        <v>0.10207782587223657</v>
      </c>
      <c r="S29" s="307">
        <f t="shared" ca="1" si="21"/>
        <v>2.1337344929262398</v>
      </c>
      <c r="T29" s="304">
        <f t="shared" ca="1" si="1"/>
        <v>20.931935375606415</v>
      </c>
      <c r="U29" s="311">
        <f t="shared" ca="1" si="2"/>
        <v>0</v>
      </c>
      <c r="V29" s="306">
        <f t="shared" ca="1" si="3"/>
        <v>1.2246912315125809</v>
      </c>
      <c r="W29" s="304">
        <f t="shared" ca="1" si="4"/>
        <v>1.1258197243862083</v>
      </c>
      <c r="Y29" s="314" t="str">
        <f t="shared" ca="1" si="22"/>
        <v/>
      </c>
      <c r="Z29" s="315" t="str">
        <f t="shared" ca="1" si="23"/>
        <v/>
      </c>
      <c r="AA29" s="316" t="str">
        <f t="shared" ca="1" si="24"/>
        <v/>
      </c>
      <c r="AC29" s="310" t="e">
        <f t="shared" ca="1" si="25"/>
        <v>#N/A</v>
      </c>
      <c r="AD29" s="323" t="e">
        <f t="shared" ca="1" si="26"/>
        <v>#N/A</v>
      </c>
      <c r="AE29" s="324">
        <f t="shared" ca="1" si="5"/>
        <v>2.5208767819154749</v>
      </c>
      <c r="AG29" s="306">
        <f t="shared" ca="1" si="27"/>
        <v>79.876642121593818</v>
      </c>
      <c r="AH29" s="304">
        <f t="shared" ca="1" si="28"/>
        <v>89.649312109873847</v>
      </c>
    </row>
    <row r="30" spans="1:34" x14ac:dyDescent="0.2">
      <c r="A30" s="347">
        <f t="shared" ca="1" si="6"/>
        <v>0.01</v>
      </c>
      <c r="B30" s="304">
        <f t="shared" ca="1" si="7"/>
        <v>0.26000000000000006</v>
      </c>
      <c r="D30" s="306">
        <f t="shared" ca="1" si="8"/>
        <v>7.7784289601162735</v>
      </c>
      <c r="E30" s="307">
        <f t="shared" ca="1" si="9"/>
        <v>79.097849847442561</v>
      </c>
      <c r="F30" s="304">
        <f t="shared" ca="1" si="10"/>
        <v>79.479392345287494</v>
      </c>
      <c r="G30" s="306">
        <f t="shared" ca="1" si="11"/>
        <v>1.8631088799885602</v>
      </c>
      <c r="H30" s="307">
        <f t="shared" ca="1" si="12"/>
        <v>21.198527904014867</v>
      </c>
      <c r="I30" s="304">
        <f t="shared" ca="1" si="13"/>
        <v>21.280243419566165</v>
      </c>
      <c r="J30" s="306">
        <f t="shared" ca="1" si="14"/>
        <v>0.23877737840893182</v>
      </c>
      <c r="K30" s="307">
        <f t="shared" ca="1" si="15"/>
        <v>2.7289071684632513</v>
      </c>
      <c r="L30" s="304">
        <f t="shared" ca="1" si="0"/>
        <v>2.7393336727258988</v>
      </c>
      <c r="M30" s="306">
        <f t="shared" ca="1" si="16"/>
        <v>1.4831329822781794</v>
      </c>
      <c r="N30" s="304">
        <f t="shared" ca="1" si="17"/>
        <v>84.977260341190799</v>
      </c>
      <c r="P30" s="310">
        <f t="shared" ca="1" si="18"/>
        <v>3</v>
      </c>
      <c r="Q30" s="304">
        <f t="shared" ca="1" si="19"/>
        <v>191.4655172413793</v>
      </c>
      <c r="R30" s="306">
        <f t="shared" ca="1" si="20"/>
        <v>0.10162028295035294</v>
      </c>
      <c r="S30" s="307">
        <f t="shared" ca="1" si="21"/>
        <v>2.1327182900967365</v>
      </c>
      <c r="T30" s="304">
        <f t="shared" ca="1" si="1"/>
        <v>20.921966425848986</v>
      </c>
      <c r="U30" s="311">
        <f t="shared" ca="1" si="2"/>
        <v>0</v>
      </c>
      <c r="V30" s="306">
        <f t="shared" ca="1" si="3"/>
        <v>1.2246657544781132</v>
      </c>
      <c r="W30" s="304">
        <f t="shared" ca="1" si="4"/>
        <v>1.214842920039539</v>
      </c>
      <c r="Y30" s="314" t="str">
        <f t="shared" ca="1" si="22"/>
        <v/>
      </c>
      <c r="Z30" s="315" t="str">
        <f t="shared" ca="1" si="23"/>
        <v/>
      </c>
      <c r="AA30" s="316" t="str">
        <f t="shared" ca="1" si="24"/>
        <v/>
      </c>
      <c r="AC30" s="310" t="e">
        <f t="shared" ca="1" si="25"/>
        <v>#N/A</v>
      </c>
      <c r="AD30" s="323" t="e">
        <f t="shared" ca="1" si="26"/>
        <v>#N/A</v>
      </c>
      <c r="AE30" s="324">
        <f t="shared" ca="1" si="5"/>
        <v>2.7289071684632513</v>
      </c>
      <c r="AG30" s="306">
        <f t="shared" ca="1" si="27"/>
        <v>79.474793401908087</v>
      </c>
      <c r="AH30" s="304">
        <f t="shared" ca="1" si="28"/>
        <v>89.247463390188116</v>
      </c>
    </row>
    <row r="31" spans="1:34" x14ac:dyDescent="0.2">
      <c r="A31" s="347">
        <f t="shared" ca="1" si="6"/>
        <v>0.01</v>
      </c>
      <c r="B31" s="304">
        <f t="shared" ca="1" si="7"/>
        <v>0.27000000000000007</v>
      </c>
      <c r="D31" s="306">
        <f t="shared" ca="1" si="8"/>
        <v>7.77836014846363</v>
      </c>
      <c r="E31" s="307">
        <f t="shared" ca="1" si="9"/>
        <v>78.69249517124095</v>
      </c>
      <c r="F31" s="304">
        <f t="shared" ca="1" si="10"/>
        <v>79.075986765104531</v>
      </c>
      <c r="G31" s="306">
        <f t="shared" ca="1" si="11"/>
        <v>1.9408924814731965</v>
      </c>
      <c r="H31" s="307">
        <f t="shared" ca="1" si="12"/>
        <v>21.985452855727278</v>
      </c>
      <c r="I31" s="304">
        <f t="shared" ca="1" si="13"/>
        <v>22.070958313948353</v>
      </c>
      <c r="J31" s="306">
        <f t="shared" ca="1" si="14"/>
        <v>0.25779738521624063</v>
      </c>
      <c r="K31" s="307">
        <f t="shared" ca="1" si="15"/>
        <v>2.9448270722619618</v>
      </c>
      <c r="L31" s="304">
        <f t="shared" ca="1" si="0"/>
        <v>2.9560896429829877</v>
      </c>
      <c r="M31" s="306">
        <f t="shared" ca="1" si="16"/>
        <v>1.4827438390545937</v>
      </c>
      <c r="N31" s="304">
        <f t="shared" ca="1" si="17"/>
        <v>84.95496407685323</v>
      </c>
      <c r="P31" s="310">
        <f t="shared" ca="1" si="18"/>
        <v>3</v>
      </c>
      <c r="Q31" s="304">
        <f t="shared" ca="1" si="19"/>
        <v>190.60344827586206</v>
      </c>
      <c r="R31" s="306">
        <f t="shared" ca="1" si="20"/>
        <v>0.10116274002846933</v>
      </c>
      <c r="S31" s="307">
        <f t="shared" ca="1" si="21"/>
        <v>2.1317066626964518</v>
      </c>
      <c r="T31" s="304">
        <f t="shared" ca="1" si="1"/>
        <v>20.912042361052194</v>
      </c>
      <c r="U31" s="311">
        <f t="shared" ca="1" si="2"/>
        <v>0</v>
      </c>
      <c r="V31" s="306">
        <f t="shared" ca="1" si="3"/>
        <v>1.2246393117918681</v>
      </c>
      <c r="W31" s="304">
        <f t="shared" ca="1" si="4"/>
        <v>1.3067723836467071</v>
      </c>
      <c r="Y31" s="314" t="str">
        <f t="shared" ca="1" si="22"/>
        <v/>
      </c>
      <c r="Z31" s="315" t="str">
        <f t="shared" ca="1" si="23"/>
        <v/>
      </c>
      <c r="AA31" s="316" t="str">
        <f t="shared" ca="1" si="24"/>
        <v/>
      </c>
      <c r="AC31" s="310" t="e">
        <f t="shared" ca="1" si="25"/>
        <v>#N/A</v>
      </c>
      <c r="AD31" s="323" t="e">
        <f t="shared" ca="1" si="26"/>
        <v>#N/A</v>
      </c>
      <c r="AE31" s="324">
        <f t="shared" ca="1" si="5"/>
        <v>2.9448270722619618</v>
      </c>
      <c r="AG31" s="306">
        <f t="shared" ca="1" si="27"/>
        <v>79.071322325257597</v>
      </c>
      <c r="AH31" s="304">
        <f t="shared" ca="1" si="28"/>
        <v>88.843652210693904</v>
      </c>
    </row>
    <row r="32" spans="1:34" x14ac:dyDescent="0.2">
      <c r="A32" s="347">
        <f t="shared" ca="1" si="6"/>
        <v>0.01</v>
      </c>
      <c r="B32" s="304">
        <f t="shared" ca="1" si="7"/>
        <v>0.28000000000000008</v>
      </c>
      <c r="D32" s="306">
        <f t="shared" ca="1" si="8"/>
        <v>7.7771186856535213</v>
      </c>
      <c r="E32" s="307">
        <f t="shared" ca="1" si="9"/>
        <v>78.285284952131676</v>
      </c>
      <c r="F32" s="304">
        <f t="shared" ca="1" si="10"/>
        <v>78.670638837416305</v>
      </c>
      <c r="G32" s="306">
        <f t="shared" ca="1" si="11"/>
        <v>2.0186636683297317</v>
      </c>
      <c r="H32" s="307">
        <f t="shared" ca="1" si="12"/>
        <v>22.768305705248594</v>
      </c>
      <c r="I32" s="304">
        <f t="shared" ca="1" si="13"/>
        <v>22.857619029406585</v>
      </c>
      <c r="J32" s="306">
        <f t="shared" ca="1" si="14"/>
        <v>0.27759516596525524</v>
      </c>
      <c r="K32" s="307">
        <f t="shared" ca="1" si="15"/>
        <v>3.1685958650668411</v>
      </c>
      <c r="L32" s="304">
        <f t="shared" ca="1" si="0"/>
        <v>3.1807324364501266</v>
      </c>
      <c r="M32" s="306">
        <f t="shared" ca="1" si="16"/>
        <v>1.4823664247862434</v>
      </c>
      <c r="N32" s="304">
        <f t="shared" ca="1" si="17"/>
        <v>84.933339832148732</v>
      </c>
      <c r="P32" s="310">
        <f t="shared" ca="1" si="18"/>
        <v>3</v>
      </c>
      <c r="Q32" s="304">
        <f t="shared" ca="1" si="19"/>
        <v>189.74137931034483</v>
      </c>
      <c r="R32" s="306">
        <f t="shared" ca="1" si="20"/>
        <v>0.10070519710658569</v>
      </c>
      <c r="S32" s="307">
        <f t="shared" ca="1" si="21"/>
        <v>2.1306996107253862</v>
      </c>
      <c r="T32" s="304">
        <f t="shared" ca="1" si="1"/>
        <v>20.902163181216039</v>
      </c>
      <c r="U32" s="311">
        <f t="shared" ca="1" si="2"/>
        <v>0</v>
      </c>
      <c r="V32" s="306">
        <f t="shared" ca="1" si="3"/>
        <v>1.2246119084917868</v>
      </c>
      <c r="W32" s="304">
        <f t="shared" ca="1" si="4"/>
        <v>1.4015539790054528</v>
      </c>
      <c r="Y32" s="314" t="str">
        <f t="shared" ca="1" si="22"/>
        <v/>
      </c>
      <c r="Z32" s="315" t="str">
        <f t="shared" ca="1" si="23"/>
        <v/>
      </c>
      <c r="AA32" s="316" t="str">
        <f t="shared" ca="1" si="24"/>
        <v/>
      </c>
      <c r="AC32" s="310" t="e">
        <f t="shared" ca="1" si="25"/>
        <v>#N/A</v>
      </c>
      <c r="AD32" s="323" t="e">
        <f t="shared" ca="1" si="26"/>
        <v>#N/A</v>
      </c>
      <c r="AE32" s="324">
        <f t="shared" ca="1" si="5"/>
        <v>3.1685958650668411</v>
      </c>
      <c r="AG32" s="306">
        <f t="shared" ca="1" si="27"/>
        <v>78.665908752114177</v>
      </c>
      <c r="AH32" s="304">
        <f t="shared" ca="1" si="28"/>
        <v>88.437903671717706</v>
      </c>
    </row>
    <row r="33" spans="1:34" x14ac:dyDescent="0.2">
      <c r="A33" s="347">
        <f t="shared" ca="1" si="6"/>
        <v>0.01</v>
      </c>
      <c r="B33" s="304">
        <f t="shared" ca="1" si="7"/>
        <v>0.29000000000000009</v>
      </c>
      <c r="D33" s="306">
        <f t="shared" ca="1" si="8"/>
        <v>7.7743641256041629</v>
      </c>
      <c r="E33" s="307">
        <f t="shared" ca="1" si="9"/>
        <v>77.876275753965828</v>
      </c>
      <c r="F33" s="304">
        <f t="shared" ca="1" si="10"/>
        <v>78.263369866529558</v>
      </c>
      <c r="G33" s="306">
        <f t="shared" ca="1" si="11"/>
        <v>2.0964073095857731</v>
      </c>
      <c r="H33" s="307">
        <f t="shared" ca="1" si="12"/>
        <v>23.547068462788253</v>
      </c>
      <c r="I33" s="304">
        <f t="shared" ca="1" si="13"/>
        <v>23.640206361174638</v>
      </c>
      <c r="J33" s="306">
        <f t="shared" ca="1" si="14"/>
        <v>0.29817052085483275</v>
      </c>
      <c r="K33" s="307">
        <f t="shared" ca="1" si="15"/>
        <v>3.4001727359070255</v>
      </c>
      <c r="L33" s="304">
        <f t="shared" ca="1" si="0"/>
        <v>3.4132213953261674</v>
      </c>
      <c r="M33" s="306">
        <f t="shared" ca="1" si="16"/>
        <v>1.4819999444050307</v>
      </c>
      <c r="N33" s="304">
        <f t="shared" ca="1" si="17"/>
        <v>84.912342053030898</v>
      </c>
      <c r="P33" s="310">
        <f t="shared" ca="1" si="18"/>
        <v>3</v>
      </c>
      <c r="Q33" s="304">
        <f t="shared" ca="1" si="19"/>
        <v>188.87931034482759</v>
      </c>
      <c r="R33" s="306">
        <f t="shared" ca="1" si="20"/>
        <v>0.10024765418470208</v>
      </c>
      <c r="S33" s="307">
        <f t="shared" ca="1" si="21"/>
        <v>2.1296971341835391</v>
      </c>
      <c r="T33" s="304">
        <f t="shared" ca="1" si="1"/>
        <v>20.892328886340518</v>
      </c>
      <c r="U33" s="311">
        <f t="shared" ca="1" si="2"/>
        <v>0</v>
      </c>
      <c r="V33" s="306">
        <f t="shared" ca="1" si="3"/>
        <v>1.2245835496400095</v>
      </c>
      <c r="W33" s="304">
        <f t="shared" ca="1" si="4"/>
        <v>1.4991335307013465</v>
      </c>
      <c r="Y33" s="314" t="str">
        <f t="shared" ca="1" si="22"/>
        <v/>
      </c>
      <c r="Z33" s="315" t="str">
        <f t="shared" ca="1" si="23"/>
        <v/>
      </c>
      <c r="AA33" s="316" t="str">
        <f t="shared" ca="1" si="24"/>
        <v/>
      </c>
      <c r="AC33" s="310" t="e">
        <f t="shared" ca="1" si="25"/>
        <v>#N/A</v>
      </c>
      <c r="AD33" s="323" t="e">
        <f t="shared" ca="1" si="26"/>
        <v>#N/A</v>
      </c>
      <c r="AE33" s="324">
        <f t="shared" ca="1" si="5"/>
        <v>3.4001727359070255</v>
      </c>
      <c r="AG33" s="306">
        <f t="shared" ca="1" si="27"/>
        <v>78.258574423518851</v>
      </c>
      <c r="AH33" s="304">
        <f t="shared" ca="1" si="28"/>
        <v>88.030243059746326</v>
      </c>
    </row>
    <row r="34" spans="1:34" x14ac:dyDescent="0.2">
      <c r="A34" s="347">
        <f t="shared" ca="1" si="6"/>
        <v>0.01</v>
      </c>
      <c r="B34" s="304">
        <f t="shared" ca="1" si="7"/>
        <v>0.3000000000000001</v>
      </c>
      <c r="D34" s="306">
        <f t="shared" ca="1" si="8"/>
        <v>7.7701803545737356</v>
      </c>
      <c r="E34" s="307">
        <f t="shared" ca="1" si="9"/>
        <v>77.465486944143365</v>
      </c>
      <c r="F34" s="304">
        <f t="shared" ca="1" si="10"/>
        <v>77.854205860928602</v>
      </c>
      <c r="G34" s="306">
        <f t="shared" ca="1" si="11"/>
        <v>2.1741091131315105</v>
      </c>
      <c r="H34" s="307">
        <f t="shared" ca="1" si="12"/>
        <v>24.321723332229688</v>
      </c>
      <c r="I34" s="304">
        <f t="shared" ca="1" si="13"/>
        <v>24.418701363613248</v>
      </c>
      <c r="J34" s="306">
        <f t="shared" ca="1" si="14"/>
        <v>0.31952310296841918</v>
      </c>
      <c r="K34" s="307">
        <f t="shared" ca="1" si="15"/>
        <v>3.6395166948821154</v>
      </c>
      <c r="L34" s="304">
        <f t="shared" ca="1" si="0"/>
        <v>3.6535156747516773</v>
      </c>
      <c r="M34" s="306">
        <f t="shared" ca="1" si="16"/>
        <v>1.4816436812948182</v>
      </c>
      <c r="N34" s="304">
        <f t="shared" ca="1" si="17"/>
        <v>84.891929680419523</v>
      </c>
      <c r="P34" s="310">
        <f t="shared" ca="1" si="18"/>
        <v>3</v>
      </c>
      <c r="Q34" s="304">
        <f t="shared" ca="1" si="19"/>
        <v>188.01724137931035</v>
      </c>
      <c r="R34" s="306">
        <f t="shared" ca="1" si="20"/>
        <v>9.9790111262818462E-2</v>
      </c>
      <c r="S34" s="307">
        <f t="shared" ca="1" si="21"/>
        <v>2.1286992330709111</v>
      </c>
      <c r="T34" s="304">
        <f t="shared" ca="1" si="1"/>
        <v>20.882539476425638</v>
      </c>
      <c r="U34" s="311">
        <f t="shared" ca="1" si="2"/>
        <v>0</v>
      </c>
      <c r="V34" s="306">
        <f t="shared" ca="1" si="3"/>
        <v>1.2245542403223666</v>
      </c>
      <c r="W34" s="304">
        <f t="shared" ca="1" si="4"/>
        <v>1.5994568343479536</v>
      </c>
      <c r="Y34" s="314" t="str">
        <f t="shared" ca="1" si="22"/>
        <v/>
      </c>
      <c r="Z34" s="315" t="str">
        <f t="shared" ca="1" si="23"/>
        <v/>
      </c>
      <c r="AA34" s="316" t="str">
        <f t="shared" ca="1" si="24"/>
        <v/>
      </c>
      <c r="AC34" s="310" t="e">
        <f t="shared" ca="1" si="25"/>
        <v>#N/A</v>
      </c>
      <c r="AD34" s="323" t="e">
        <f t="shared" ca="1" si="26"/>
        <v>#N/A</v>
      </c>
      <c r="AE34" s="324">
        <f t="shared" ca="1" si="5"/>
        <v>3.6395166948821154</v>
      </c>
      <c r="AG34" s="306">
        <f t="shared" ca="1" si="27"/>
        <v>77.849345278627965</v>
      </c>
      <c r="AH34" s="304">
        <f t="shared" ca="1" si="28"/>
        <v>87.620695752087826</v>
      </c>
    </row>
    <row r="35" spans="1:34" x14ac:dyDescent="0.2">
      <c r="A35" s="347">
        <f t="shared" ca="1" si="6"/>
        <v>0.01</v>
      </c>
      <c r="B35" s="304">
        <f t="shared" ca="1" si="7"/>
        <v>0.31000000000000011</v>
      </c>
      <c r="D35" s="306">
        <f t="shared" ca="1" si="8"/>
        <v>7.764643305693955</v>
      </c>
      <c r="E35" s="307">
        <f t="shared" ca="1" si="9"/>
        <v>77.052938531417723</v>
      </c>
      <c r="F35" s="304">
        <f t="shared" ca="1" si="10"/>
        <v>77.443172855914781</v>
      </c>
      <c r="G35" s="306">
        <f t="shared" ca="1" si="11"/>
        <v>2.2517555461884502</v>
      </c>
      <c r="H35" s="307">
        <f t="shared" ca="1" si="12"/>
        <v>25.092252717543865</v>
      </c>
      <c r="I35" s="304">
        <f t="shared" ca="1" si="13"/>
        <v>25.1930853505655</v>
      </c>
      <c r="J35" s="306">
        <f t="shared" ca="1" si="14"/>
        <v>0.34165242626501902</v>
      </c>
      <c r="K35" s="307">
        <f t="shared" ca="1" si="15"/>
        <v>3.8865865751309832</v>
      </c>
      <c r="L35" s="304">
        <f t="shared" ca="1" si="0"/>
        <v>3.9015742446301291</v>
      </c>
      <c r="M35" s="306">
        <f t="shared" ca="1" si="16"/>
        <v>1.4812969872107533</v>
      </c>
      <c r="N35" s="304">
        <f t="shared" ca="1" si="17"/>
        <v>84.872065572620443</v>
      </c>
      <c r="P35" s="310">
        <f t="shared" ca="1" si="18"/>
        <v>3</v>
      </c>
      <c r="Q35" s="304">
        <f t="shared" ca="1" si="19"/>
        <v>187.15517241379308</v>
      </c>
      <c r="R35" s="306">
        <f t="shared" ca="1" si="20"/>
        <v>9.9332568340934818E-2</v>
      </c>
      <c r="S35" s="307">
        <f t="shared" ca="1" si="21"/>
        <v>2.1277059073875018</v>
      </c>
      <c r="T35" s="304">
        <f t="shared" ca="1" si="1"/>
        <v>20.872794951471395</v>
      </c>
      <c r="U35" s="311">
        <f t="shared" ca="1" si="2"/>
        <v>0</v>
      </c>
      <c r="V35" s="306">
        <f t="shared" ca="1" si="3"/>
        <v>1.2245239856480958</v>
      </c>
      <c r="W35" s="304">
        <f t="shared" ca="1" si="4"/>
        <v>1.70246966676955</v>
      </c>
      <c r="Y35" s="314" t="str">
        <f t="shared" ca="1" si="22"/>
        <v/>
      </c>
      <c r="Z35" s="315" t="str">
        <f t="shared" ca="1" si="23"/>
        <v/>
      </c>
      <c r="AA35" s="316" t="str">
        <f t="shared" ca="1" si="24"/>
        <v/>
      </c>
      <c r="AC35" s="310" t="e">
        <f t="shared" ca="1" si="25"/>
        <v>#N/A</v>
      </c>
      <c r="AD35" s="323" t="e">
        <f t="shared" ca="1" si="26"/>
        <v>#N/A</v>
      </c>
      <c r="AE35" s="324">
        <f t="shared" ca="1" si="5"/>
        <v>3.8865865751309832</v>
      </c>
      <c r="AG35" s="306">
        <f t="shared" ca="1" si="27"/>
        <v>77.438247288829771</v>
      </c>
      <c r="AH35" s="304">
        <f t="shared" ca="1" si="28"/>
        <v>87.20928721172713</v>
      </c>
    </row>
    <row r="36" spans="1:34" x14ac:dyDescent="0.2">
      <c r="A36" s="347">
        <f t="shared" ca="1" si="6"/>
        <v>0.01</v>
      </c>
      <c r="B36" s="304">
        <f t="shared" ca="1" si="7"/>
        <v>0.32000000000000012</v>
      </c>
      <c r="D36" s="306">
        <f t="shared" ca="1" si="8"/>
        <v>7.7578219758610514</v>
      </c>
      <c r="E36" s="307">
        <f t="shared" ca="1" si="9"/>
        <v>76.638651091600153</v>
      </c>
      <c r="F36" s="304">
        <f t="shared" ca="1" si="10"/>
        <v>77.03029691588354</v>
      </c>
      <c r="G36" s="306">
        <f t="shared" ca="1" si="11"/>
        <v>2.3293337659470605</v>
      </c>
      <c r="H36" s="307">
        <f t="shared" ca="1" si="12"/>
        <v>25.858639228459865</v>
      </c>
      <c r="I36" s="304">
        <f t="shared" ca="1" si="13"/>
        <v>25.963339895722672</v>
      </c>
      <c r="J36" s="306">
        <f t="shared" ca="1" si="14"/>
        <v>0.36455787282569657</v>
      </c>
      <c r="K36" s="307">
        <f t="shared" ca="1" si="15"/>
        <v>4.1413410348610018</v>
      </c>
      <c r="L36" s="304">
        <f t="shared" ca="1" si="0"/>
        <v>4.1573558916290523</v>
      </c>
      <c r="M36" s="306">
        <f t="shared" ca="1" si="16"/>
        <v>1.4809592737744597</v>
      </c>
      <c r="N36" s="304">
        <f t="shared" ca="1" si="17"/>
        <v>84.852716018035963</v>
      </c>
      <c r="P36" s="310">
        <f t="shared" ca="1" si="18"/>
        <v>3</v>
      </c>
      <c r="Q36" s="304">
        <f t="shared" ca="1" si="19"/>
        <v>186.29310344827584</v>
      </c>
      <c r="R36" s="306">
        <f t="shared" ca="1" si="20"/>
        <v>9.8875025419051202E-2</v>
      </c>
      <c r="S36" s="307">
        <f t="shared" ca="1" si="21"/>
        <v>2.1267171571333114</v>
      </c>
      <c r="T36" s="304">
        <f t="shared" ca="1" si="1"/>
        <v>20.863095311477785</v>
      </c>
      <c r="U36" s="311">
        <f t="shared" ca="1" si="2"/>
        <v>0</v>
      </c>
      <c r="V36" s="306">
        <f t="shared" ca="1" si="3"/>
        <v>1.2244927907495538</v>
      </c>
      <c r="W36" s="304">
        <f t="shared" ca="1" si="4"/>
        <v>1.8081177961227228</v>
      </c>
      <c r="Y36" s="314" t="str">
        <f t="shared" ca="1" si="22"/>
        <v/>
      </c>
      <c r="Z36" s="315" t="str">
        <f t="shared" ca="1" si="23"/>
        <v/>
      </c>
      <c r="AA36" s="316" t="str">
        <f t="shared" ca="1" si="24"/>
        <v/>
      </c>
      <c r="AC36" s="310" t="e">
        <f t="shared" ca="1" si="25"/>
        <v>#N/A</v>
      </c>
      <c r="AD36" s="323" t="e">
        <f t="shared" ca="1" si="26"/>
        <v>#N/A</v>
      </c>
      <c r="AE36" s="324">
        <f t="shared" ca="1" si="5"/>
        <v>4.1413410348610018</v>
      </c>
      <c r="AG36" s="306">
        <f t="shared" ca="1" si="27"/>
        <v>77.025306459299173</v>
      </c>
      <c r="AH36" s="304">
        <f t="shared" ca="1" si="28"/>
        <v>86.796042982191153</v>
      </c>
    </row>
    <row r="37" spans="1:34" x14ac:dyDescent="0.2">
      <c r="A37" s="347">
        <f t="shared" ca="1" si="6"/>
        <v>0.01</v>
      </c>
      <c r="B37" s="304">
        <f t="shared" ca="1" si="7"/>
        <v>0.33000000000000013</v>
      </c>
      <c r="D37" s="306">
        <f t="shared" ca="1" si="8"/>
        <v>7.7497792842519981</v>
      </c>
      <c r="E37" s="307">
        <f t="shared" ca="1" si="9"/>
        <v>76.222645703818415</v>
      </c>
      <c r="F37" s="304">
        <f t="shared" ca="1" si="10"/>
        <v>76.615604135479145</v>
      </c>
      <c r="G37" s="306">
        <f t="shared" ca="1" si="11"/>
        <v>2.4068315587895803</v>
      </c>
      <c r="H37" s="307">
        <f t="shared" ca="1" si="12"/>
        <v>26.62086568549805</v>
      </c>
      <c r="I37" s="304">
        <f t="shared" ca="1" si="13"/>
        <v>26.729446832991382</v>
      </c>
      <c r="J37" s="306">
        <f t="shared" ca="1" si="14"/>
        <v>0.38823869944937978</v>
      </c>
      <c r="K37" s="307">
        <f t="shared" ca="1" si="15"/>
        <v>4.4037385594307912</v>
      </c>
      <c r="L37" s="304">
        <f t="shared" ca="1" si="0"/>
        <v>4.4208192213172124</v>
      </c>
      <c r="M37" s="306">
        <f t="shared" ca="1" si="16"/>
        <v>1.4806300052575825</v>
      </c>
      <c r="N37" s="304">
        <f t="shared" ca="1" si="17"/>
        <v>84.833850321692367</v>
      </c>
      <c r="P37" s="310">
        <f t="shared" ca="1" si="18"/>
        <v>3</v>
      </c>
      <c r="Q37" s="304">
        <f t="shared" ca="1" si="19"/>
        <v>185.43103448275861</v>
      </c>
      <c r="R37" s="306">
        <f t="shared" ca="1" si="20"/>
        <v>9.8417482497167572E-2</v>
      </c>
      <c r="S37" s="307">
        <f t="shared" ca="1" si="21"/>
        <v>2.1257329823083397</v>
      </c>
      <c r="T37" s="304">
        <f t="shared" ca="1" si="1"/>
        <v>20.853440556444813</v>
      </c>
      <c r="U37" s="311">
        <f t="shared" ca="1" si="2"/>
        <v>0</v>
      </c>
      <c r="V37" s="306">
        <f t="shared" ca="1" si="3"/>
        <v>1.2244606607819153</v>
      </c>
      <c r="W37" s="304">
        <f t="shared" ca="1" si="4"/>
        <v>1.9163469919545544</v>
      </c>
      <c r="Y37" s="314" t="str">
        <f t="shared" ca="1" si="22"/>
        <v/>
      </c>
      <c r="Z37" s="315" t="str">
        <f t="shared" ca="1" si="23"/>
        <v/>
      </c>
      <c r="AA37" s="316" t="str">
        <f t="shared" ca="1" si="24"/>
        <v/>
      </c>
      <c r="AC37" s="310" t="e">
        <f t="shared" ca="1" si="25"/>
        <v>#N/A</v>
      </c>
      <c r="AD37" s="323" t="e">
        <f t="shared" ca="1" si="26"/>
        <v>#N/A</v>
      </c>
      <c r="AE37" s="324">
        <f t="shared" ca="1" si="5"/>
        <v>4.4037385594307912</v>
      </c>
      <c r="AG37" s="306">
        <f t="shared" ca="1" si="27"/>
        <v>76.610548829539866</v>
      </c>
      <c r="AH37" s="304">
        <f t="shared" ca="1" si="28"/>
        <v>86.380988682425766</v>
      </c>
    </row>
    <row r="38" spans="1:34" x14ac:dyDescent="0.2">
      <c r="A38" s="347">
        <f t="shared" ca="1" si="6"/>
        <v>0.01</v>
      </c>
      <c r="B38" s="304">
        <f t="shared" ca="1" si="7"/>
        <v>0.34000000000000014</v>
      </c>
      <c r="D38" s="306">
        <f t="shared" ca="1" si="8"/>
        <v>7.7405728012749817</v>
      </c>
      <c r="E38" s="307">
        <f t="shared" ca="1" si="9"/>
        <v>75.804943895446698</v>
      </c>
      <c r="F38" s="304">
        <f t="shared" ca="1" si="10"/>
        <v>76.199120639831918</v>
      </c>
      <c r="G38" s="306">
        <f t="shared" ca="1" si="11"/>
        <v>2.4842372868023301</v>
      </c>
      <c r="H38" s="307">
        <f t="shared" ca="1" si="12"/>
        <v>27.378915124452515</v>
      </c>
      <c r="I38" s="304">
        <f t="shared" ca="1" si="13"/>
        <v>27.491388256854428</v>
      </c>
      <c r="J38" s="306">
        <f t="shared" ca="1" si="14"/>
        <v>0.41269404367733931</v>
      </c>
      <c r="K38" s="307">
        <f t="shared" ca="1" si="15"/>
        <v>4.6737374634805438</v>
      </c>
      <c r="L38" s="304">
        <f t="shared" ca="1" si="0"/>
        <v>4.6919226604056785</v>
      </c>
      <c r="M38" s="306">
        <f t="shared" ca="1" si="16"/>
        <v>1.4803086924256956</v>
      </c>
      <c r="N38" s="304">
        <f t="shared" ca="1" si="17"/>
        <v>84.815440452521855</v>
      </c>
      <c r="P38" s="310">
        <f t="shared" ca="1" si="18"/>
        <v>3</v>
      </c>
      <c r="Q38" s="304">
        <f t="shared" ca="1" si="19"/>
        <v>184.56896551724137</v>
      </c>
      <c r="R38" s="306">
        <f t="shared" ca="1" si="20"/>
        <v>9.7959939575283955E-2</v>
      </c>
      <c r="S38" s="307">
        <f t="shared" ca="1" si="21"/>
        <v>2.1247533829125871</v>
      </c>
      <c r="T38" s="304">
        <f t="shared" ca="1" si="1"/>
        <v>20.843830686372481</v>
      </c>
      <c r="U38" s="311">
        <f t="shared" ca="1" si="2"/>
        <v>0</v>
      </c>
      <c r="V38" s="306">
        <f t="shared" ca="1" si="3"/>
        <v>1.2244276009228745</v>
      </c>
      <c r="W38" s="304">
        <f t="shared" ca="1" si="4"/>
        <v>2.0271030351950623</v>
      </c>
      <c r="Y38" s="314" t="str">
        <f t="shared" ca="1" si="22"/>
        <v/>
      </c>
      <c r="Z38" s="315" t="str">
        <f t="shared" ca="1" si="23"/>
        <v/>
      </c>
      <c r="AA38" s="316" t="str">
        <f t="shared" ca="1" si="24"/>
        <v/>
      </c>
      <c r="AC38" s="310" t="e">
        <f t="shared" ca="1" si="25"/>
        <v>#N/A</v>
      </c>
      <c r="AD38" s="323" t="e">
        <f t="shared" ca="1" si="26"/>
        <v>#N/A</v>
      </c>
      <c r="AE38" s="324">
        <f t="shared" ca="1" si="5"/>
        <v>4.6737374634805438</v>
      </c>
      <c r="AG38" s="306">
        <f t="shared" ca="1" si="27"/>
        <v>76.194000473098953</v>
      </c>
      <c r="AH38" s="304">
        <f t="shared" ca="1" si="28"/>
        <v>85.964150001685724</v>
      </c>
    </row>
    <row r="39" spans="1:34" x14ac:dyDescent="0.2">
      <c r="A39" s="347">
        <f t="shared" ca="1" si="6"/>
        <v>0.01</v>
      </c>
      <c r="B39" s="304">
        <f t="shared" ca="1" si="7"/>
        <v>0.35000000000000014</v>
      </c>
      <c r="D39" s="306">
        <f t="shared" ca="1" si="8"/>
        <v>7.7302553708124391</v>
      </c>
      <c r="E39" s="307">
        <f t="shared" ca="1" si="9"/>
        <v>75.385567594206961</v>
      </c>
      <c r="F39" s="304">
        <f t="shared" ca="1" si="10"/>
        <v>75.780872584041418</v>
      </c>
      <c r="G39" s="306">
        <f t="shared" ca="1" si="11"/>
        <v>2.5615398405104544</v>
      </c>
      <c r="H39" s="307">
        <f t="shared" ca="1" si="12"/>
        <v>28.132770800394585</v>
      </c>
      <c r="I39" s="304">
        <f t="shared" ca="1" si="13"/>
        <v>28.249146522719169</v>
      </c>
      <c r="J39" s="306">
        <f t="shared" ca="1" si="14"/>
        <v>0.43792292931390325</v>
      </c>
      <c r="K39" s="307">
        <f t="shared" ca="1" si="15"/>
        <v>4.9512958931047795</v>
      </c>
      <c r="L39" s="304">
        <f t="shared" ca="1" si="0"/>
        <v>4.9706244590690138</v>
      </c>
      <c r="M39" s="306">
        <f t="shared" ca="1" si="16"/>
        <v>1.4799948872603859</v>
      </c>
      <c r="N39" s="304">
        <f t="shared" ca="1" si="17"/>
        <v>84.797460740960204</v>
      </c>
      <c r="P39" s="310">
        <f t="shared" ca="1" si="18"/>
        <v>3</v>
      </c>
      <c r="Q39" s="304">
        <f t="shared" ca="1" si="19"/>
        <v>183.70689655172413</v>
      </c>
      <c r="R39" s="306">
        <f t="shared" ca="1" si="20"/>
        <v>9.7502396653400325E-2</v>
      </c>
      <c r="S39" s="307">
        <f t="shared" ca="1" si="21"/>
        <v>2.123778358946053</v>
      </c>
      <c r="T39" s="304">
        <f t="shared" ca="1" si="1"/>
        <v>20.834265701260783</v>
      </c>
      <c r="U39" s="311">
        <f t="shared" ca="1" si="2"/>
        <v>0</v>
      </c>
      <c r="V39" s="306">
        <f t="shared" ca="1" si="3"/>
        <v>1.224393616372333</v>
      </c>
      <c r="W39" s="304">
        <f t="shared" ca="1" si="4"/>
        <v>2.1403317280815073</v>
      </c>
      <c r="Y39" s="314" t="str">
        <f t="shared" ca="1" si="22"/>
        <v/>
      </c>
      <c r="Z39" s="315" t="str">
        <f t="shared" ca="1" si="23"/>
        <v/>
      </c>
      <c r="AA39" s="316" t="str">
        <f t="shared" ca="1" si="24"/>
        <v/>
      </c>
      <c r="AC39" s="310" t="e">
        <f t="shared" ca="1" si="25"/>
        <v>#N/A</v>
      </c>
      <c r="AD39" s="323" t="e">
        <f t="shared" ca="1" si="26"/>
        <v>#N/A</v>
      </c>
      <c r="AE39" s="324">
        <f t="shared" ca="1" si="5"/>
        <v>4.9512958931047795</v>
      </c>
      <c r="AG39" s="306">
        <f t="shared" ca="1" si="27"/>
        <v>75.775687496601691</v>
      </c>
      <c r="AH39" s="304">
        <f t="shared" ca="1" si="28"/>
        <v>85.545552694439138</v>
      </c>
    </row>
    <row r="40" spans="1:34" x14ac:dyDescent="0.2">
      <c r="A40" s="347">
        <f t="shared" ca="1" si="6"/>
        <v>0.01</v>
      </c>
      <c r="B40" s="304">
        <f t="shared" ca="1" si="7"/>
        <v>0.36000000000000015</v>
      </c>
      <c r="D40" s="306">
        <f t="shared" ca="1" si="8"/>
        <v>7.7188756440324076</v>
      </c>
      <c r="E40" s="307">
        <f t="shared" ca="1" si="9"/>
        <v>74.964539086238887</v>
      </c>
      <c r="F40" s="304">
        <f t="shared" ca="1" si="10"/>
        <v>75.360886152036954</v>
      </c>
      <c r="G40" s="306">
        <f t="shared" ca="1" si="11"/>
        <v>2.6387285969507785</v>
      </c>
      <c r="H40" s="307">
        <f t="shared" ca="1" si="12"/>
        <v>28.882416191256976</v>
      </c>
      <c r="I40" s="304">
        <f t="shared" ca="1" si="13"/>
        <v>29.0027042472482</v>
      </c>
      <c r="J40" s="306">
        <f t="shared" ca="1" si="14"/>
        <v>0.46392427150120941</v>
      </c>
      <c r="K40" s="307">
        <f t="shared" ca="1" si="15"/>
        <v>5.2363718280630369</v>
      </c>
      <c r="L40" s="304">
        <f t="shared" ca="1" si="0"/>
        <v>5.2568826933288282</v>
      </c>
      <c r="M40" s="306">
        <f t="shared" ca="1" si="16"/>
        <v>1.4796881784129206</v>
      </c>
      <c r="N40" s="304">
        <f t="shared" ca="1" si="17"/>
        <v>84.779887618461117</v>
      </c>
      <c r="P40" s="310">
        <f t="shared" ca="1" si="18"/>
        <v>3</v>
      </c>
      <c r="Q40" s="304">
        <f t="shared" ca="1" si="19"/>
        <v>182.84482758620689</v>
      </c>
      <c r="R40" s="306">
        <f t="shared" ca="1" si="20"/>
        <v>9.7044853731516709E-2</v>
      </c>
      <c r="S40" s="307">
        <f t="shared" ca="1" si="21"/>
        <v>2.1228079104087381</v>
      </c>
      <c r="T40" s="304">
        <f t="shared" ca="1" si="1"/>
        <v>20.824745601109722</v>
      </c>
      <c r="U40" s="311">
        <f t="shared" ca="1" si="2"/>
        <v>0</v>
      </c>
      <c r="V40" s="306">
        <f t="shared" ca="1" si="3"/>
        <v>1.2243587123520911</v>
      </c>
      <c r="W40" s="304">
        <f t="shared" ca="1" si="4"/>
        <v>2.2559789040121996</v>
      </c>
      <c r="Y40" s="314" t="str">
        <f t="shared" ca="1" si="22"/>
        <v/>
      </c>
      <c r="Z40" s="315" t="str">
        <f t="shared" ca="1" si="23"/>
        <v/>
      </c>
      <c r="AA40" s="316" t="str">
        <f t="shared" ca="1" si="24"/>
        <v/>
      </c>
      <c r="AC40" s="310" t="e">
        <f t="shared" ca="1" si="25"/>
        <v>#N/A</v>
      </c>
      <c r="AD40" s="323" t="e">
        <f t="shared" ca="1" si="26"/>
        <v>#N/A</v>
      </c>
      <c r="AE40" s="324">
        <f t="shared" ca="1" si="5"/>
        <v>5.2363718280630369</v>
      </c>
      <c r="AG40" s="306">
        <f t="shared" ca="1" si="27"/>
        <v>75.355636038224986</v>
      </c>
      <c r="AH40" s="304">
        <f t="shared" ca="1" si="28"/>
        <v>85.125222575287765</v>
      </c>
    </row>
    <row r="41" spans="1:34" x14ac:dyDescent="0.2">
      <c r="A41" s="347">
        <f t="shared" ca="1" si="6"/>
        <v>0.01</v>
      </c>
      <c r="B41" s="304">
        <f t="shared" ca="1" si="7"/>
        <v>0.37000000000000016</v>
      </c>
      <c r="D41" s="306">
        <f t="shared" ca="1" si="8"/>
        <v>7.706478539482184</v>
      </c>
      <c r="E41" s="307">
        <f t="shared" ca="1" si="9"/>
        <v>74.541880979166265</v>
      </c>
      <c r="F41" s="304">
        <f t="shared" ca="1" si="10"/>
        <v>74.939187554921418</v>
      </c>
      <c r="G41" s="306">
        <f t="shared" ca="1" si="11"/>
        <v>2.7157933823456002</v>
      </c>
      <c r="H41" s="307">
        <f t="shared" ca="1" si="12"/>
        <v>29.627835001048638</v>
      </c>
      <c r="I41" s="304">
        <f t="shared" ca="1" si="13"/>
        <v>29.752044308668182</v>
      </c>
      <c r="J41" s="306">
        <f t="shared" ca="1" si="14"/>
        <v>0.4906968813976913</v>
      </c>
      <c r="K41" s="307">
        <f t="shared" ca="1" si="15"/>
        <v>5.5289230840245649</v>
      </c>
      <c r="L41" s="304">
        <f t="shared" ca="1" si="0"/>
        <v>5.5506552674862748</v>
      </c>
      <c r="M41" s="306">
        <f t="shared" ca="1" si="16"/>
        <v>1.4793881872707233</v>
      </c>
      <c r="N41" s="304">
        <f t="shared" ca="1" si="17"/>
        <v>84.762699392121903</v>
      </c>
      <c r="P41" s="310">
        <f t="shared" ca="1" si="18"/>
        <v>3</v>
      </c>
      <c r="Q41" s="304">
        <f t="shared" ca="1" si="19"/>
        <v>181.98275862068965</v>
      </c>
      <c r="R41" s="306">
        <f t="shared" ca="1" si="20"/>
        <v>9.6587310809633078E-2</v>
      </c>
      <c r="S41" s="307">
        <f t="shared" ca="1" si="21"/>
        <v>2.1218420373006417</v>
      </c>
      <c r="T41" s="304">
        <f t="shared" ca="1" si="1"/>
        <v>20.815270385919295</v>
      </c>
      <c r="U41" s="311">
        <f t="shared" ca="1" si="2"/>
        <v>0</v>
      </c>
      <c r="V41" s="306">
        <f t="shared" ca="1" si="3"/>
        <v>1.2243228941055277</v>
      </c>
      <c r="W41" s="304">
        <f t="shared" ca="1" si="4"/>
        <v>2.3739904373274041</v>
      </c>
      <c r="Y41" s="314" t="str">
        <f t="shared" ca="1" si="22"/>
        <v/>
      </c>
      <c r="Z41" s="315" t="str">
        <f t="shared" ca="1" si="23"/>
        <v/>
      </c>
      <c r="AA41" s="316" t="str">
        <f t="shared" ca="1" si="24"/>
        <v/>
      </c>
      <c r="AC41" s="310" t="e">
        <f t="shared" ca="1" si="25"/>
        <v>#N/A</v>
      </c>
      <c r="AD41" s="323" t="e">
        <f t="shared" ca="1" si="26"/>
        <v>#N/A</v>
      </c>
      <c r="AE41" s="324">
        <f t="shared" ca="1" si="5"/>
        <v>5.5289230840245649</v>
      </c>
      <c r="AG41" s="306">
        <f t="shared" ca="1" si="27"/>
        <v>74.933872265705844</v>
      </c>
      <c r="AH41" s="304">
        <f t="shared" ca="1" si="28"/>
        <v>84.703185513904558</v>
      </c>
    </row>
    <row r="42" spans="1:34" x14ac:dyDescent="0.2">
      <c r="A42" s="347">
        <f t="shared" ca="1" si="6"/>
        <v>0.01</v>
      </c>
      <c r="B42" s="304">
        <f t="shared" ca="1" si="7"/>
        <v>0.38000000000000017</v>
      </c>
      <c r="D42" s="306">
        <f t="shared" ca="1" si="8"/>
        <v>7.6931056413925942</v>
      </c>
      <c r="E42" s="307">
        <f t="shared" ca="1" si="9"/>
        <v>74.117616169369853</v>
      </c>
      <c r="F42" s="304">
        <f t="shared" ca="1" si="10"/>
        <v>74.5158030288855</v>
      </c>
      <c r="G42" s="306">
        <f t="shared" ca="1" si="11"/>
        <v>2.7927244387595263</v>
      </c>
      <c r="H42" s="307">
        <f t="shared" ca="1" si="12"/>
        <v>30.369011162742336</v>
      </c>
      <c r="I42" s="304">
        <f t="shared" ca="1" si="13"/>
        <v>30.497149847053141</v>
      </c>
      <c r="J42" s="306">
        <f t="shared" ca="1" si="14"/>
        <v>0.51823947050321695</v>
      </c>
      <c r="K42" s="307">
        <f t="shared" ca="1" si="15"/>
        <v>5.8289073148435193</v>
      </c>
      <c r="L42" s="304">
        <f t="shared" ca="1" si="0"/>
        <v>5.8518999165932204</v>
      </c>
      <c r="M42" s="306">
        <f t="shared" ca="1" si="16"/>
        <v>1.4790945645398481</v>
      </c>
      <c r="N42" s="304">
        <f t="shared" ca="1" si="17"/>
        <v>84.745876048873654</v>
      </c>
      <c r="P42" s="310">
        <f t="shared" ca="1" si="18"/>
        <v>3</v>
      </c>
      <c r="Q42" s="304">
        <f t="shared" ca="1" si="19"/>
        <v>181.12068965517238</v>
      </c>
      <c r="R42" s="306">
        <f t="shared" ca="1" si="20"/>
        <v>9.6129767887749448E-2</v>
      </c>
      <c r="S42" s="307">
        <f t="shared" ca="1" si="21"/>
        <v>2.1208807396217644</v>
      </c>
      <c r="T42" s="304">
        <f t="shared" ca="1" si="1"/>
        <v>20.805840055689508</v>
      </c>
      <c r="U42" s="311">
        <f t="shared" ca="1" si="2"/>
        <v>0</v>
      </c>
      <c r="V42" s="306">
        <f t="shared" ca="1" si="3"/>
        <v>1.2242861668972813</v>
      </c>
      <c r="W42" s="304">
        <f t="shared" ca="1" si="4"/>
        <v>2.4943122530149675</v>
      </c>
      <c r="Y42" s="314" t="str">
        <f t="shared" ca="1" si="22"/>
        <v/>
      </c>
      <c r="Z42" s="315" t="str">
        <f t="shared" ca="1" si="23"/>
        <v/>
      </c>
      <c r="AA42" s="316" t="str">
        <f t="shared" ca="1" si="24"/>
        <v/>
      </c>
      <c r="AC42" s="310" t="e">
        <f t="shared" ca="1" si="25"/>
        <v>#N/A</v>
      </c>
      <c r="AD42" s="323" t="e">
        <f t="shared" ca="1" si="26"/>
        <v>#N/A</v>
      </c>
      <c r="AE42" s="324">
        <f t="shared" ca="1" si="5"/>
        <v>5.8289073148435193</v>
      </c>
      <c r="AG42" s="306">
        <f t="shared" ca="1" si="27"/>
        <v>74.510422373962854</v>
      </c>
      <c r="AH42" s="304">
        <f t="shared" ca="1" si="28"/>
        <v>84.279467429989722</v>
      </c>
    </row>
    <row r="43" spans="1:34" x14ac:dyDescent="0.2">
      <c r="A43" s="347">
        <f t="shared" ca="1" si="6"/>
        <v>0.01</v>
      </c>
      <c r="B43" s="304">
        <f t="shared" ca="1" si="7"/>
        <v>0.39000000000000018</v>
      </c>
      <c r="D43" s="306">
        <f t="shared" ca="1" si="8"/>
        <v>7.678795545920881</v>
      </c>
      <c r="E43" s="307">
        <f t="shared" ca="1" si="9"/>
        <v>73.691767812820501</v>
      </c>
      <c r="F43" s="304">
        <f t="shared" ca="1" si="10"/>
        <v>74.09075883276337</v>
      </c>
      <c r="G43" s="306">
        <f t="shared" ca="1" si="11"/>
        <v>2.8695123942187353</v>
      </c>
      <c r="H43" s="307">
        <f t="shared" ca="1" si="12"/>
        <v>31.10592884087054</v>
      </c>
      <c r="I43" s="304">
        <f t="shared" ca="1" si="13"/>
        <v>31.238004264579331</v>
      </c>
      <c r="J43" s="306">
        <f t="shared" ca="1" si="14"/>
        <v>0.54655065466810826</v>
      </c>
      <c r="K43" s="307">
        <f t="shared" ca="1" si="15"/>
        <v>6.1362820148615835</v>
      </c>
      <c r="L43" s="304">
        <f t="shared" ca="1" si="0"/>
        <v>6.160574208954217</v>
      </c>
      <c r="M43" s="306">
        <f t="shared" ca="1" si="16"/>
        <v>1.4788069872640555</v>
      </c>
      <c r="N43" s="304">
        <f t="shared" ca="1" si="17"/>
        <v>84.729399084686861</v>
      </c>
      <c r="P43" s="310">
        <f t="shared" ca="1" si="18"/>
        <v>3</v>
      </c>
      <c r="Q43" s="304">
        <f t="shared" ca="1" si="19"/>
        <v>180.25862068965515</v>
      </c>
      <c r="R43" s="306">
        <f t="shared" ca="1" si="20"/>
        <v>9.5672224965865818E-2</v>
      </c>
      <c r="S43" s="307">
        <f t="shared" ca="1" si="21"/>
        <v>2.1199240173721057</v>
      </c>
      <c r="T43" s="304">
        <f t="shared" ca="1" si="1"/>
        <v>20.796454610420358</v>
      </c>
      <c r="U43" s="311">
        <f t="shared" ca="1" si="2"/>
        <v>0</v>
      </c>
      <c r="V43" s="306">
        <f t="shared" ca="1" si="3"/>
        <v>1.2242485360129269</v>
      </c>
      <c r="W43" s="304">
        <f t="shared" ca="1" si="4"/>
        <v>2.6168903363383049</v>
      </c>
      <c r="Y43" s="314" t="str">
        <f t="shared" ca="1" si="22"/>
        <v/>
      </c>
      <c r="Z43" s="315" t="str">
        <f t="shared" ca="1" si="23"/>
        <v/>
      </c>
      <c r="AA43" s="316" t="str">
        <f t="shared" ca="1" si="24"/>
        <v/>
      </c>
      <c r="AC43" s="310" t="e">
        <f t="shared" ca="1" si="25"/>
        <v>#N/A</v>
      </c>
      <c r="AD43" s="323" t="e">
        <f t="shared" ca="1" si="26"/>
        <v>#N/A</v>
      </c>
      <c r="AE43" s="324">
        <f t="shared" ca="1" si="5"/>
        <v>6.1362820148615835</v>
      </c>
      <c r="AG43" s="306">
        <f t="shared" ca="1" si="27"/>
        <v>74.085312582395701</v>
      </c>
      <c r="AH43" s="304">
        <f t="shared" ca="1" si="28"/>
        <v>83.854094288247126</v>
      </c>
    </row>
    <row r="44" spans="1:34" x14ac:dyDescent="0.2">
      <c r="A44" s="347">
        <f t="shared" ca="1" si="6"/>
        <v>0.01</v>
      </c>
      <c r="B44" s="304">
        <f t="shared" ca="1" si="7"/>
        <v>0.40000000000000019</v>
      </c>
      <c r="D44" s="306">
        <f t="shared" ca="1" si="8"/>
        <v>7.6635841633147033</v>
      </c>
      <c r="E44" s="307">
        <f t="shared" ca="1" si="9"/>
        <v>73.264359298940249</v>
      </c>
      <c r="F44" s="304">
        <f t="shared" ca="1" si="10"/>
        <v>73.664081245288187</v>
      </c>
      <c r="G44" s="306">
        <f t="shared" ca="1" si="11"/>
        <v>2.9461482358518825</v>
      </c>
      <c r="H44" s="307">
        <f t="shared" ca="1" si="12"/>
        <v>31.838572433859941</v>
      </c>
      <c r="I44" s="304">
        <f t="shared" ca="1" si="13"/>
        <v>31.974591225749226</v>
      </c>
      <c r="J44" s="306">
        <f t="shared" ca="1" si="14"/>
        <v>0.57562895781846135</v>
      </c>
      <c r="K44" s="307">
        <f t="shared" ca="1" si="15"/>
        <v>6.4510045212352356</v>
      </c>
      <c r="L44" s="304">
        <f t="shared" ca="1" si="0"/>
        <v>6.4766355486530678</v>
      </c>
      <c r="M44" s="306">
        <f t="shared" ca="1" si="16"/>
        <v>1.478525156215023</v>
      </c>
      <c r="N44" s="304">
        <f t="shared" ca="1" si="17"/>
        <v>84.71325135504155</v>
      </c>
      <c r="P44" s="310">
        <f t="shared" ca="1" si="18"/>
        <v>3</v>
      </c>
      <c r="Q44" s="304">
        <f t="shared" ca="1" si="19"/>
        <v>179.39655172413791</v>
      </c>
      <c r="R44" s="306">
        <f t="shared" ca="1" si="20"/>
        <v>9.5214682043982202E-2</v>
      </c>
      <c r="S44" s="307">
        <f t="shared" ca="1" si="21"/>
        <v>2.118971870551666</v>
      </c>
      <c r="T44" s="304">
        <f t="shared" ca="1" si="1"/>
        <v>20.787114050111846</v>
      </c>
      <c r="U44" s="311">
        <f t="shared" ca="1" si="2"/>
        <v>0</v>
      </c>
      <c r="V44" s="306">
        <f t="shared" ca="1" si="3"/>
        <v>1.2242100067586477</v>
      </c>
      <c r="W44" s="304">
        <f t="shared" ca="1" si="4"/>
        <v>2.741670742384402</v>
      </c>
      <c r="Y44" s="314" t="str">
        <f t="shared" ca="1" si="22"/>
        <v/>
      </c>
      <c r="Z44" s="315" t="str">
        <f t="shared" ca="1" si="23"/>
        <v/>
      </c>
      <c r="AA44" s="316" t="str">
        <f t="shared" ca="1" si="24"/>
        <v/>
      </c>
      <c r="AC44" s="310" t="e">
        <f t="shared" ca="1" si="25"/>
        <v>#N/A</v>
      </c>
      <c r="AD44" s="323" t="e">
        <f t="shared" ca="1" si="26"/>
        <v>#N/A</v>
      </c>
      <c r="AE44" s="324">
        <f t="shared" ca="1" si="5"/>
        <v>6.4510045212352356</v>
      </c>
      <c r="AG44" s="306">
        <f t="shared" ca="1" si="27"/>
        <v>73.658569131915144</v>
      </c>
      <c r="AH44" s="304">
        <f t="shared" ca="1" si="28"/>
        <v>83.427092093381916</v>
      </c>
    </row>
    <row r="45" spans="1:34" x14ac:dyDescent="0.2">
      <c r="A45" s="347">
        <f t="shared" ca="1" si="6"/>
        <v>0.01</v>
      </c>
      <c r="B45" s="304">
        <f t="shared" ca="1" si="7"/>
        <v>0.4100000000000002</v>
      </c>
      <c r="D45" s="306">
        <f t="shared" ca="1" si="8"/>
        <v>7.6475049825831212</v>
      </c>
      <c r="E45" s="307">
        <f t="shared" ca="1" si="9"/>
        <v>72.835414227051984</v>
      </c>
      <c r="F45" s="304">
        <f t="shared" ca="1" si="10"/>
        <v>73.23579656209715</v>
      </c>
      <c r="G45" s="306">
        <f t="shared" ca="1" si="11"/>
        <v>3.0226232856777138</v>
      </c>
      <c r="H45" s="307">
        <f t="shared" ca="1" si="12"/>
        <v>32.566926576130463</v>
      </c>
      <c r="I45" s="304">
        <f t="shared" ca="1" si="13"/>
        <v>32.706894657582424</v>
      </c>
      <c r="J45" s="306">
        <f t="shared" ca="1" si="14"/>
        <v>0.60547281542610931</v>
      </c>
      <c r="K45" s="307">
        <f t="shared" ca="1" si="15"/>
        <v>6.773032016285188</v>
      </c>
      <c r="L45" s="304">
        <f t="shared" ca="1" si="0"/>
        <v>6.8000411780991605</v>
      </c>
      <c r="M45" s="306">
        <f t="shared" ca="1" si="16"/>
        <v>1.4782487935994211</v>
      </c>
      <c r="N45" s="304">
        <f t="shared" ca="1" si="17"/>
        <v>84.697416943552369</v>
      </c>
      <c r="P45" s="310">
        <f t="shared" ca="1" si="18"/>
        <v>3</v>
      </c>
      <c r="Q45" s="304">
        <f t="shared" ca="1" si="19"/>
        <v>178.53448275862067</v>
      </c>
      <c r="R45" s="306">
        <f t="shared" ca="1" si="20"/>
        <v>9.4757139122098571E-2</v>
      </c>
      <c r="S45" s="307">
        <f t="shared" ca="1" si="21"/>
        <v>2.118024299160445</v>
      </c>
      <c r="T45" s="304">
        <f t="shared" ca="1" si="1"/>
        <v>20.777818374763967</v>
      </c>
      <c r="U45" s="311">
        <f t="shared" ca="1" si="2"/>
        <v>0</v>
      </c>
      <c r="V45" s="306">
        <f t="shared" ca="1" si="3"/>
        <v>1.2241705844609054</v>
      </c>
      <c r="W45" s="304">
        <f t="shared" ca="1" si="4"/>
        <v>2.8685996055295111</v>
      </c>
      <c r="Y45" s="314" t="str">
        <f t="shared" ca="1" si="22"/>
        <v/>
      </c>
      <c r="Z45" s="315" t="str">
        <f t="shared" ca="1" si="23"/>
        <v/>
      </c>
      <c r="AA45" s="316" t="str">
        <f t="shared" ca="1" si="24"/>
        <v/>
      </c>
      <c r="AC45" s="310" t="e">
        <f t="shared" ca="1" si="25"/>
        <v>#N/A</v>
      </c>
      <c r="AD45" s="323" t="e">
        <f t="shared" ca="1" si="26"/>
        <v>#N/A</v>
      </c>
      <c r="AE45" s="324">
        <f t="shared" ca="1" si="5"/>
        <v>6.773032016285188</v>
      </c>
      <c r="AG45" s="306">
        <f t="shared" ca="1" si="27"/>
        <v>73.230218281748407</v>
      </c>
      <c r="AH45" s="304">
        <f t="shared" ca="1" si="28"/>
        <v>82.998486885121224</v>
      </c>
    </row>
    <row r="46" spans="1:34" x14ac:dyDescent="0.2">
      <c r="A46" s="347">
        <f t="shared" ca="1" si="6"/>
        <v>0.01</v>
      </c>
      <c r="B46" s="304">
        <f t="shared" ca="1" si="7"/>
        <v>0.42000000000000021</v>
      </c>
      <c r="D46" s="306">
        <f t="shared" ca="1" si="8"/>
        <v>7.6305893041369277</v>
      </c>
      <c r="E46" s="307">
        <f t="shared" ca="1" si="9"/>
        <v>72.404956385051335</v>
      </c>
      <c r="F46" s="304">
        <f t="shared" ca="1" si="10"/>
        <v>72.805931092525668</v>
      </c>
      <c r="G46" s="306">
        <f t="shared" ca="1" si="11"/>
        <v>3.0989291787190831</v>
      </c>
      <c r="H46" s="307">
        <f t="shared" ca="1" si="12"/>
        <v>33.290976139980977</v>
      </c>
      <c r="I46" s="304">
        <f t="shared" ca="1" si="13"/>
        <v>33.434898749771911</v>
      </c>
      <c r="J46" s="306">
        <f t="shared" ca="1" si="14"/>
        <v>0.63608057774809335</v>
      </c>
      <c r="K46" s="307">
        <f t="shared" ca="1" si="15"/>
        <v>7.1023215298657449</v>
      </c>
      <c r="L46" s="304">
        <f t="shared" ca="1" si="0"/>
        <v>7.1307481805896673</v>
      </c>
      <c r="M46" s="306">
        <f t="shared" ca="1" si="16"/>
        <v>1.4779776410376395</v>
      </c>
      <c r="N46" s="304">
        <f t="shared" ca="1" si="17"/>
        <v>84.681881046158125</v>
      </c>
      <c r="P46" s="310">
        <f t="shared" ca="1" si="18"/>
        <v>3</v>
      </c>
      <c r="Q46" s="304">
        <f t="shared" ca="1" si="19"/>
        <v>177.67241379310343</v>
      </c>
      <c r="R46" s="306">
        <f t="shared" ca="1" si="20"/>
        <v>9.4299596200214955E-2</v>
      </c>
      <c r="S46" s="307">
        <f t="shared" ca="1" si="21"/>
        <v>2.117081303198443</v>
      </c>
      <c r="T46" s="304">
        <f t="shared" ca="1" si="1"/>
        <v>20.768567584376726</v>
      </c>
      <c r="U46" s="311">
        <f t="shared" ca="1" si="2"/>
        <v>0</v>
      </c>
      <c r="V46" s="306">
        <f t="shared" ca="1" si="3"/>
        <v>1.2241302744661107</v>
      </c>
      <c r="W46" s="304">
        <f t="shared" ca="1" si="4"/>
        <v>2.9976231488202862</v>
      </c>
      <c r="Y46" s="314" t="str">
        <f t="shared" ca="1" si="22"/>
        <v/>
      </c>
      <c r="Z46" s="315" t="str">
        <f t="shared" ca="1" si="23"/>
        <v/>
      </c>
      <c r="AA46" s="316" t="str">
        <f t="shared" ca="1" si="24"/>
        <v/>
      </c>
      <c r="AC46" s="310" t="e">
        <f t="shared" ca="1" si="25"/>
        <v>#N/A</v>
      </c>
      <c r="AD46" s="323" t="e">
        <f t="shared" ca="1" si="26"/>
        <v>#N/A</v>
      </c>
      <c r="AE46" s="324">
        <f t="shared" ca="1" si="5"/>
        <v>7.1023215298657449</v>
      </c>
      <c r="AG46" s="306">
        <f t="shared" ca="1" si="27"/>
        <v>72.800286306056279</v>
      </c>
      <c r="AH46" s="304">
        <f t="shared" ca="1" si="28"/>
        <v>82.568304733258898</v>
      </c>
    </row>
    <row r="47" spans="1:34" x14ac:dyDescent="0.2">
      <c r="A47" s="347">
        <f t="shared" ca="1" si="6"/>
        <v>0.01</v>
      </c>
      <c r="B47" s="304">
        <f t="shared" ca="1" si="7"/>
        <v>0.43000000000000022</v>
      </c>
      <c r="D47" s="306">
        <f t="shared" ca="1" si="8"/>
        <v>7.6128664449517549</v>
      </c>
      <c r="E47" s="307">
        <f t="shared" ca="1" si="9"/>
        <v>71.97300972999588</v>
      </c>
      <c r="F47" s="304">
        <f t="shared" ca="1" si="10"/>
        <v>72.374511156226504</v>
      </c>
      <c r="G47" s="306">
        <f t="shared" ca="1" si="11"/>
        <v>3.1750578431686005</v>
      </c>
      <c r="H47" s="307">
        <f t="shared" ca="1" si="12"/>
        <v>34.010706237280935</v>
      </c>
      <c r="I47" s="304">
        <f t="shared" ca="1" si="13"/>
        <v>34.158587954804084</v>
      </c>
      <c r="J47" s="306">
        <f t="shared" ca="1" si="14"/>
        <v>0.66745051285753176</v>
      </c>
      <c r="K47" s="307">
        <f t="shared" ca="1" si="15"/>
        <v>7.4388299417520543</v>
      </c>
      <c r="L47" s="304">
        <f t="shared" ca="1" si="0"/>
        <v>7.4687134828844952</v>
      </c>
      <c r="M47" s="306">
        <f t="shared" ca="1" si="16"/>
        <v>1.4777114577763228</v>
      </c>
      <c r="N47" s="304">
        <f t="shared" ca="1" si="17"/>
        <v>84.666629868707659</v>
      </c>
      <c r="P47" s="310">
        <f t="shared" ca="1" si="18"/>
        <v>3</v>
      </c>
      <c r="Q47" s="304">
        <f t="shared" ca="1" si="19"/>
        <v>176.81034482758619</v>
      </c>
      <c r="R47" s="306">
        <f t="shared" ca="1" si="20"/>
        <v>9.3842053278331325E-2</v>
      </c>
      <c r="S47" s="307">
        <f t="shared" ca="1" si="21"/>
        <v>2.1161428826656596</v>
      </c>
      <c r="T47" s="304">
        <f t="shared" ca="1" si="1"/>
        <v>20.759361678950121</v>
      </c>
      <c r="U47" s="311">
        <f t="shared" ca="1" si="2"/>
        <v>0</v>
      </c>
      <c r="V47" s="306">
        <f t="shared" ca="1" si="3"/>
        <v>1.2240890821402881</v>
      </c>
      <c r="W47" s="304">
        <f t="shared" ca="1" si="4"/>
        <v>3.1286876932680734</v>
      </c>
      <c r="Y47" s="314" t="str">
        <f t="shared" ca="1" si="22"/>
        <v/>
      </c>
      <c r="Z47" s="315" t="str">
        <f t="shared" ca="1" si="23"/>
        <v/>
      </c>
      <c r="AA47" s="316" t="str">
        <f t="shared" ca="1" si="24"/>
        <v/>
      </c>
      <c r="AC47" s="310" t="e">
        <f t="shared" ca="1" si="25"/>
        <v>#N/A</v>
      </c>
      <c r="AD47" s="323" t="e">
        <f t="shared" ca="1" si="26"/>
        <v>#N/A</v>
      </c>
      <c r="AE47" s="324">
        <f t="shared" ca="1" si="5"/>
        <v>7.4388299417520543</v>
      </c>
      <c r="AG47" s="306">
        <f t="shared" ca="1" si="27"/>
        <v>72.368799490393869</v>
      </c>
      <c r="AH47" s="304">
        <f t="shared" ca="1" si="28"/>
        <v>82.136571732726182</v>
      </c>
    </row>
    <row r="48" spans="1:34" x14ac:dyDescent="0.2">
      <c r="A48" s="347">
        <f t="shared" ca="1" si="6"/>
        <v>0.01</v>
      </c>
      <c r="B48" s="304">
        <f t="shared" ca="1" si="7"/>
        <v>0.44000000000000022</v>
      </c>
      <c r="D48" s="306">
        <f t="shared" ca="1" si="8"/>
        <v>7.5943639200671509</v>
      </c>
      <c r="E48" s="307">
        <f t="shared" ca="1" si="9"/>
        <v>71.53959837035444</v>
      </c>
      <c r="F48" s="304">
        <f t="shared" ca="1" si="10"/>
        <v>71.941563079641497</v>
      </c>
      <c r="G48" s="306">
        <f t="shared" ca="1" si="11"/>
        <v>3.2510014823692721</v>
      </c>
      <c r="H48" s="307">
        <f t="shared" ca="1" si="12"/>
        <v>34.72610222098448</v>
      </c>
      <c r="I48" s="304">
        <f t="shared" ca="1" si="13"/>
        <v>34.877946988041458</v>
      </c>
      <c r="J48" s="306">
        <f t="shared" ca="1" si="14"/>
        <v>0.69958080948522117</v>
      </c>
      <c r="K48" s="307">
        <f t="shared" ca="1" si="15"/>
        <v>7.7825139840433817</v>
      </c>
      <c r="L48" s="304">
        <f t="shared" ca="1" si="0"/>
        <v>7.8138938577914399</v>
      </c>
      <c r="M48" s="306">
        <f t="shared" ca="1" si="16"/>
        <v>1.477450019102891</v>
      </c>
      <c r="N48" s="304">
        <f t="shared" ca="1" si="17"/>
        <v>84.65165053611851</v>
      </c>
      <c r="P48" s="310">
        <f t="shared" ca="1" si="18"/>
        <v>3</v>
      </c>
      <c r="Q48" s="304">
        <f t="shared" ca="1" si="19"/>
        <v>175.94827586206895</v>
      </c>
      <c r="R48" s="306">
        <f t="shared" ca="1" si="20"/>
        <v>9.3384510356447709E-2</v>
      </c>
      <c r="S48" s="307">
        <f t="shared" ca="1" si="21"/>
        <v>2.1152090375620953</v>
      </c>
      <c r="T48" s="304">
        <f t="shared" ca="1" si="1"/>
        <v>20.750200658484157</v>
      </c>
      <c r="U48" s="311">
        <f t="shared" ca="1" si="2"/>
        <v>0</v>
      </c>
      <c r="V48" s="306">
        <f t="shared" ca="1" si="3"/>
        <v>1.2240470128687386</v>
      </c>
      <c r="W48" s="304">
        <f t="shared" ca="1" si="4"/>
        <v>3.2617396670541936</v>
      </c>
      <c r="Y48" s="314" t="str">
        <f t="shared" ca="1" si="22"/>
        <v/>
      </c>
      <c r="Z48" s="315" t="str">
        <f t="shared" ca="1" si="23"/>
        <v/>
      </c>
      <c r="AA48" s="316" t="str">
        <f t="shared" ca="1" si="24"/>
        <v/>
      </c>
      <c r="AC48" s="310" t="e">
        <f t="shared" ca="1" si="25"/>
        <v>#N/A</v>
      </c>
      <c r="AD48" s="323" t="e">
        <f t="shared" ca="1" si="26"/>
        <v>#N/A</v>
      </c>
      <c r="AE48" s="324">
        <f t="shared" ca="1" si="5"/>
        <v>7.7825139840433817</v>
      </c>
      <c r="AG48" s="306">
        <f t="shared" ca="1" si="27"/>
        <v>71.935784128040538</v>
      </c>
      <c r="AH48" s="304">
        <f t="shared" ca="1" si="28"/>
        <v>81.703313998689126</v>
      </c>
    </row>
    <row r="49" spans="1:34" x14ac:dyDescent="0.2">
      <c r="A49" s="347">
        <f t="shared" ca="1" si="6"/>
        <v>0.01</v>
      </c>
      <c r="B49" s="304">
        <f t="shared" ca="1" si="7"/>
        <v>0.45000000000000023</v>
      </c>
      <c r="D49" s="306">
        <f t="shared" ca="1" si="8"/>
        <v>7.5751076036299976</v>
      </c>
      <c r="E49" s="307">
        <f t="shared" ca="1" si="9"/>
        <v>71.104746549700991</v>
      </c>
      <c r="F49" s="304">
        <f t="shared" ca="1" si="10"/>
        <v>71.507113192351625</v>
      </c>
      <c r="G49" s="306">
        <f t="shared" ca="1" si="11"/>
        <v>3.3267525584055719</v>
      </c>
      <c r="H49" s="307">
        <f t="shared" ca="1" si="12"/>
        <v>35.43714968648149</v>
      </c>
      <c r="I49" s="304">
        <f t="shared" ca="1" si="13"/>
        <v>35.592960827766959</v>
      </c>
      <c r="J49" s="306">
        <f t="shared" ca="1" si="14"/>
        <v>0.73246957968909543</v>
      </c>
      <c r="K49" s="307">
        <f t="shared" ca="1" si="15"/>
        <v>8.133330243580712</v>
      </c>
      <c r="L49" s="304">
        <f t="shared" ca="1" si="0"/>
        <v>8.166245926759407</v>
      </c>
      <c r="M49" s="306">
        <f t="shared" ca="1" si="16"/>
        <v>1.4771931149351782</v>
      </c>
      <c r="N49" s="304">
        <f t="shared" ca="1" si="17"/>
        <v>84.636931011569246</v>
      </c>
      <c r="P49" s="310">
        <f t="shared" ca="1" si="18"/>
        <v>3</v>
      </c>
      <c r="Q49" s="304">
        <f t="shared" ca="1" si="19"/>
        <v>175.08620689655169</v>
      </c>
      <c r="R49" s="306">
        <f t="shared" ca="1" si="20"/>
        <v>9.2926967434564064E-2</v>
      </c>
      <c r="S49" s="307">
        <f t="shared" ca="1" si="21"/>
        <v>2.1142797678877496</v>
      </c>
      <c r="T49" s="304">
        <f t="shared" ca="1" si="1"/>
        <v>20.741084522978824</v>
      </c>
      <c r="U49" s="311">
        <f t="shared" ca="1" si="2"/>
        <v>0</v>
      </c>
      <c r="V49" s="306">
        <f t="shared" ca="1" si="3"/>
        <v>1.2240040720557048</v>
      </c>
      <c r="W49" s="304">
        <f t="shared" ca="1" si="4"/>
        <v>3.3967256146440343</v>
      </c>
      <c r="Y49" s="314" t="str">
        <f t="shared" ca="1" si="22"/>
        <v/>
      </c>
      <c r="Z49" s="315" t="str">
        <f t="shared" ca="1" si="23"/>
        <v/>
      </c>
      <c r="AA49" s="316" t="str">
        <f t="shared" ca="1" si="24"/>
        <v/>
      </c>
      <c r="AC49" s="310" t="e">
        <f t="shared" ca="1" si="25"/>
        <v>#N/A</v>
      </c>
      <c r="AD49" s="323" t="e">
        <f t="shared" ca="1" si="26"/>
        <v>#N/A</v>
      </c>
      <c r="AE49" s="324">
        <f t="shared" ca="1" si="5"/>
        <v>8.133330243580712</v>
      </c>
      <c r="AG49" s="306">
        <f t="shared" ca="1" si="27"/>
        <v>71.501266516222103</v>
      </c>
      <c r="AH49" s="304">
        <f t="shared" ca="1" si="28"/>
        <v>81.268557661674564</v>
      </c>
    </row>
    <row r="50" spans="1:34" x14ac:dyDescent="0.2">
      <c r="A50" s="347">
        <f t="shared" ca="1" si="6"/>
        <v>0.01</v>
      </c>
      <c r="B50" s="304">
        <f t="shared" ca="1" si="7"/>
        <v>0.46000000000000024</v>
      </c>
      <c r="D50" s="306">
        <f t="shared" ca="1" si="8"/>
        <v>7.5551218721925117</v>
      </c>
      <c r="E50" s="307">
        <f t="shared" ca="1" si="9"/>
        <v>70.66847863166997</v>
      </c>
      <c r="F50" s="304">
        <f t="shared" ca="1" si="10"/>
        <v>71.071187823325971</v>
      </c>
      <c r="G50" s="306">
        <f t="shared" ca="1" si="11"/>
        <v>3.4023037771274969</v>
      </c>
      <c r="H50" s="307">
        <f t="shared" ca="1" si="12"/>
        <v>36.14383447279819</v>
      </c>
      <c r="I50" s="304">
        <f t="shared" ca="1" si="13"/>
        <v>36.303614715189049</v>
      </c>
      <c r="J50" s="306">
        <f t="shared" ca="1" si="14"/>
        <v>0.76611486136676077</v>
      </c>
      <c r="K50" s="307">
        <f t="shared" ca="1" si="15"/>
        <v>8.4912351643771107</v>
      </c>
      <c r="L50" s="304">
        <f t="shared" ca="1" si="0"/>
        <v>8.525726162477973</v>
      </c>
      <c r="M50" s="306">
        <f t="shared" ca="1" si="16"/>
        <v>1.4769405485634073</v>
      </c>
      <c r="N50" s="304">
        <f t="shared" ca="1" si="17"/>
        <v>84.622460024419837</v>
      </c>
      <c r="P50" s="310">
        <f t="shared" ca="1" si="18"/>
        <v>3</v>
      </c>
      <c r="Q50" s="304">
        <f t="shared" ca="1" si="19"/>
        <v>174.22413793103445</v>
      </c>
      <c r="R50" s="306">
        <f t="shared" ca="1" si="20"/>
        <v>9.2469424512680448E-2</v>
      </c>
      <c r="S50" s="307">
        <f t="shared" ca="1" si="21"/>
        <v>2.113355073642623</v>
      </c>
      <c r="T50" s="304">
        <f t="shared" ca="1" si="1"/>
        <v>20.732013272434134</v>
      </c>
      <c r="U50" s="311">
        <f t="shared" ca="1" si="2"/>
        <v>0</v>
      </c>
      <c r="V50" s="306">
        <f t="shared" ca="1" si="3"/>
        <v>1.2239602651240311</v>
      </c>
      <c r="W50" s="304">
        <f t="shared" ca="1" si="4"/>
        <v>3.5335922058078522</v>
      </c>
      <c r="Y50" s="314" t="str">
        <f t="shared" ca="1" si="22"/>
        <v/>
      </c>
      <c r="Z50" s="315" t="str">
        <f t="shared" ca="1" si="23"/>
        <v/>
      </c>
      <c r="AA50" s="316" t="str">
        <f t="shared" ca="1" si="24"/>
        <v/>
      </c>
      <c r="AC50" s="310" t="e">
        <f t="shared" ca="1" si="25"/>
        <v>#N/A</v>
      </c>
      <c r="AD50" s="323" t="e">
        <f t="shared" ca="1" si="26"/>
        <v>#N/A</v>
      </c>
      <c r="AE50" s="324">
        <f t="shared" ca="1" si="5"/>
        <v>8.4912351643771107</v>
      </c>
      <c r="AG50" s="306">
        <f t="shared" ca="1" si="27"/>
        <v>71.065272952244058</v>
      </c>
      <c r="AH50" s="304">
        <f t="shared" ca="1" si="28"/>
        <v>80.832328862725717</v>
      </c>
    </row>
    <row r="51" spans="1:34" x14ac:dyDescent="0.2">
      <c r="A51" s="347">
        <f t="shared" ca="1" si="6"/>
        <v>0.01</v>
      </c>
      <c r="B51" s="304">
        <f t="shared" ca="1" si="7"/>
        <v>0.47000000000000025</v>
      </c>
      <c r="D51" s="306">
        <f t="shared" ca="1" si="8"/>
        <v>7.5344297325643357</v>
      </c>
      <c r="E51" s="307">
        <f t="shared" ca="1" si="9"/>
        <v>70.230819086017092</v>
      </c>
      <c r="F51" s="304">
        <f t="shared" ca="1" si="10"/>
        <v>70.633813297087485</v>
      </c>
      <c r="G51" s="306">
        <f t="shared" ca="1" si="11"/>
        <v>3.4776480744531404</v>
      </c>
      <c r="H51" s="307">
        <f t="shared" ca="1" si="12"/>
        <v>36.846142663658362</v>
      </c>
      <c r="I51" s="304">
        <f t="shared" ca="1" si="13"/>
        <v>37.009894154407043</v>
      </c>
      <c r="J51" s="306">
        <f t="shared" ca="1" si="14"/>
        <v>0.80051462062466394</v>
      </c>
      <c r="K51" s="307">
        <f t="shared" ca="1" si="15"/>
        <v>8.856185050059393</v>
      </c>
      <c r="L51" s="304">
        <f t="shared" ca="1" si="0"/>
        <v>8.8922908914817533</v>
      </c>
      <c r="M51" s="306">
        <f t="shared" ca="1" si="16"/>
        <v>1.4766921355251117</v>
      </c>
      <c r="N51" s="304">
        <f t="shared" ca="1" si="17"/>
        <v>84.608227005749484</v>
      </c>
      <c r="P51" s="310">
        <f t="shared" ca="1" si="18"/>
        <v>3</v>
      </c>
      <c r="Q51" s="304">
        <f t="shared" ca="1" si="19"/>
        <v>173.36206896551721</v>
      </c>
      <c r="R51" s="306">
        <f t="shared" ca="1" si="20"/>
        <v>9.2011881590796818E-2</v>
      </c>
      <c r="S51" s="307">
        <f t="shared" ca="1" si="21"/>
        <v>2.112434954826715</v>
      </c>
      <c r="T51" s="304">
        <f t="shared" ca="1" si="1"/>
        <v>20.722986906850075</v>
      </c>
      <c r="U51" s="311">
        <f t="shared" ca="1" si="2"/>
        <v>0</v>
      </c>
      <c r="V51" s="306">
        <f t="shared" ca="1" si="3"/>
        <v>1.2239155975148217</v>
      </c>
      <c r="W51" s="304">
        <f t="shared" ca="1" si="4"/>
        <v>3.6722862445462119</v>
      </c>
      <c r="Y51" s="314" t="str">
        <f t="shared" ca="1" si="22"/>
        <v/>
      </c>
      <c r="Z51" s="315" t="str">
        <f t="shared" ca="1" si="23"/>
        <v/>
      </c>
      <c r="AA51" s="316" t="str">
        <f t="shared" ca="1" si="24"/>
        <v/>
      </c>
      <c r="AC51" s="310" t="e">
        <f t="shared" ca="1" si="25"/>
        <v>#N/A</v>
      </c>
      <c r="AD51" s="323" t="e">
        <f t="shared" ca="1" si="26"/>
        <v>#N/A</v>
      </c>
      <c r="AE51" s="324">
        <f t="shared" ca="1" si="5"/>
        <v>8.856185050059393</v>
      </c>
      <c r="AG51" s="306">
        <f t="shared" ca="1" si="27"/>
        <v>70.627829729552332</v>
      </c>
      <c r="AH51" s="304">
        <f t="shared" ca="1" si="28"/>
        <v>80.394653748588695</v>
      </c>
    </row>
    <row r="52" spans="1:34" x14ac:dyDescent="0.2">
      <c r="A52" s="347">
        <f t="shared" ca="1" si="6"/>
        <v>0.01</v>
      </c>
      <c r="B52" s="304">
        <f t="shared" ca="1" si="7"/>
        <v>0.48000000000000026</v>
      </c>
      <c r="D52" s="306">
        <f t="shared" ca="1" si="8"/>
        <v>7.5130529361765097</v>
      </c>
      <c r="E52" s="307">
        <f t="shared" ca="1" si="9"/>
        <v>69.791792475654148</v>
      </c>
      <c r="F52" s="304">
        <f t="shared" ca="1" si="10"/>
        <v>70.19501592981203</v>
      </c>
      <c r="G52" s="306">
        <f t="shared" ca="1" si="11"/>
        <v>3.5527786038149056</v>
      </c>
      <c r="H52" s="307">
        <f t="shared" ca="1" si="12"/>
        <v>37.544060588414901</v>
      </c>
      <c r="I52" s="304">
        <f t="shared" ca="1" si="13"/>
        <v>37.711784912336014</v>
      </c>
      <c r="J52" s="306">
        <f t="shared" ca="1" si="14"/>
        <v>0.83566675401600421</v>
      </c>
      <c r="K52" s="307">
        <f t="shared" ca="1" si="15"/>
        <v>9.2281360663197596</v>
      </c>
      <c r="L52" s="304">
        <f t="shared" ca="1" si="0"/>
        <v>9.2658962967582994</v>
      </c>
      <c r="M52" s="306">
        <f t="shared" ca="1" si="16"/>
        <v>1.4764477025964415</v>
      </c>
      <c r="N52" s="304">
        <f t="shared" ca="1" si="17"/>
        <v>84.594222030562662</v>
      </c>
      <c r="P52" s="310">
        <f t="shared" ca="1" si="18"/>
        <v>3</v>
      </c>
      <c r="Q52" s="304">
        <f t="shared" ca="1" si="19"/>
        <v>172.49999999999997</v>
      </c>
      <c r="R52" s="306">
        <f t="shared" ca="1" si="20"/>
        <v>9.1554338668913202E-2</v>
      </c>
      <c r="S52" s="307">
        <f t="shared" ca="1" si="21"/>
        <v>2.111519411440026</v>
      </c>
      <c r="T52" s="304">
        <f t="shared" ca="1" si="1"/>
        <v>20.714005426226656</v>
      </c>
      <c r="U52" s="311">
        <f t="shared" ca="1" si="2"/>
        <v>0</v>
      </c>
      <c r="V52" s="306">
        <f t="shared" ca="1" si="3"/>
        <v>1.2238700746871027</v>
      </c>
      <c r="W52" s="304">
        <f t="shared" ca="1" si="4"/>
        <v>3.8127546779180697</v>
      </c>
      <c r="Y52" s="314" t="str">
        <f t="shared" ca="1" si="22"/>
        <v/>
      </c>
      <c r="Z52" s="315" t="str">
        <f t="shared" ca="1" si="23"/>
        <v/>
      </c>
      <c r="AA52" s="316" t="str">
        <f t="shared" ca="1" si="24"/>
        <v/>
      </c>
      <c r="AC52" s="310" t="e">
        <f t="shared" ca="1" si="25"/>
        <v>#N/A</v>
      </c>
      <c r="AD52" s="323" t="e">
        <f t="shared" ca="1" si="26"/>
        <v>#N/A</v>
      </c>
      <c r="AE52" s="324">
        <f t="shared" ca="1" si="5"/>
        <v>9.2281360663197596</v>
      </c>
      <c r="AG52" s="306">
        <f t="shared" ca="1" si="27"/>
        <v>70.188963133736067</v>
      </c>
      <c r="AH52" s="304">
        <f t="shared" ca="1" si="28"/>
        <v>79.955558466931492</v>
      </c>
    </row>
    <row r="53" spans="1:34" x14ac:dyDescent="0.2">
      <c r="A53" s="347">
        <f t="shared" ca="1" si="6"/>
        <v>0.01</v>
      </c>
      <c r="B53" s="304">
        <f t="shared" ca="1" si="7"/>
        <v>0.49000000000000027</v>
      </c>
      <c r="D53" s="306">
        <f t="shared" ca="1" si="8"/>
        <v>7.4910120816310783</v>
      </c>
      <c r="E53" s="307">
        <f t="shared" ca="1" si="9"/>
        <v>69.351423444543428</v>
      </c>
      <c r="F53" s="304">
        <f t="shared" ca="1" si="10"/>
        <v>69.754822025373343</v>
      </c>
      <c r="G53" s="306">
        <f t="shared" ca="1" si="11"/>
        <v>3.6276887246312164</v>
      </c>
      <c r="H53" s="307">
        <f t="shared" ca="1" si="12"/>
        <v>38.237574822860338</v>
      </c>
      <c r="I53" s="304">
        <f t="shared" ca="1" si="13"/>
        <v>38.409273018590959</v>
      </c>
      <c r="J53" s="306">
        <f t="shared" ca="1" si="14"/>
        <v>0.87156909065823485</v>
      </c>
      <c r="K53" s="307">
        <f t="shared" ca="1" si="15"/>
        <v>9.6070442433761354</v>
      </c>
      <c r="L53" s="304">
        <f t="shared" ca="1" si="0"/>
        <v>9.6464984203584141</v>
      </c>
      <c r="M53" s="306">
        <f t="shared" ca="1" si="16"/>
        <v>1.4762070868856518</v>
      </c>
      <c r="N53" s="304">
        <f t="shared" ca="1" si="17"/>
        <v>84.58043576584987</v>
      </c>
      <c r="P53" s="310">
        <f t="shared" ca="1" si="18"/>
        <v>3</v>
      </c>
      <c r="Q53" s="304">
        <f t="shared" ca="1" si="19"/>
        <v>171.63793103448273</v>
      </c>
      <c r="R53" s="306">
        <f t="shared" ca="1" si="20"/>
        <v>9.1096795747029585E-2</v>
      </c>
      <c r="S53" s="307">
        <f t="shared" ca="1" si="21"/>
        <v>2.1106084434825556</v>
      </c>
      <c r="T53" s="304">
        <f t="shared" ca="1" si="1"/>
        <v>20.705068830563871</v>
      </c>
      <c r="U53" s="311">
        <f t="shared" ca="1" si="2"/>
        <v>0</v>
      </c>
      <c r="V53" s="306">
        <f t="shared" ca="1" si="3"/>
        <v>1.2238237021174763</v>
      </c>
      <c r="W53" s="304">
        <f t="shared" ca="1" si="4"/>
        <v>3.9549446047695169</v>
      </c>
      <c r="Y53" s="314" t="str">
        <f t="shared" ca="1" si="22"/>
        <v/>
      </c>
      <c r="Z53" s="315" t="str">
        <f t="shared" ca="1" si="23"/>
        <v/>
      </c>
      <c r="AA53" s="316" t="str">
        <f t="shared" ca="1" si="24"/>
        <v/>
      </c>
      <c r="AC53" s="310" t="e">
        <f t="shared" ca="1" si="25"/>
        <v>#N/A</v>
      </c>
      <c r="AD53" s="323" t="e">
        <f t="shared" ca="1" si="26"/>
        <v>#N/A</v>
      </c>
      <c r="AE53" s="324">
        <f t="shared" ca="1" si="5"/>
        <v>9.6070442433761354</v>
      </c>
      <c r="AG53" s="306">
        <f t="shared" ca="1" si="27"/>
        <v>69.74869943848438</v>
      </c>
      <c r="AH53" s="304">
        <f t="shared" ca="1" si="28"/>
        <v>79.515069161596372</v>
      </c>
    </row>
    <row r="54" spans="1:34" x14ac:dyDescent="0.2">
      <c r="A54" s="347">
        <f t="shared" ca="1" si="6"/>
        <v>0.01</v>
      </c>
      <c r="B54" s="304">
        <f t="shared" ca="1" si="7"/>
        <v>0.50000000000000022</v>
      </c>
      <c r="D54" s="306">
        <f t="shared" ca="1" si="8"/>
        <v>7.4683267068719337</v>
      </c>
      <c r="E54" s="307">
        <f t="shared" ca="1" si="9"/>
        <v>68.909736706354877</v>
      </c>
      <c r="F54" s="304">
        <f t="shared" ca="1" si="10"/>
        <v>69.313257871346153</v>
      </c>
      <c r="G54" s="306">
        <f t="shared" ca="1" si="11"/>
        <v>3.7023719916999358</v>
      </c>
      <c r="H54" s="307">
        <f t="shared" ca="1" si="12"/>
        <v>38.926672189923885</v>
      </c>
      <c r="I54" s="304">
        <f t="shared" ca="1" si="13"/>
        <v>39.102344765329839</v>
      </c>
      <c r="J54" s="306">
        <f t="shared" ca="1" si="14"/>
        <v>0.90821939423989062</v>
      </c>
      <c r="K54" s="307">
        <f t="shared" ca="1" si="15"/>
        <v>9.9928654784400557</v>
      </c>
      <c r="L54" s="304">
        <f t="shared" ca="1" si="0"/>
        <v>10.034053166007865</v>
      </c>
      <c r="M54" s="306">
        <f t="shared" ca="1" si="16"/>
        <v>1.4759701350165613</v>
      </c>
      <c r="N54" s="304">
        <f t="shared" ca="1" si="17"/>
        <v>84.566859423803237</v>
      </c>
      <c r="P54" s="310">
        <f t="shared" ca="1" si="18"/>
        <v>3</v>
      </c>
      <c r="Q54" s="304">
        <f t="shared" ca="1" si="19"/>
        <v>170.77586206896549</v>
      </c>
      <c r="R54" s="306">
        <f t="shared" ca="1" si="20"/>
        <v>9.0639252825145955E-2</v>
      </c>
      <c r="S54" s="307">
        <f t="shared" ca="1" si="21"/>
        <v>2.1097020509543043</v>
      </c>
      <c r="T54" s="304">
        <f t="shared" ca="1" si="1"/>
        <v>20.696177119861726</v>
      </c>
      <c r="U54" s="311">
        <f t="shared" ca="1" si="2"/>
        <v>0</v>
      </c>
      <c r="V54" s="306">
        <f t="shared" ca="1" si="3"/>
        <v>1.2237764852997814</v>
      </c>
      <c r="W54" s="304">
        <f t="shared" ca="1" si="4"/>
        <v>4.0988032843613071</v>
      </c>
      <c r="Y54" s="314" t="str">
        <f t="shared" ca="1" si="22"/>
        <v/>
      </c>
      <c r="Z54" s="315" t="str">
        <f t="shared" ca="1" si="23"/>
        <v/>
      </c>
      <c r="AA54" s="316" t="str">
        <f t="shared" ca="1" si="24"/>
        <v/>
      </c>
      <c r="AC54" s="310" t="e">
        <f t="shared" ca="1" si="25"/>
        <v>#N/A</v>
      </c>
      <c r="AD54" s="323" t="e">
        <f t="shared" ca="1" si="26"/>
        <v>#N/A</v>
      </c>
      <c r="AE54" s="324">
        <f t="shared" ca="1" si="5"/>
        <v>9.9928654784400557</v>
      </c>
      <c r="AG54" s="306">
        <f t="shared" ca="1" si="27"/>
        <v>69.307064901508213</v>
      </c>
      <c r="AH54" s="304">
        <f t="shared" ca="1" si="28"/>
        <v>79.073211967887161</v>
      </c>
    </row>
    <row r="55" spans="1:34" x14ac:dyDescent="0.2">
      <c r="A55" s="347">
        <f t="shared" ca="1" si="6"/>
        <v>0.01</v>
      </c>
      <c r="B55" s="304">
        <f t="shared" ca="1" si="7"/>
        <v>0.51000000000000023</v>
      </c>
      <c r="D55" s="306">
        <f t="shared" ca="1" si="8"/>
        <v>7.4450153722122234</v>
      </c>
      <c r="E55" s="307">
        <f t="shared" ca="1" si="9"/>
        <v>68.466757033802054</v>
      </c>
      <c r="F55" s="304">
        <f t="shared" ca="1" si="10"/>
        <v>68.870349734977822</v>
      </c>
      <c r="G55" s="306">
        <f t="shared" ca="1" si="11"/>
        <v>3.7768221454220581</v>
      </c>
      <c r="H55" s="307">
        <f t="shared" ca="1" si="12"/>
        <v>39.611339760261906</v>
      </c>
      <c r="I55" s="304">
        <f t="shared" ca="1" si="13"/>
        <v>39.79098670705536</v>
      </c>
      <c r="J55" s="306">
        <f t="shared" ca="1" si="14"/>
        <v>0.94561536492550058</v>
      </c>
      <c r="K55" s="307">
        <f t="shared" ca="1" si="15"/>
        <v>10.385555538190985</v>
      </c>
      <c r="L55" s="304">
        <f t="shared" ca="1" si="0"/>
        <v>10.428516301719657</v>
      </c>
      <c r="M55" s="306">
        <f t="shared" ca="1" si="16"/>
        <v>1.4757367023914369</v>
      </c>
      <c r="N55" s="304">
        <f t="shared" ca="1" si="17"/>
        <v>84.553484719582954</v>
      </c>
      <c r="P55" s="310">
        <f t="shared" ca="1" si="18"/>
        <v>3</v>
      </c>
      <c r="Q55" s="304">
        <f t="shared" ca="1" si="19"/>
        <v>169.91379310344826</v>
      </c>
      <c r="R55" s="306">
        <f t="shared" ca="1" si="20"/>
        <v>9.0181709903262339E-2</v>
      </c>
      <c r="S55" s="307">
        <f t="shared" ca="1" si="21"/>
        <v>2.1088002338552716</v>
      </c>
      <c r="T55" s="304">
        <f t="shared" ca="1" si="1"/>
        <v>20.687330294120216</v>
      </c>
      <c r="U55" s="311">
        <f t="shared" ca="1" si="2"/>
        <v>0</v>
      </c>
      <c r="V55" s="306">
        <f t="shared" ca="1" si="3"/>
        <v>1.2237284297447468</v>
      </c>
      <c r="W55" s="304">
        <f t="shared" ca="1" si="4"/>
        <v>4.2442781448932916</v>
      </c>
      <c r="Y55" s="314" t="str">
        <f t="shared" ca="1" si="22"/>
        <v/>
      </c>
      <c r="Z55" s="315" t="str">
        <f t="shared" ca="1" si="23"/>
        <v/>
      </c>
      <c r="AA55" s="316" t="str">
        <f t="shared" ca="1" si="24"/>
        <v/>
      </c>
      <c r="AC55" s="310" t="e">
        <f t="shared" ca="1" si="25"/>
        <v>#N/A</v>
      </c>
      <c r="AD55" s="323" t="e">
        <f t="shared" ca="1" si="26"/>
        <v>#N/A</v>
      </c>
      <c r="AE55" s="324">
        <f t="shared" ca="1" si="5"/>
        <v>10.385555538190985</v>
      </c>
      <c r="AG55" s="306">
        <f t="shared" ca="1" si="27"/>
        <v>68.864085760436581</v>
      </c>
      <c r="AH55" s="304">
        <f t="shared" ca="1" si="28"/>
        <v>78.630013007892586</v>
      </c>
    </row>
    <row r="56" spans="1:34" x14ac:dyDescent="0.2">
      <c r="A56" s="347">
        <f t="shared" ca="1" si="6"/>
        <v>0.01</v>
      </c>
      <c r="B56" s="304">
        <f t="shared" ca="1" si="7"/>
        <v>0.52000000000000024</v>
      </c>
      <c r="D56" s="306">
        <f t="shared" ca="1" si="8"/>
        <v>7.4210957352853981</v>
      </c>
      <c r="E56" s="307">
        <f t="shared" ca="1" si="9"/>
        <v>68.022509248584413</v>
      </c>
      <c r="F56" s="304">
        <f t="shared" ca="1" si="10"/>
        <v>68.426123859137476</v>
      </c>
      <c r="G56" s="306">
        <f t="shared" ca="1" si="11"/>
        <v>3.8510331027749118</v>
      </c>
      <c r="H56" s="307">
        <f t="shared" ca="1" si="12"/>
        <v>40.291564852747747</v>
      </c>
      <c r="I56" s="304">
        <f t="shared" ca="1" si="13"/>
        <v>40.475185660375246</v>
      </c>
      <c r="J56" s="306">
        <f t="shared" ca="1" si="14"/>
        <v>0.98375464116648548</v>
      </c>
      <c r="K56" s="307">
        <f t="shared" ca="1" si="15"/>
        <v>10.785070061256034</v>
      </c>
      <c r="L56" s="304">
        <f t="shared" ca="1" si="0"/>
        <v>10.829843462405993</v>
      </c>
      <c r="M56" s="306">
        <f t="shared" ca="1" si="16"/>
        <v>1.4755066525241853</v>
      </c>
      <c r="N56" s="304">
        <f t="shared" ca="1" si="17"/>
        <v>84.540303833111892</v>
      </c>
      <c r="P56" s="310">
        <f t="shared" ca="1" si="18"/>
        <v>3</v>
      </c>
      <c r="Q56" s="304">
        <f t="shared" ca="1" si="19"/>
        <v>169.05172413793102</v>
      </c>
      <c r="R56" s="306">
        <f t="shared" ca="1" si="20"/>
        <v>8.9724166981378708E-2</v>
      </c>
      <c r="S56" s="307">
        <f t="shared" ca="1" si="21"/>
        <v>2.107902992185458</v>
      </c>
      <c r="T56" s="304">
        <f t="shared" ca="1" si="1"/>
        <v>20.678528353339345</v>
      </c>
      <c r="U56" s="311">
        <f t="shared" ca="1" si="2"/>
        <v>0</v>
      </c>
      <c r="V56" s="306">
        <f t="shared" ca="1" si="3"/>
        <v>1.2236795409796488</v>
      </c>
      <c r="W56" s="304">
        <f t="shared" ca="1" si="4"/>
        <v>4.3913167919239937</v>
      </c>
      <c r="Y56" s="314" t="str">
        <f t="shared" ca="1" si="22"/>
        <v/>
      </c>
      <c r="Z56" s="315" t="str">
        <f t="shared" ca="1" si="23"/>
        <v/>
      </c>
      <c r="AA56" s="316" t="str">
        <f t="shared" ca="1" si="24"/>
        <v/>
      </c>
      <c r="AC56" s="310" t="e">
        <f t="shared" ca="1" si="25"/>
        <v>#N/A</v>
      </c>
      <c r="AD56" s="323" t="e">
        <f t="shared" ca="1" si="26"/>
        <v>#N/A</v>
      </c>
      <c r="AE56" s="324">
        <f t="shared" ca="1" si="5"/>
        <v>10.785070061256034</v>
      </c>
      <c r="AG56" s="306">
        <f t="shared" ca="1" si="27"/>
        <v>68.419788228695325</v>
      </c>
      <c r="AH56" s="304">
        <f t="shared" ca="1" si="28"/>
        <v>78.185498385846785</v>
      </c>
    </row>
    <row r="57" spans="1:34" x14ac:dyDescent="0.2">
      <c r="A57" s="347">
        <f t="shared" ca="1" si="6"/>
        <v>0.01</v>
      </c>
      <c r="B57" s="304">
        <f t="shared" ca="1" si="7"/>
        <v>0.53000000000000025</v>
      </c>
      <c r="D57" s="306">
        <f t="shared" ca="1" si="8"/>
        <v>7.3965846188434696</v>
      </c>
      <c r="E57" s="307">
        <f t="shared" ca="1" si="9"/>
        <v>67.57701821187311</v>
      </c>
      <c r="F57" s="304">
        <f t="shared" ca="1" si="10"/>
        <v>67.980606458250591</v>
      </c>
      <c r="G57" s="306">
        <f t="shared" ca="1" si="11"/>
        <v>3.9249989489633466</v>
      </c>
      <c r="H57" s="307">
        <f t="shared" ca="1" si="12"/>
        <v>40.96733503486648</v>
      </c>
      <c r="I57" s="304">
        <f t="shared" ca="1" si="13"/>
        <v>41.154928703721041</v>
      </c>
      <c r="J57" s="306">
        <f t="shared" ca="1" si="14"/>
        <v>1.0226348014251767</v>
      </c>
      <c r="K57" s="307">
        <f t="shared" ca="1" si="15"/>
        <v>11.191364560694105</v>
      </c>
      <c r="L57" s="304">
        <f t="shared" ca="1" si="0"/>
        <v>11.237990152489273</v>
      </c>
      <c r="M57" s="306">
        <f t="shared" ca="1" si="16"/>
        <v>1.4752798564359233</v>
      </c>
      <c r="N57" s="304">
        <f t="shared" ca="1" si="17"/>
        <v>84.5273093744444</v>
      </c>
      <c r="P57" s="310">
        <f t="shared" ca="1" si="18"/>
        <v>3</v>
      </c>
      <c r="Q57" s="304">
        <f t="shared" ca="1" si="19"/>
        <v>168.18965517241378</v>
      </c>
      <c r="R57" s="306">
        <f t="shared" ca="1" si="20"/>
        <v>8.9266624059495092E-2</v>
      </c>
      <c r="S57" s="307">
        <f t="shared" ca="1" si="21"/>
        <v>2.1070103259448629</v>
      </c>
      <c r="T57" s="304">
        <f t="shared" ca="1" si="1"/>
        <v>20.669771297519105</v>
      </c>
      <c r="U57" s="311">
        <f t="shared" ca="1" si="2"/>
        <v>0</v>
      </c>
      <c r="V57" s="306">
        <f t="shared" ca="1" si="3"/>
        <v>1.2236298245479649</v>
      </c>
      <c r="W57" s="304">
        <f t="shared" ca="1" si="4"/>
        <v>4.5398670166835675</v>
      </c>
      <c r="Y57" s="314" t="str">
        <f t="shared" ca="1" si="22"/>
        <v/>
      </c>
      <c r="Z57" s="315" t="str">
        <f t="shared" ca="1" si="23"/>
        <v/>
      </c>
      <c r="AA57" s="316" t="str">
        <f t="shared" ca="1" si="24"/>
        <v/>
      </c>
      <c r="AC57" s="310" t="e">
        <f t="shared" ca="1" si="25"/>
        <v>#N/A</v>
      </c>
      <c r="AD57" s="323" t="e">
        <f t="shared" ca="1" si="26"/>
        <v>#N/A</v>
      </c>
      <c r="AE57" s="324">
        <f t="shared" ca="1" si="5"/>
        <v>11.191364560694105</v>
      </c>
      <c r="AG57" s="306">
        <f t="shared" ca="1" si="27"/>
        <v>67.974198491376015</v>
      </c>
      <c r="AH57" s="304">
        <f t="shared" ca="1" si="28"/>
        <v>77.739694183528229</v>
      </c>
    </row>
    <row r="58" spans="1:34" x14ac:dyDescent="0.2">
      <c r="A58" s="347">
        <f t="shared" ca="1" si="6"/>
        <v>0.01</v>
      </c>
      <c r="B58" s="304">
        <f t="shared" ca="1" si="7"/>
        <v>0.54000000000000026</v>
      </c>
      <c r="D58" s="306">
        <f t="shared" ca="1" si="8"/>
        <v>7.3714980722054531</v>
      </c>
      <c r="E58" s="307">
        <f t="shared" ca="1" si="9"/>
        <v>67.130308815286028</v>
      </c>
      <c r="F58" s="304">
        <f t="shared" ca="1" si="10"/>
        <v>67.533823714226315</v>
      </c>
      <c r="G58" s="306">
        <f t="shared" ca="1" si="11"/>
        <v>3.9987139296854011</v>
      </c>
      <c r="H58" s="307">
        <f t="shared" ca="1" si="12"/>
        <v>41.638638123019341</v>
      </c>
      <c r="I58" s="304">
        <f t="shared" ca="1" si="13"/>
        <v>41.830203177025325</v>
      </c>
      <c r="J58" s="306">
        <f t="shared" ca="1" si="14"/>
        <v>1.0622533658184206</v>
      </c>
      <c r="K58" s="307">
        <f t="shared" ca="1" si="15"/>
        <v>11.604394426483534</v>
      </c>
      <c r="L58" s="304">
        <f t="shared" ca="1" si="0"/>
        <v>11.652911748511386</v>
      </c>
      <c r="M58" s="306">
        <f t="shared" ca="1" si="16"/>
        <v>1.475056192106035</v>
      </c>
      <c r="N58" s="304">
        <f t="shared" ca="1" si="17"/>
        <v>84.514494352314188</v>
      </c>
      <c r="P58" s="310">
        <f t="shared" ca="1" si="18"/>
        <v>3</v>
      </c>
      <c r="Q58" s="304">
        <f t="shared" ca="1" si="19"/>
        <v>167.32758620689651</v>
      </c>
      <c r="R58" s="306">
        <f t="shared" ca="1" si="20"/>
        <v>8.8809081137611448E-2</v>
      </c>
      <c r="S58" s="307">
        <f t="shared" ca="1" si="21"/>
        <v>2.106122235133487</v>
      </c>
      <c r="T58" s="304">
        <f t="shared" ca="1" si="1"/>
        <v>20.661059126659509</v>
      </c>
      <c r="U58" s="311">
        <f t="shared" ca="1" si="2"/>
        <v>0</v>
      </c>
      <c r="V58" s="306">
        <f t="shared" ca="1" si="3"/>
        <v>1.223579286009032</v>
      </c>
      <c r="W58" s="304">
        <f t="shared" ca="1" si="4"/>
        <v>4.6898768042785006</v>
      </c>
      <c r="Y58" s="314" t="str">
        <f t="shared" ca="1" si="22"/>
        <v/>
      </c>
      <c r="Z58" s="315" t="str">
        <f t="shared" ca="1" si="23"/>
        <v/>
      </c>
      <c r="AA58" s="316" t="str">
        <f t="shared" ca="1" si="24"/>
        <v/>
      </c>
      <c r="AC58" s="310" t="e">
        <f t="shared" ca="1" si="25"/>
        <v>#N/A</v>
      </c>
      <c r="AD58" s="323" t="e">
        <f t="shared" ca="1" si="26"/>
        <v>#N/A</v>
      </c>
      <c r="AE58" s="324">
        <f t="shared" ca="1" si="5"/>
        <v>11.604394426483534</v>
      </c>
      <c r="AG58" s="306">
        <f t="shared" ca="1" si="27"/>
        <v>67.527342701101389</v>
      </c>
      <c r="AH58" s="304">
        <f t="shared" ca="1" si="28"/>
        <v>77.292626455698283</v>
      </c>
    </row>
    <row r="59" spans="1:34" x14ac:dyDescent="0.2">
      <c r="A59" s="347">
        <f t="shared" ca="1" si="6"/>
        <v>0.01</v>
      </c>
      <c r="B59" s="304">
        <f t="shared" ca="1" si="7"/>
        <v>0.55000000000000027</v>
      </c>
      <c r="D59" s="306">
        <f t="shared" ca="1" si="8"/>
        <v>7.3458514270548996</v>
      </c>
      <c r="E59" s="307">
        <f t="shared" ca="1" si="9"/>
        <v>66.682405972304352</v>
      </c>
      <c r="F59" s="304">
        <f t="shared" ca="1" si="10"/>
        <v>67.085801772383817</v>
      </c>
      <c r="G59" s="306">
        <f t="shared" ca="1" si="11"/>
        <v>4.0721724439559503</v>
      </c>
      <c r="H59" s="307">
        <f t="shared" ca="1" si="12"/>
        <v>42.305462182742382</v>
      </c>
      <c r="I59" s="304">
        <f t="shared" ca="1" si="13"/>
        <v>42.500996681357485</v>
      </c>
      <c r="J59" s="306">
        <f t="shared" ca="1" si="14"/>
        <v>1.1026077976866273</v>
      </c>
      <c r="K59" s="307">
        <f t="shared" ca="1" si="15"/>
        <v>12.024114928012343</v>
      </c>
      <c r="L59" s="304">
        <f t="shared" ca="1" si="0"/>
        <v>12.0745635017407</v>
      </c>
      <c r="M59" s="306">
        <f t="shared" ca="1" si="16"/>
        <v>1.4748355439726901</v>
      </c>
      <c r="N59" s="304">
        <f t="shared" ca="1" si="17"/>
        <v>84.501852145516082</v>
      </c>
      <c r="P59" s="310">
        <f t="shared" ca="1" si="18"/>
        <v>3</v>
      </c>
      <c r="Q59" s="304">
        <f t="shared" ca="1" si="19"/>
        <v>166.4655172413793</v>
      </c>
      <c r="R59" s="306">
        <f t="shared" ca="1" si="20"/>
        <v>8.8351538215727846E-2</v>
      </c>
      <c r="S59" s="307">
        <f t="shared" ca="1" si="21"/>
        <v>2.1052387197513296</v>
      </c>
      <c r="T59" s="304">
        <f t="shared" ca="1" si="1"/>
        <v>20.652391840760544</v>
      </c>
      <c r="U59" s="311">
        <f t="shared" ca="1" si="2"/>
        <v>0</v>
      </c>
      <c r="V59" s="306">
        <f t="shared" ca="1" si="3"/>
        <v>1.2235279309376981</v>
      </c>
      <c r="W59" s="304">
        <f t="shared" ca="1" si="4"/>
        <v>4.8412943417863881</v>
      </c>
      <c r="Y59" s="314" t="str">
        <f t="shared" ca="1" si="22"/>
        <v/>
      </c>
      <c r="Z59" s="315" t="str">
        <f t="shared" ca="1" si="23"/>
        <v/>
      </c>
      <c r="AA59" s="316" t="str">
        <f t="shared" ca="1" si="24"/>
        <v/>
      </c>
      <c r="AC59" s="310" t="e">
        <f t="shared" ca="1" si="25"/>
        <v>#N/A</v>
      </c>
      <c r="AD59" s="323" t="e">
        <f t="shared" ca="1" si="26"/>
        <v>#N/A</v>
      </c>
      <c r="AE59" s="324">
        <f t="shared" ca="1" si="5"/>
        <v>12.024114928012343</v>
      </c>
      <c r="AG59" s="306">
        <f t="shared" ca="1" si="27"/>
        <v>67.079246973893063</v>
      </c>
      <c r="AH59" s="304">
        <f t="shared" ca="1" si="28"/>
        <v>76.844321225580401</v>
      </c>
    </row>
    <row r="60" spans="1:34" x14ac:dyDescent="0.2">
      <c r="A60" s="347">
        <f t="shared" ca="1" si="6"/>
        <v>0.01</v>
      </c>
      <c r="B60" s="304">
        <f t="shared" ca="1" si="7"/>
        <v>0.56000000000000028</v>
      </c>
      <c r="D60" s="306">
        <f t="shared" ca="1" si="8"/>
        <v>7.3196593481975096</v>
      </c>
      <c r="E60" s="307">
        <f t="shared" ca="1" si="9"/>
        <v>66.23333461008913</v>
      </c>
      <c r="F60" s="304">
        <f t="shared" ca="1" si="10"/>
        <v>66.636566737382907</v>
      </c>
      <c r="G60" s="306">
        <f t="shared" ca="1" si="11"/>
        <v>4.1453690374379253</v>
      </c>
      <c r="H60" s="307">
        <f t="shared" ca="1" si="12"/>
        <v>42.967795528843276</v>
      </c>
      <c r="I60" s="304">
        <f t="shared" ca="1" si="13"/>
        <v>43.167297078518054</v>
      </c>
      <c r="J60" s="306">
        <f t="shared" ca="1" si="14"/>
        <v>1.1436955050935966</v>
      </c>
      <c r="K60" s="307">
        <f t="shared" ca="1" si="15"/>
        <v>12.450481216570271</v>
      </c>
      <c r="L60" s="304">
        <f t="shared" ca="1" si="0"/>
        <v>12.502900540776144</v>
      </c>
      <c r="M60" s="306">
        <f t="shared" ca="1" si="16"/>
        <v>1.4746178024775549</v>
      </c>
      <c r="N60" s="304">
        <f t="shared" ca="1" si="17"/>
        <v>84.48937647681997</v>
      </c>
      <c r="P60" s="310">
        <f t="shared" ca="1" si="18"/>
        <v>3</v>
      </c>
      <c r="Q60" s="304">
        <f t="shared" ca="1" si="19"/>
        <v>165.60344827586204</v>
      </c>
      <c r="R60" s="306">
        <f t="shared" ca="1" si="20"/>
        <v>8.7893995293844202E-2</v>
      </c>
      <c r="S60" s="307">
        <f t="shared" ca="1" si="21"/>
        <v>2.1043597797983913</v>
      </c>
      <c r="T60" s="304">
        <f t="shared" ca="1" si="1"/>
        <v>20.643769439822218</v>
      </c>
      <c r="U60" s="311">
        <f t="shared" ca="1" si="2"/>
        <v>0</v>
      </c>
      <c r="V60" s="306">
        <f t="shared" ca="1" si="3"/>
        <v>1.2234757649239796</v>
      </c>
      <c r="W60" s="304">
        <f t="shared" ca="1" si="4"/>
        <v>4.9940680262392867</v>
      </c>
      <c r="Y60" s="314" t="str">
        <f t="shared" ca="1" si="22"/>
        <v/>
      </c>
      <c r="Z60" s="315" t="str">
        <f t="shared" ca="1" si="23"/>
        <v/>
      </c>
      <c r="AA60" s="316" t="str">
        <f t="shared" ca="1" si="24"/>
        <v/>
      </c>
      <c r="AC60" s="310" t="e">
        <f t="shared" ca="1" si="25"/>
        <v>#N/A</v>
      </c>
      <c r="AD60" s="323" t="e">
        <f t="shared" ca="1" si="26"/>
        <v>#N/A</v>
      </c>
      <c r="AE60" s="324">
        <f t="shared" ca="1" si="5"/>
        <v>12.450481216570271</v>
      </c>
      <c r="AG60" s="306">
        <f t="shared" ca="1" si="27"/>
        <v>66.629937385046603</v>
      </c>
      <c r="AH60" s="304">
        <f t="shared" ca="1" si="28"/>
        <v>76.394804480380969</v>
      </c>
    </row>
    <row r="61" spans="1:34" x14ac:dyDescent="0.2">
      <c r="A61" s="347">
        <f t="shared" ca="1" si="6"/>
        <v>0.01</v>
      </c>
      <c r="B61" s="304">
        <f t="shared" ca="1" si="7"/>
        <v>0.57000000000000028</v>
      </c>
      <c r="D61" s="306">
        <f t="shared" ca="1" si="8"/>
        <v>7.2929358798135731</v>
      </c>
      <c r="E61" s="307">
        <f t="shared" ca="1" si="9"/>
        <v>65.783119661662198</v>
      </c>
      <c r="F61" s="304">
        <f t="shared" ca="1" si="10"/>
        <v>66.186144669165017</v>
      </c>
      <c r="G61" s="306">
        <f t="shared" ca="1" si="11"/>
        <v>4.2182983962360607</v>
      </c>
      <c r="H61" s="307">
        <f t="shared" ca="1" si="12"/>
        <v>43.625626725459895</v>
      </c>
      <c r="I61" s="304">
        <f t="shared" ca="1" si="13"/>
        <v>43.829092490591776</v>
      </c>
      <c r="J61" s="306">
        <f t="shared" ca="1" si="14"/>
        <v>1.1855138422619667</v>
      </c>
      <c r="K61" s="307">
        <f t="shared" ca="1" si="15"/>
        <v>12.883448327841787</v>
      </c>
      <c r="L61" s="304">
        <f t="shared" ca="1" si="0"/>
        <v>12.937877874147834</v>
      </c>
      <c r="M61" s="306">
        <f t="shared" ca="1" si="16"/>
        <v>1.4744028636500688</v>
      </c>
      <c r="N61" s="304">
        <f t="shared" ca="1" si="17"/>
        <v>84.477061389151515</v>
      </c>
      <c r="P61" s="310">
        <f t="shared" ca="1" si="18"/>
        <v>3</v>
      </c>
      <c r="Q61" s="304">
        <f t="shared" ca="1" si="19"/>
        <v>164.7413793103448</v>
      </c>
      <c r="R61" s="306">
        <f t="shared" ca="1" si="20"/>
        <v>8.7436452371960585E-2</v>
      </c>
      <c r="S61" s="307">
        <f t="shared" ca="1" si="21"/>
        <v>2.1034854152746716</v>
      </c>
      <c r="T61" s="304">
        <f t="shared" ca="1" si="1"/>
        <v>20.63519192384453</v>
      </c>
      <c r="U61" s="311">
        <f t="shared" ca="1" si="2"/>
        <v>0</v>
      </c>
      <c r="V61" s="306">
        <f t="shared" ca="1" si="3"/>
        <v>1.2234227935727149</v>
      </c>
      <c r="W61" s="304">
        <f t="shared" ca="1" si="4"/>
        <v>5.1481464724940968</v>
      </c>
      <c r="Y61" s="314" t="str">
        <f t="shared" ca="1" si="22"/>
        <v/>
      </c>
      <c r="Z61" s="315" t="str">
        <f t="shared" ca="1" si="23"/>
        <v/>
      </c>
      <c r="AA61" s="316" t="str">
        <f t="shared" ca="1" si="24"/>
        <v/>
      </c>
      <c r="AC61" s="310" t="e">
        <f t="shared" ca="1" si="25"/>
        <v>#N/A</v>
      </c>
      <c r="AD61" s="323" t="e">
        <f t="shared" ca="1" si="26"/>
        <v>#N/A</v>
      </c>
      <c r="AE61" s="324">
        <f t="shared" ca="1" si="5"/>
        <v>12.883448327841787</v>
      </c>
      <c r="AG61" s="306">
        <f t="shared" ca="1" si="27"/>
        <v>66.179439965019114</v>
      </c>
      <c r="AH61" s="304">
        <f t="shared" ca="1" si="28"/>
        <v>75.944102166853298</v>
      </c>
    </row>
    <row r="62" spans="1:34" x14ac:dyDescent="0.2">
      <c r="A62" s="347">
        <f t="shared" ca="1" si="6"/>
        <v>0.01</v>
      </c>
      <c r="B62" s="304">
        <f t="shared" ca="1" si="7"/>
        <v>0.58000000000000029</v>
      </c>
      <c r="D62" s="306">
        <f t="shared" ca="1" si="8"/>
        <v>7.2656944876749741</v>
      </c>
      <c r="E62" s="307">
        <f t="shared" ca="1" si="9"/>
        <v>65.331786058418572</v>
      </c>
      <c r="F62" s="304">
        <f t="shared" ca="1" si="10"/>
        <v>65.734561578907673</v>
      </c>
      <c r="G62" s="306">
        <f t="shared" ca="1" si="11"/>
        <v>4.2909553411128103</v>
      </c>
      <c r="H62" s="307">
        <f t="shared" ca="1" si="12"/>
        <v>44.278944586044084</v>
      </c>
      <c r="I62" s="304">
        <f t="shared" ca="1" si="13"/>
        <v>44.486371299459648</v>
      </c>
      <c r="J62" s="306">
        <f t="shared" ca="1" si="14"/>
        <v>1.228060110948711</v>
      </c>
      <c r="K62" s="307">
        <f t="shared" ca="1" si="15"/>
        <v>13.322971184399307</v>
      </c>
      <c r="L62" s="304">
        <f t="shared" ca="1" si="0"/>
        <v>13.379450392913666</v>
      </c>
      <c r="M62" s="306">
        <f t="shared" ca="1" si="16"/>
        <v>1.4741906287272162</v>
      </c>
      <c r="N62" s="304">
        <f t="shared" ca="1" si="17"/>
        <v>84.464901223806777</v>
      </c>
      <c r="P62" s="310">
        <f t="shared" ca="1" si="18"/>
        <v>3</v>
      </c>
      <c r="Q62" s="304">
        <f t="shared" ca="1" si="19"/>
        <v>163.87931034482756</v>
      </c>
      <c r="R62" s="306">
        <f t="shared" ca="1" si="20"/>
        <v>8.6978909450076955E-2</v>
      </c>
      <c r="S62" s="307">
        <f t="shared" ca="1" si="21"/>
        <v>2.1026156261801709</v>
      </c>
      <c r="T62" s="304">
        <f t="shared" ca="1" si="1"/>
        <v>20.62665929282748</v>
      </c>
      <c r="U62" s="311">
        <f t="shared" ca="1" si="2"/>
        <v>0</v>
      </c>
      <c r="V62" s="306">
        <f t="shared" ca="1" si="3"/>
        <v>1.2233690225032208</v>
      </c>
      <c r="W62" s="304">
        <f t="shared" ca="1" si="4"/>
        <v>5.3034785209885884</v>
      </c>
      <c r="Y62" s="314" t="str">
        <f t="shared" ca="1" si="22"/>
        <v/>
      </c>
      <c r="Z62" s="315" t="str">
        <f t="shared" ca="1" si="23"/>
        <v/>
      </c>
      <c r="AA62" s="316" t="str">
        <f t="shared" ca="1" si="24"/>
        <v/>
      </c>
      <c r="AC62" s="310" t="e">
        <f t="shared" ca="1" si="25"/>
        <v>#N/A</v>
      </c>
      <c r="AD62" s="323" t="e">
        <f t="shared" ca="1" si="26"/>
        <v>#N/A</v>
      </c>
      <c r="AE62" s="324">
        <f t="shared" ca="1" si="5"/>
        <v>13.322971184399307</v>
      </c>
      <c r="AG62" s="306">
        <f t="shared" ca="1" si="27"/>
        <v>65.727780695332811</v>
      </c>
      <c r="AH62" s="304">
        <f t="shared" ca="1" si="28"/>
        <v>75.492240186905164</v>
      </c>
    </row>
    <row r="63" spans="1:34" x14ac:dyDescent="0.2">
      <c r="A63" s="347">
        <f t="shared" ca="1" si="6"/>
        <v>0.01</v>
      </c>
      <c r="B63" s="304">
        <f t="shared" ca="1" si="7"/>
        <v>0.5900000000000003</v>
      </c>
      <c r="D63" s="306">
        <f t="shared" ca="1" si="8"/>
        <v>7.2379480977402801</v>
      </c>
      <c r="E63" s="307">
        <f t="shared" ca="1" si="9"/>
        <v>64.879358722943479</v>
      </c>
      <c r="F63" s="304">
        <f t="shared" ca="1" si="10"/>
        <v>65.281843424998087</v>
      </c>
      <c r="G63" s="306">
        <f t="shared" ca="1" si="11"/>
        <v>4.3633348220902128</v>
      </c>
      <c r="H63" s="307">
        <f t="shared" ca="1" si="12"/>
        <v>44.927738173273518</v>
      </c>
      <c r="I63" s="304">
        <f t="shared" ca="1" si="13"/>
        <v>45.139122146270012</v>
      </c>
      <c r="J63" s="306">
        <f t="shared" ca="1" si="14"/>
        <v>1.2713315617647261</v>
      </c>
      <c r="K63" s="307">
        <f t="shared" ca="1" si="15"/>
        <v>13.769004598195895</v>
      </c>
      <c r="L63" s="304">
        <f t="shared" ca="1" si="0"/>
        <v>13.827572873251432</v>
      </c>
      <c r="M63" s="306">
        <f t="shared" ca="1" si="16"/>
        <v>1.4739810038052081</v>
      </c>
      <c r="N63" s="304">
        <f t="shared" ca="1" si="17"/>
        <v>84.452890600494968</v>
      </c>
      <c r="P63" s="310">
        <f t="shared" ca="1" si="18"/>
        <v>3</v>
      </c>
      <c r="Q63" s="304">
        <f t="shared" ca="1" si="19"/>
        <v>163.01724137931032</v>
      </c>
      <c r="R63" s="306">
        <f t="shared" ca="1" si="20"/>
        <v>8.6521366528193339E-2</v>
      </c>
      <c r="S63" s="307">
        <f t="shared" ca="1" si="21"/>
        <v>2.1017504125148889</v>
      </c>
      <c r="T63" s="304">
        <f t="shared" ca="1" si="1"/>
        <v>20.618171546771062</v>
      </c>
      <c r="U63" s="311">
        <f t="shared" ca="1" si="2"/>
        <v>0</v>
      </c>
      <c r="V63" s="306">
        <f t="shared" ca="1" si="3"/>
        <v>1.2233144573489469</v>
      </c>
      <c r="W63" s="304">
        <f t="shared" ca="1" si="4"/>
        <v>5.4600132453816483</v>
      </c>
      <c r="Y63" s="314" t="str">
        <f t="shared" ca="1" si="22"/>
        <v/>
      </c>
      <c r="Z63" s="315" t="str">
        <f t="shared" ca="1" si="23"/>
        <v/>
      </c>
      <c r="AA63" s="316" t="str">
        <f t="shared" ca="1" si="24"/>
        <v/>
      </c>
      <c r="AC63" s="310" t="e">
        <f t="shared" ca="1" si="25"/>
        <v>#N/A</v>
      </c>
      <c r="AD63" s="323" t="e">
        <f t="shared" ca="1" si="26"/>
        <v>#N/A</v>
      </c>
      <c r="AE63" s="324">
        <f t="shared" ca="1" si="5"/>
        <v>13.769004598195895</v>
      </c>
      <c r="AG63" s="306">
        <f t="shared" ca="1" si="27"/>
        <v>65.274985504498929</v>
      </c>
      <c r="AH63" s="304">
        <f t="shared" ca="1" si="28"/>
        <v>75.039244393251423</v>
      </c>
    </row>
    <row r="64" spans="1:34" x14ac:dyDescent="0.2">
      <c r="A64" s="347">
        <f t="shared" ca="1" si="6"/>
        <v>0.01</v>
      </c>
      <c r="B64" s="304">
        <f t="shared" ca="1" si="7"/>
        <v>0.60000000000000031</v>
      </c>
      <c r="D64" s="306">
        <f t="shared" ca="1" si="8"/>
        <v>7.209709131492442</v>
      </c>
      <c r="E64" s="307">
        <f t="shared" ca="1" si="9"/>
        <v>64.42586256210852</v>
      </c>
      <c r="F64" s="304">
        <f t="shared" ca="1" si="10"/>
        <v>64.828016109028212</v>
      </c>
      <c r="G64" s="306">
        <f t="shared" ca="1" si="11"/>
        <v>4.4354319134051376</v>
      </c>
      <c r="H64" s="307">
        <f t="shared" ca="1" si="12"/>
        <v>45.571996798894602</v>
      </c>
      <c r="I64" s="304">
        <f t="shared" ca="1" si="13"/>
        <v>45.787333930869053</v>
      </c>
      <c r="J64" s="306">
        <f t="shared" ca="1" si="14"/>
        <v>1.3153253954422028</v>
      </c>
      <c r="K64" s="307">
        <f t="shared" ca="1" si="15"/>
        <v>14.221503273056737</v>
      </c>
      <c r="L64" s="304">
        <f t="shared" ca="1" si="0"/>
        <v>14.282199979045897</v>
      </c>
      <c r="M64" s="306">
        <f t="shared" ca="1" si="16"/>
        <v>1.4737738995198997</v>
      </c>
      <c r="N64" s="304">
        <f t="shared" ca="1" si="17"/>
        <v>84.441024399027711</v>
      </c>
      <c r="P64" s="310">
        <f t="shared" ca="1" si="18"/>
        <v>3</v>
      </c>
      <c r="Q64" s="304">
        <f t="shared" ca="1" si="19"/>
        <v>162.15517241379308</v>
      </c>
      <c r="R64" s="306">
        <f t="shared" ca="1" si="20"/>
        <v>8.6063823606309708E-2</v>
      </c>
      <c r="S64" s="307">
        <f t="shared" ca="1" si="21"/>
        <v>2.1008897742788259</v>
      </c>
      <c r="T64" s="304">
        <f t="shared" ca="1" si="1"/>
        <v>20.609728685675282</v>
      </c>
      <c r="U64" s="311">
        <f t="shared" ca="1" si="2"/>
        <v>0</v>
      </c>
      <c r="V64" s="306">
        <f t="shared" ca="1" si="3"/>
        <v>1.2232591037571314</v>
      </c>
      <c r="W64" s="304">
        <f t="shared" ca="1" si="4"/>
        <v>5.6176999600764796</v>
      </c>
      <c r="Y64" s="314" t="str">
        <f t="shared" ca="1" si="22"/>
        <v/>
      </c>
      <c r="Z64" s="315" t="str">
        <f t="shared" ca="1" si="23"/>
        <v/>
      </c>
      <c r="AA64" s="316" t="str">
        <f t="shared" ca="1" si="24"/>
        <v/>
      </c>
      <c r="AC64" s="310" t="e">
        <f t="shared" ca="1" si="25"/>
        <v>#N/A</v>
      </c>
      <c r="AD64" s="323" t="e">
        <f t="shared" ca="1" si="26"/>
        <v>#N/A</v>
      </c>
      <c r="AE64" s="324">
        <f t="shared" ca="1" si="5"/>
        <v>14.221503273056737</v>
      </c>
      <c r="AG64" s="306">
        <f t="shared" ca="1" si="27"/>
        <v>64.821080263965243</v>
      </c>
      <c r="AH64" s="304">
        <f t="shared" ca="1" si="28"/>
        <v>74.58514058511247</v>
      </c>
    </row>
    <row r="65" spans="1:34" x14ac:dyDescent="0.2">
      <c r="A65" s="347">
        <f t="shared" ca="1" si="6"/>
        <v>0.01</v>
      </c>
      <c r="B65" s="304">
        <f t="shared" ca="1" si="7"/>
        <v>0.61000000000000032</v>
      </c>
      <c r="D65" s="306">
        <f t="shared" ca="1" si="8"/>
        <v>7.180989538341791</v>
      </c>
      <c r="E65" s="307">
        <f t="shared" ca="1" si="9"/>
        <v>63.971322460425853</v>
      </c>
      <c r="F65" s="304">
        <f t="shared" ca="1" si="10"/>
        <v>64.373105471816089</v>
      </c>
      <c r="G65" s="306">
        <f t="shared" ca="1" si="11"/>
        <v>4.5072418087885557</v>
      </c>
      <c r="H65" s="307">
        <f t="shared" ca="1" si="12"/>
        <v>46.21171002349886</v>
      </c>
      <c r="I65" s="304">
        <f t="shared" ca="1" si="13"/>
        <v>46.430995811191003</v>
      </c>
      <c r="J65" s="306">
        <f t="shared" ca="1" si="14"/>
        <v>1.3600387640531713</v>
      </c>
      <c r="K65" s="307">
        <f t="shared" ca="1" si="15"/>
        <v>14.680421807168704</v>
      </c>
      <c r="L65" s="304">
        <f t="shared" ca="1" si="0"/>
        <v>14.743286264470406</v>
      </c>
      <c r="M65" s="306">
        <f t="shared" ca="1" si="16"/>
        <v>1.473569230753135</v>
      </c>
      <c r="N65" s="304">
        <f t="shared" ca="1" si="17"/>
        <v>84.429297742493944</v>
      </c>
      <c r="P65" s="310">
        <f t="shared" ca="1" si="18"/>
        <v>3</v>
      </c>
      <c r="Q65" s="304">
        <f t="shared" ca="1" si="19"/>
        <v>161.29310344827584</v>
      </c>
      <c r="R65" s="306">
        <f t="shared" ca="1" si="20"/>
        <v>8.5606280684426092E-2</v>
      </c>
      <c r="S65" s="307">
        <f t="shared" ca="1" si="21"/>
        <v>2.1000337114719816</v>
      </c>
      <c r="T65" s="304">
        <f t="shared" ca="1" si="1"/>
        <v>20.601330709540139</v>
      </c>
      <c r="U65" s="311">
        <f t="shared" ca="1" si="2"/>
        <v>0</v>
      </c>
      <c r="V65" s="306">
        <f t="shared" ca="1" si="3"/>
        <v>1.2232029673884586</v>
      </c>
      <c r="W65" s="304">
        <f t="shared" ca="1" si="4"/>
        <v>5.7764882276254914</v>
      </c>
      <c r="Y65" s="314" t="str">
        <f t="shared" ca="1" si="22"/>
        <v/>
      </c>
      <c r="Z65" s="315" t="str">
        <f t="shared" ca="1" si="23"/>
        <v/>
      </c>
      <c r="AA65" s="316" t="str">
        <f t="shared" ca="1" si="24"/>
        <v/>
      </c>
      <c r="AC65" s="310" t="e">
        <f t="shared" ca="1" si="25"/>
        <v>#N/A</v>
      </c>
      <c r="AD65" s="323" t="e">
        <f t="shared" ca="1" si="26"/>
        <v>#N/A</v>
      </c>
      <c r="AE65" s="324">
        <f t="shared" ca="1" si="5"/>
        <v>14.680421807168704</v>
      </c>
      <c r="AG65" s="306">
        <f t="shared" ca="1" si="27"/>
        <v>64.366090784090204</v>
      </c>
      <c r="AH65" s="304">
        <f t="shared" ca="1" si="28"/>
        <v>74.129954503959567</v>
      </c>
    </row>
    <row r="66" spans="1:34" x14ac:dyDescent="0.2">
      <c r="A66" s="347">
        <f t="shared" ca="1" si="6"/>
        <v>0.01</v>
      </c>
      <c r="B66" s="304">
        <f t="shared" ca="1" si="7"/>
        <v>0.62000000000000033</v>
      </c>
      <c r="D66" s="306">
        <f t="shared" ca="1" si="8"/>
        <v>7.151800825380108</v>
      </c>
      <c r="E66" s="307">
        <f t="shared" ca="1" si="9"/>
        <v>63.51576327364063</v>
      </c>
      <c r="F66" s="304">
        <f t="shared" ca="1" si="10"/>
        <v>63.917137289455191</v>
      </c>
      <c r="G66" s="306">
        <f t="shared" ca="1" si="11"/>
        <v>4.5787598170423571</v>
      </c>
      <c r="H66" s="307">
        <f t="shared" ca="1" si="12"/>
        <v>46.846867656235268</v>
      </c>
      <c r="I66" s="304">
        <f t="shared" ca="1" si="13"/>
        <v>47.070097202608196</v>
      </c>
      <c r="J66" s="306">
        <f t="shared" ca="1" si="14"/>
        <v>1.4054687721823258</v>
      </c>
      <c r="K66" s="307">
        <f t="shared" ca="1" si="15"/>
        <v>15.145714695567374</v>
      </c>
      <c r="L66" s="304">
        <f t="shared" ca="1" si="0"/>
        <v>15.210786176562513</v>
      </c>
      <c r="M66" s="306">
        <f t="shared" ca="1" si="16"/>
        <v>1.4733669163625305</v>
      </c>
      <c r="N66" s="304">
        <f t="shared" ca="1" si="17"/>
        <v>84.417705981777544</v>
      </c>
      <c r="P66" s="310">
        <f t="shared" ca="1" si="18"/>
        <v>3</v>
      </c>
      <c r="Q66" s="304">
        <f t="shared" ca="1" si="19"/>
        <v>160.43103448275861</v>
      </c>
      <c r="R66" s="306">
        <f t="shared" ca="1" si="20"/>
        <v>8.5148737762542476E-2</v>
      </c>
      <c r="S66" s="307">
        <f t="shared" ca="1" si="21"/>
        <v>2.0991822240943563</v>
      </c>
      <c r="T66" s="304">
        <f t="shared" ca="1" si="1"/>
        <v>20.592977618365637</v>
      </c>
      <c r="U66" s="311">
        <f t="shared" ca="1" si="2"/>
        <v>0</v>
      </c>
      <c r="V66" s="306">
        <f t="shared" ca="1" si="3"/>
        <v>1.2231460539167147</v>
      </c>
      <c r="W66" s="304">
        <f t="shared" ca="1" si="4"/>
        <v>5.9363278660156711</v>
      </c>
      <c r="Y66" s="314" t="str">
        <f t="shared" ca="1" si="22"/>
        <v/>
      </c>
      <c r="Z66" s="315" t="str">
        <f t="shared" ca="1" si="23"/>
        <v/>
      </c>
      <c r="AA66" s="316" t="str">
        <f t="shared" ca="1" si="24"/>
        <v/>
      </c>
      <c r="AC66" s="310" t="e">
        <f t="shared" ca="1" si="25"/>
        <v>#N/A</v>
      </c>
      <c r="AD66" s="323" t="e">
        <f t="shared" ca="1" si="26"/>
        <v>#N/A</v>
      </c>
      <c r="AE66" s="324">
        <f t="shared" ca="1" si="5"/>
        <v>15.145714695567374</v>
      </c>
      <c r="AG66" s="306">
        <f t="shared" ca="1" si="27"/>
        <v>63.910042810146749</v>
      </c>
      <c r="AH66" s="304">
        <f t="shared" ca="1" si="28"/>
        <v>73.673711829307834</v>
      </c>
    </row>
    <row r="67" spans="1:34" x14ac:dyDescent="0.2">
      <c r="A67" s="347">
        <f t="shared" ca="1" si="6"/>
        <v>0.01</v>
      </c>
      <c r="B67" s="304">
        <f t="shared" ca="1" si="7"/>
        <v>0.63000000000000034</v>
      </c>
      <c r="D67" s="306">
        <f t="shared" ca="1" si="8"/>
        <v>7.0841735279472164</v>
      </c>
      <c r="E67" s="307">
        <f t="shared" ca="1" si="9"/>
        <v>62.670617673438102</v>
      </c>
      <c r="F67" s="304">
        <f t="shared" ca="1" si="10"/>
        <v>63.069737863291621</v>
      </c>
      <c r="G67" s="306">
        <f t="shared" ca="1" si="11"/>
        <v>4.6496015523218297</v>
      </c>
      <c r="H67" s="307">
        <f t="shared" ca="1" si="12"/>
        <v>47.473573832969649</v>
      </c>
      <c r="I67" s="304">
        <f t="shared" ca="1" si="13"/>
        <v>47.700723339062414</v>
      </c>
      <c r="J67" s="306">
        <f t="shared" ca="1" si="14"/>
        <v>1.4516105790291467</v>
      </c>
      <c r="K67" s="307">
        <f t="shared" ca="1" si="15"/>
        <v>15.617316903013398</v>
      </c>
      <c r="L67" s="304">
        <f t="shared" ca="1" si="0"/>
        <v>15.684634535821909</v>
      </c>
      <c r="M67" s="306">
        <f t="shared" ca="1" si="16"/>
        <v>1.4731668625588483</v>
      </c>
      <c r="N67" s="304">
        <f t="shared" ca="1" si="17"/>
        <v>84.406243743151023</v>
      </c>
      <c r="P67" s="310">
        <f t="shared" ca="1" si="18"/>
        <v>4</v>
      </c>
      <c r="Q67" s="304">
        <f t="shared" ca="1" si="19"/>
        <v>158.74999999999991</v>
      </c>
      <c r="R67" s="306">
        <f t="shared" ca="1" si="20"/>
        <v>8.425652906486937E-2</v>
      </c>
      <c r="S67" s="307">
        <f t="shared" ca="1" si="21"/>
        <v>2.0983396588037078</v>
      </c>
      <c r="T67" s="304">
        <f t="shared" ca="1" si="1"/>
        <v>20.584712052864376</v>
      </c>
      <c r="U67" s="311">
        <f t="shared" ca="1" si="2"/>
        <v>0</v>
      </c>
      <c r="V67" s="306">
        <f t="shared" ca="1" si="3"/>
        <v>1.2230883714048597</v>
      </c>
      <c r="W67" s="304">
        <f t="shared" ca="1" si="4"/>
        <v>6.0961709494080569</v>
      </c>
      <c r="Y67" s="314" t="str">
        <f t="shared" ca="1" si="22"/>
        <v/>
      </c>
      <c r="Z67" s="315" t="str">
        <f t="shared" ca="1" si="23"/>
        <v/>
      </c>
      <c r="AA67" s="316" t="str">
        <f t="shared" ca="1" si="24"/>
        <v/>
      </c>
      <c r="AC67" s="310" t="e">
        <f t="shared" ca="1" si="25"/>
        <v>#N/A</v>
      </c>
      <c r="AD67" s="323" t="e">
        <f t="shared" ca="1" si="26"/>
        <v>#N/A</v>
      </c>
      <c r="AE67" s="324">
        <f t="shared" ca="1" si="5"/>
        <v>15.617316903013398</v>
      </c>
      <c r="AG67" s="306">
        <f t="shared" ca="1" si="27"/>
        <v>63.062518192639601</v>
      </c>
      <c r="AH67" s="304">
        <f t="shared" ca="1" si="28"/>
        <v>72.825994348839316</v>
      </c>
    </row>
    <row r="68" spans="1:34" x14ac:dyDescent="0.2">
      <c r="A68" s="347">
        <f t="shared" ca="1" si="6"/>
        <v>0.01</v>
      </c>
      <c r="B68" s="304">
        <f t="shared" ca="1" si="7"/>
        <v>0.64000000000000035</v>
      </c>
      <c r="D68" s="306">
        <f t="shared" ca="1" si="8"/>
        <v>6.9778731365087499</v>
      </c>
      <c r="E68" s="307">
        <f t="shared" ca="1" si="9"/>
        <v>61.435798551861566</v>
      </c>
      <c r="F68" s="304">
        <f t="shared" ca="1" si="10"/>
        <v>61.830801848383999</v>
      </c>
      <c r="G68" s="306">
        <f t="shared" ca="1" si="11"/>
        <v>4.7193802836869168</v>
      </c>
      <c r="H68" s="307">
        <f t="shared" ca="1" si="12"/>
        <v>48.087931818488265</v>
      </c>
      <c r="I68" s="304">
        <f t="shared" ca="1" si="13"/>
        <v>48.318958358408651</v>
      </c>
      <c r="J68" s="306">
        <f t="shared" ca="1" si="14"/>
        <v>1.4984554882091905</v>
      </c>
      <c r="K68" s="307">
        <f t="shared" ca="1" si="15"/>
        <v>16.095124431270687</v>
      </c>
      <c r="L68" s="304">
        <f t="shared" ref="L68:L131" ca="1" si="29">SQRT(pos_x^2+pos_z^2)</f>
        <v>16.164727010012598</v>
      </c>
      <c r="M68" s="306">
        <f t="shared" ca="1" si="16"/>
        <v>1.4729689641876842</v>
      </c>
      <c r="N68" s="304">
        <f t="shared" ca="1" si="17"/>
        <v>84.394905001710811</v>
      </c>
      <c r="P68" s="310">
        <f t="shared" ca="1" si="18"/>
        <v>4</v>
      </c>
      <c r="Q68" s="304">
        <f t="shared" ca="1" si="19"/>
        <v>156.24999999999991</v>
      </c>
      <c r="R68" s="306">
        <f t="shared" ca="1" si="20"/>
        <v>8.2929654591406859E-2</v>
      </c>
      <c r="S68" s="307">
        <f t="shared" ca="1" si="21"/>
        <v>2.0975103622577937</v>
      </c>
      <c r="T68" s="304">
        <f t="shared" ref="T68:T131" ca="1" si="30">m*g</f>
        <v>20.576576653748958</v>
      </c>
      <c r="U68" s="311">
        <f t="shared" ref="U68:U131" ca="1" si="31">IF(pos_xz&lt;L_rampe,Poids*COS(Beta),0)</f>
        <v>0</v>
      </c>
      <c r="V68" s="306">
        <f t="shared" ref="V68:V131" ca="1" si="32">Rho_moyen*(20000-Alt_rampe-pos_z)/(20000+Alt_rampe+pos_z)</f>
        <v>1.2230299326811012</v>
      </c>
      <c r="W68" s="304">
        <f t="shared" ref="W68:W131" ca="1" si="33">1/2*Rho*Sref*Cx*vit_xz^2</f>
        <v>6.2549174621600185</v>
      </c>
      <c r="Y68" s="314" t="str">
        <f t="shared" ca="1" si="22"/>
        <v/>
      </c>
      <c r="Z68" s="315" t="str">
        <f t="shared" ca="1" si="23"/>
        <v/>
      </c>
      <c r="AA68" s="316" t="str">
        <f t="shared" ca="1" si="24"/>
        <v/>
      </c>
      <c r="AC68" s="310" t="e">
        <f t="shared" ca="1" si="25"/>
        <v>#N/A</v>
      </c>
      <c r="AD68" s="323" t="e">
        <f t="shared" ca="1" si="26"/>
        <v>#N/A</v>
      </c>
      <c r="AE68" s="324">
        <f t="shared" ref="AE68:AE131" ca="1" si="34">IF(t&lt;T_para, pos_z, NA())</f>
        <v>16.095124431270687</v>
      </c>
      <c r="AG68" s="306">
        <f t="shared" ca="1" si="27"/>
        <v>61.823407317005909</v>
      </c>
      <c r="AH68" s="304">
        <f t="shared" ca="1" si="28"/>
        <v>71.586692372267422</v>
      </c>
    </row>
    <row r="69" spans="1:34" x14ac:dyDescent="0.2">
      <c r="A69" s="347">
        <f t="shared" ref="A69:A132" ca="1" si="35">IF(B68+0.01&lt;=T_ini+ROUNDUP(Temps_fin_propu,0), 0.01, IF(K68&gt;0, 0.1, 0.0001))</f>
        <v>0.01</v>
      </c>
      <c r="B69" s="304">
        <f t="shared" ref="B69:B132" ca="1" si="36">B68+pas</f>
        <v>0.65000000000000036</v>
      </c>
      <c r="D69" s="306">
        <f t="shared" ref="D69:D132" ca="1" si="37">IF(AND(L68&lt;L_rampe,Poussee&lt;Poids*SIN(M68)),0,(-W68+Poussee)/m*COS(M68)-U68/m*SIN(M68))</f>
        <v>6.8708399165904703</v>
      </c>
      <c r="E69" s="307">
        <f t="shared" ref="E69:E132" ca="1" si="38">IF(AND(L68&lt;L_rampe,Poussee&lt;Poids*SIN(M68)),0,(-W68+Poussee)/m*SIN(M68)+U68/m*COS(M68)-Poids/m)</f>
        <v>60.200141498202925</v>
      </c>
      <c r="F69" s="304">
        <f t="shared" ref="F69:F132" ca="1" si="39">SQRT(acc_x^2+acc_z^2)</f>
        <v>60.59096861383771</v>
      </c>
      <c r="G69" s="306">
        <f t="shared" ref="G69:G132" ca="1" si="40">G68+acc_x*pas</f>
        <v>4.7880886828528215</v>
      </c>
      <c r="H69" s="307">
        <f t="shared" ref="H69:H132" ca="1" si="41">H68+acc_z*pas</f>
        <v>48.689933233470292</v>
      </c>
      <c r="I69" s="304">
        <f t="shared" ref="I69:I132" ca="1" si="42">SQRT(vit_x^2+vit_z^2)</f>
        <v>48.924793218925899</v>
      </c>
      <c r="J69" s="306">
        <f t="shared" ref="J69:J132" ca="1" si="43">J68+0.5*(vit_x+G68)*pas*(K68&gt;=0)</f>
        <v>1.5459928330418893</v>
      </c>
      <c r="K69" s="307">
        <f t="shared" ref="K69:K132" ca="1" si="44">K68+0.5*(vit_z+H68)*pas</f>
        <v>16.579013756530479</v>
      </c>
      <c r="L69" s="304">
        <f t="shared" ca="1" si="29"/>
        <v>16.650939642525994</v>
      </c>
      <c r="M69" s="306">
        <f t="shared" ref="M69:M132" ca="1" si="45">IF(AND(L68&gt;L_rampe,G69&gt;0),ATAN2(G69,H69),$M$4)</f>
        <v>1.4727731214723936</v>
      </c>
      <c r="N69" s="304">
        <f t="shared" ref="N69:N132" ca="1" si="46">DEGREES(Beta)</f>
        <v>84.383684040676272</v>
      </c>
      <c r="P69" s="310">
        <f t="shared" ref="P69:P132" ca="1" si="47">MATCH(t-pas/2-T_ini,CdP_t)</f>
        <v>4</v>
      </c>
      <c r="Q69" s="304">
        <f t="shared" ref="Q69:Q132" ca="1" si="48">(INDEX(CdP,2,i_P+1)-INDEX(CdP,2,i_P+0))/(INDEX(CdP,1,i_P+1)-INDEX(CdP,1,i_P+0))*(t-pas/2-T_ini-INDEX(CdP,1,i_P+0))+INDEX(CdP,2,i_P+0)</f>
        <v>153.74999999999991</v>
      </c>
      <c r="R69" s="306">
        <f t="shared" ref="R69:R132" ca="1" si="49">Poussee/(g*ISP)</f>
        <v>8.1602780117944348E-2</v>
      </c>
      <c r="S69" s="307">
        <f t="shared" ref="S69:S132" ca="1" si="50">S68-Débit*pas</f>
        <v>2.0966943344566142</v>
      </c>
      <c r="T69" s="304">
        <f t="shared" ca="1" si="30"/>
        <v>20.568571421019385</v>
      </c>
      <c r="U69" s="311">
        <f t="shared" ca="1" si="31"/>
        <v>0</v>
      </c>
      <c r="V69" s="306">
        <f t="shared" ca="1" si="32"/>
        <v>1.2229707529605542</v>
      </c>
      <c r="W69" s="304">
        <f t="shared" ca="1" si="33"/>
        <v>6.4124418385830486</v>
      </c>
      <c r="Y69" s="314" t="str">
        <f t="shared" ref="Y69:Y132" ca="1" si="51">IF(AND(pos_z&lt;=0,K68&gt;0),"Impact balistique","") &amp; IF(AND(H70&lt;0,vit_z&gt;=0),"Apogée","") &amp; IF(AND(Poussee=0,Q68&gt;0),"Fin de propulsion","") &amp; IF(AND(L70&gt;L_rampe,pos_xz&lt;=L_rampe),"Sortie de rampe","")</f>
        <v/>
      </c>
      <c r="Z69" s="315" t="str">
        <f t="shared" ref="Z69:Z132" ca="1" si="52">IF(ABS(t-T_para)&lt;pas/2,"Para","")</f>
        <v/>
      </c>
      <c r="AA69" s="316" t="str">
        <f t="shared" ref="AA69:AA132" ca="1" si="53">IF(ABS(t-T_satellite)&lt;pas/2,"Satellite","")</f>
        <v/>
      </c>
      <c r="AC69" s="310" t="e">
        <f t="shared" ref="AC69:AC132" ca="1" si="54">IF(ABS(t-ROUND(t,0))&lt;0.001,t,NA())</f>
        <v>#N/A</v>
      </c>
      <c r="AD69" s="323" t="e">
        <f t="shared" ref="AD69:AD132" ca="1" si="55">IF(ABS(t-ROUND(t,0))&lt;0.001,pos_x,NA())</f>
        <v>#N/A</v>
      </c>
      <c r="AE69" s="324">
        <f t="shared" ca="1" si="34"/>
        <v>16.579013756530479</v>
      </c>
      <c r="AG69" s="306">
        <f t="shared" ref="AG69:AG132" ca="1" si="56">IF(AND(L68&lt;L_rampe,Poussee&lt;Poids*SIN(M68)),0,(-W68+Poussee)/m-Poids*SIN(M68)/m)</f>
        <v>60.58339222774719</v>
      </c>
      <c r="AH69" s="304">
        <f t="shared" ref="AH69:AH132" ca="1" si="57">IF(AND(L68&lt;L_rampe,Poussee&lt;Poids*SIN(M68)), g*SIN(M68), (-W68+Poussee)/m)</f>
        <v>70.346487856593157</v>
      </c>
    </row>
    <row r="70" spans="1:34" x14ac:dyDescent="0.2">
      <c r="A70" s="347">
        <f t="shared" ca="1" si="35"/>
        <v>0.01</v>
      </c>
      <c r="B70" s="304">
        <f t="shared" ca="1" si="36"/>
        <v>0.66000000000000036</v>
      </c>
      <c r="D70" s="306">
        <f t="shared" ca="1" si="37"/>
        <v>6.7630962659553786</v>
      </c>
      <c r="E70" s="307">
        <f t="shared" ca="1" si="38"/>
        <v>58.963727358094943</v>
      </c>
      <c r="F70" s="304">
        <f t="shared" ca="1" si="39"/>
        <v>59.350321103279079</v>
      </c>
      <c r="G70" s="306">
        <f t="shared" ca="1" si="40"/>
        <v>4.8557196455123757</v>
      </c>
      <c r="H70" s="307">
        <f t="shared" ca="1" si="41"/>
        <v>49.27957050705124</v>
      </c>
      <c r="I70" s="304">
        <f t="shared" ca="1" si="42"/>
        <v>49.518219703814566</v>
      </c>
      <c r="J70" s="306">
        <f t="shared" ca="1" si="43"/>
        <v>1.5942118746837153</v>
      </c>
      <c r="K70" s="307">
        <f t="shared" ca="1" si="44"/>
        <v>17.068861275233086</v>
      </c>
      <c r="L70" s="304">
        <f t="shared" ca="1" si="29"/>
        <v>17.143148390378421</v>
      </c>
      <c r="M70" s="306">
        <f t="shared" ca="1" si="45"/>
        <v>1.4725792396136945</v>
      </c>
      <c r="N70" s="304">
        <f t="shared" ca="1" si="46"/>
        <v>84.37257542844867</v>
      </c>
      <c r="P70" s="310">
        <f t="shared" ca="1" si="47"/>
        <v>4</v>
      </c>
      <c r="Q70" s="304">
        <f t="shared" ca="1" si="48"/>
        <v>151.24999999999991</v>
      </c>
      <c r="R70" s="306">
        <f t="shared" ca="1" si="49"/>
        <v>8.0275905644481838E-2</v>
      </c>
      <c r="S70" s="307">
        <f t="shared" ca="1" si="50"/>
        <v>2.0958915754001692</v>
      </c>
      <c r="T70" s="304">
        <f t="shared" ca="1" si="30"/>
        <v>20.56069635467566</v>
      </c>
      <c r="U70" s="311">
        <f t="shared" ca="1" si="31"/>
        <v>0</v>
      </c>
      <c r="V70" s="306">
        <f t="shared" ca="1" si="32"/>
        <v>1.2229108474665227</v>
      </c>
      <c r="W70" s="304">
        <f t="shared" ca="1" si="33"/>
        <v>6.5686211211263901</v>
      </c>
      <c r="Y70" s="314" t="str">
        <f t="shared" ca="1" si="51"/>
        <v/>
      </c>
      <c r="Z70" s="315" t="str">
        <f t="shared" ca="1" si="52"/>
        <v/>
      </c>
      <c r="AA70" s="316" t="str">
        <f t="shared" ca="1" si="53"/>
        <v/>
      </c>
      <c r="AC70" s="310" t="e">
        <f t="shared" ca="1" si="54"/>
        <v>#N/A</v>
      </c>
      <c r="AD70" s="323" t="e">
        <f t="shared" ca="1" si="55"/>
        <v>#N/A</v>
      </c>
      <c r="AE70" s="324">
        <f t="shared" ca="1" si="34"/>
        <v>17.068861275233086</v>
      </c>
      <c r="AG70" s="306">
        <f t="shared" ca="1" si="56"/>
        <v>59.342555418939256</v>
      </c>
      <c r="AH70" s="304">
        <f t="shared" ca="1" si="57"/>
        <v>69.105463212601052</v>
      </c>
    </row>
    <row r="71" spans="1:34" x14ac:dyDescent="0.2">
      <c r="A71" s="347">
        <f t="shared" ca="1" si="35"/>
        <v>0.01</v>
      </c>
      <c r="B71" s="304">
        <f t="shared" ca="1" si="36"/>
        <v>0.67000000000000037</v>
      </c>
      <c r="D71" s="306">
        <f t="shared" ca="1" si="37"/>
        <v>6.6195481094461188</v>
      </c>
      <c r="E71" s="307">
        <f t="shared" ca="1" si="38"/>
        <v>57.370255780571526</v>
      </c>
      <c r="F71" s="304">
        <f t="shared" ca="1" si="39"/>
        <v>57.750884543022131</v>
      </c>
      <c r="G71" s="306">
        <f t="shared" ca="1" si="40"/>
        <v>4.9219151266068373</v>
      </c>
      <c r="H71" s="307">
        <f t="shared" ca="1" si="41"/>
        <v>49.853273064856957</v>
      </c>
      <c r="I71" s="304">
        <f t="shared" ca="1" si="42"/>
        <v>50.095649349945688</v>
      </c>
      <c r="J71" s="306">
        <f t="shared" ca="1" si="43"/>
        <v>1.6431000485443112</v>
      </c>
      <c r="K71" s="307">
        <f t="shared" ca="1" si="44"/>
        <v>17.564525493092628</v>
      </c>
      <c r="L71" s="304">
        <f t="shared" ca="1" si="29"/>
        <v>17.641211227323002</v>
      </c>
      <c r="M71" s="306">
        <f t="shared" ca="1" si="45"/>
        <v>1.4723872146988375</v>
      </c>
      <c r="N71" s="304">
        <f t="shared" ca="1" si="46"/>
        <v>84.361573211265991</v>
      </c>
      <c r="P71" s="310">
        <f t="shared" ca="1" si="47"/>
        <v>5</v>
      </c>
      <c r="Q71" s="304">
        <f t="shared" ca="1" si="48"/>
        <v>147.99999999999986</v>
      </c>
      <c r="R71" s="306">
        <f t="shared" ca="1" si="49"/>
        <v>7.8550968828980536E-2</v>
      </c>
      <c r="S71" s="307">
        <f t="shared" ca="1" si="50"/>
        <v>2.0951060657118794</v>
      </c>
      <c r="T71" s="304">
        <f t="shared" ca="1" si="30"/>
        <v>20.552990504633538</v>
      </c>
      <c r="U71" s="311">
        <f t="shared" ca="1" si="31"/>
        <v>0</v>
      </c>
      <c r="V71" s="306">
        <f t="shared" ca="1" si="32"/>
        <v>1.2228502336084255</v>
      </c>
      <c r="W71" s="304">
        <f t="shared" ca="1" si="33"/>
        <v>6.7223738633782473</v>
      </c>
      <c r="Y71" s="314" t="str">
        <f t="shared" ca="1" si="51"/>
        <v/>
      </c>
      <c r="Z71" s="315" t="str">
        <f t="shared" ca="1" si="52"/>
        <v/>
      </c>
      <c r="AA71" s="316" t="str">
        <f t="shared" ca="1" si="53"/>
        <v/>
      </c>
      <c r="AC71" s="310" t="e">
        <f t="shared" ca="1" si="54"/>
        <v>#N/A</v>
      </c>
      <c r="AD71" s="323" t="e">
        <f t="shared" ca="1" si="55"/>
        <v>#N/A</v>
      </c>
      <c r="AE71" s="324">
        <f t="shared" ca="1" si="34"/>
        <v>17.564525493092628</v>
      </c>
      <c r="AG71" s="306">
        <f t="shared" ca="1" si="56"/>
        <v>57.742872252845274</v>
      </c>
      <c r="AH71" s="304">
        <f t="shared" ca="1" si="57"/>
        <v>67.505593723159606</v>
      </c>
    </row>
    <row r="72" spans="1:34" x14ac:dyDescent="0.2">
      <c r="A72" s="347">
        <f t="shared" ca="1" si="35"/>
        <v>0.01</v>
      </c>
      <c r="B72" s="304">
        <f t="shared" ca="1" si="36"/>
        <v>0.68000000000000038</v>
      </c>
      <c r="D72" s="306">
        <f t="shared" ca="1" si="37"/>
        <v>6.440006605937648</v>
      </c>
      <c r="E72" s="307">
        <f t="shared" ca="1" si="38"/>
        <v>55.419773290834328</v>
      </c>
      <c r="F72" s="304">
        <f t="shared" ca="1" si="39"/>
        <v>55.792696266554408</v>
      </c>
      <c r="G72" s="306">
        <f t="shared" ca="1" si="40"/>
        <v>4.9863151926662139</v>
      </c>
      <c r="H72" s="307">
        <f t="shared" ca="1" si="41"/>
        <v>50.407470797765299</v>
      </c>
      <c r="I72" s="304">
        <f t="shared" ca="1" si="42"/>
        <v>50.653493970585835</v>
      </c>
      <c r="J72" s="306">
        <f t="shared" ca="1" si="43"/>
        <v>1.6926412001406765</v>
      </c>
      <c r="K72" s="307">
        <f t="shared" ca="1" si="44"/>
        <v>18.065829212405738</v>
      </c>
      <c r="L72" s="304">
        <f t="shared" ca="1" si="29"/>
        <v>18.144950244192628</v>
      </c>
      <c r="M72" s="306">
        <f t="shared" ca="1" si="45"/>
        <v>1.4721969344491495</v>
      </c>
      <c r="N72" s="304">
        <f t="shared" ca="1" si="46"/>
        <v>84.350670956034179</v>
      </c>
      <c r="P72" s="310">
        <f t="shared" ca="1" si="47"/>
        <v>5</v>
      </c>
      <c r="Q72" s="304">
        <f t="shared" ca="1" si="48"/>
        <v>143.99999999999986</v>
      </c>
      <c r="R72" s="306">
        <f t="shared" ca="1" si="49"/>
        <v>7.6427969671440527E-2</v>
      </c>
      <c r="S72" s="307">
        <f t="shared" ca="1" si="50"/>
        <v>2.094341786015165</v>
      </c>
      <c r="T72" s="304">
        <f t="shared" ca="1" si="30"/>
        <v>20.545492920808769</v>
      </c>
      <c r="U72" s="311">
        <f t="shared" ca="1" si="31"/>
        <v>0</v>
      </c>
      <c r="V72" s="306">
        <f t="shared" ca="1" si="32"/>
        <v>1.2227889331592765</v>
      </c>
      <c r="W72" s="304">
        <f t="shared" ca="1" si="33"/>
        <v>6.8725781138031499</v>
      </c>
      <c r="Y72" s="314" t="str">
        <f t="shared" ca="1" si="51"/>
        <v/>
      </c>
      <c r="Z72" s="315" t="str">
        <f t="shared" ca="1" si="52"/>
        <v/>
      </c>
      <c r="AA72" s="316" t="str">
        <f t="shared" ca="1" si="53"/>
        <v/>
      </c>
      <c r="AC72" s="310" t="e">
        <f t="shared" ca="1" si="54"/>
        <v>#N/A</v>
      </c>
      <c r="AD72" s="323" t="e">
        <f t="shared" ca="1" si="55"/>
        <v>#N/A</v>
      </c>
      <c r="AE72" s="324">
        <f t="shared" ca="1" si="34"/>
        <v>18.065829212405738</v>
      </c>
      <c r="AG72" s="306">
        <f t="shared" ca="1" si="56"/>
        <v>55.784370364542902</v>
      </c>
      <c r="AH72" s="304">
        <f t="shared" ca="1" si="57"/>
        <v>65.546906934333407</v>
      </c>
    </row>
    <row r="73" spans="1:34" x14ac:dyDescent="0.2">
      <c r="A73" s="347">
        <f t="shared" ca="1" si="35"/>
        <v>0.01</v>
      </c>
      <c r="B73" s="304">
        <f t="shared" ca="1" si="36"/>
        <v>0.69000000000000039</v>
      </c>
      <c r="D73" s="306">
        <f t="shared" ca="1" si="37"/>
        <v>6.1968550188384599</v>
      </c>
      <c r="E73" s="307">
        <f t="shared" ca="1" si="38"/>
        <v>52.835014671256722</v>
      </c>
      <c r="F73" s="304">
        <f t="shared" ca="1" si="39"/>
        <v>53.197178378523198</v>
      </c>
      <c r="G73" s="306">
        <f t="shared" ca="1" si="40"/>
        <v>5.0482837428545988</v>
      </c>
      <c r="H73" s="307">
        <f t="shared" ca="1" si="41"/>
        <v>50.935820944477868</v>
      </c>
      <c r="I73" s="304">
        <f t="shared" ca="1" si="42"/>
        <v>51.185379006472935</v>
      </c>
      <c r="J73" s="306">
        <f t="shared" ca="1" si="43"/>
        <v>1.7428141948182807</v>
      </c>
      <c r="K73" s="307">
        <f t="shared" ca="1" si="44"/>
        <v>18.572545671116956</v>
      </c>
      <c r="L73" s="304">
        <f t="shared" ca="1" si="29"/>
        <v>18.654137718570251</v>
      </c>
      <c r="M73" s="306">
        <f t="shared" ca="1" si="45"/>
        <v>1.4720082685513631</v>
      </c>
      <c r="N73" s="304">
        <f t="shared" ca="1" si="46"/>
        <v>84.33986119635297</v>
      </c>
      <c r="P73" s="310">
        <f t="shared" ca="1" si="47"/>
        <v>6</v>
      </c>
      <c r="Q73" s="304">
        <f t="shared" ca="1" si="48"/>
        <v>138.66666666666643</v>
      </c>
      <c r="R73" s="306">
        <f t="shared" ca="1" si="49"/>
        <v>7.3597304128053778E-2</v>
      </c>
      <c r="S73" s="307">
        <f t="shared" ca="1" si="50"/>
        <v>2.0936058129738844</v>
      </c>
      <c r="T73" s="304">
        <f t="shared" ca="1" si="30"/>
        <v>20.538273025273806</v>
      </c>
      <c r="U73" s="311">
        <f t="shared" ca="1" si="31"/>
        <v>0</v>
      </c>
      <c r="V73" s="306">
        <f t="shared" ca="1" si="32"/>
        <v>1.2227269739492954</v>
      </c>
      <c r="W73" s="304">
        <f t="shared" ca="1" si="33"/>
        <v>7.0173107704220872</v>
      </c>
      <c r="Y73" s="314" t="str">
        <f t="shared" ca="1" si="51"/>
        <v/>
      </c>
      <c r="Z73" s="315" t="str">
        <f t="shared" ca="1" si="52"/>
        <v/>
      </c>
      <c r="AA73" s="316" t="str">
        <f t="shared" ca="1" si="53"/>
        <v/>
      </c>
      <c r="AC73" s="310" t="e">
        <f t="shared" ca="1" si="54"/>
        <v>#N/A</v>
      </c>
      <c r="AD73" s="323" t="e">
        <f t="shared" ca="1" si="55"/>
        <v>#N/A</v>
      </c>
      <c r="AE73" s="324">
        <f t="shared" ca="1" si="34"/>
        <v>18.572545671116956</v>
      </c>
      <c r="AG73" s="306">
        <f t="shared" ca="1" si="56"/>
        <v>53.188412491990213</v>
      </c>
      <c r="AH73" s="304">
        <f t="shared" ca="1" si="57"/>
        <v>62.950765486104089</v>
      </c>
    </row>
    <row r="74" spans="1:34" x14ac:dyDescent="0.2">
      <c r="A74" s="347">
        <f t="shared" ca="1" si="35"/>
        <v>0.01</v>
      </c>
      <c r="B74" s="304">
        <f t="shared" ca="1" si="36"/>
        <v>0.7000000000000004</v>
      </c>
      <c r="D74" s="306">
        <f t="shared" ca="1" si="37"/>
        <v>5.8897673013828946</v>
      </c>
      <c r="E74" s="307">
        <f t="shared" ca="1" si="38"/>
        <v>49.616163018769257</v>
      </c>
      <c r="F74" s="304">
        <f t="shared" ca="1" si="39"/>
        <v>49.964517325493354</v>
      </c>
      <c r="G74" s="306">
        <f t="shared" ca="1" si="40"/>
        <v>5.1071814158684274</v>
      </c>
      <c r="H74" s="307">
        <f t="shared" ca="1" si="41"/>
        <v>51.431982574665561</v>
      </c>
      <c r="I74" s="304">
        <f t="shared" ca="1" si="42"/>
        <v>51.684931397606533</v>
      </c>
      <c r="J74" s="306">
        <f t="shared" ca="1" si="43"/>
        <v>1.7935915206118958</v>
      </c>
      <c r="K74" s="307">
        <f t="shared" ca="1" si="44"/>
        <v>19.084384688712674</v>
      </c>
      <c r="L74" s="304">
        <f t="shared" ca="1" si="29"/>
        <v>19.168482190553892</v>
      </c>
      <c r="M74" s="306">
        <f t="shared" ca="1" si="45"/>
        <v>1.4718210698208951</v>
      </c>
      <c r="N74" s="304">
        <f t="shared" ca="1" si="46"/>
        <v>84.329135499166952</v>
      </c>
      <c r="P74" s="310">
        <f t="shared" ca="1" si="47"/>
        <v>6</v>
      </c>
      <c r="Q74" s="304">
        <f t="shared" ca="1" si="48"/>
        <v>131.99999999999977</v>
      </c>
      <c r="R74" s="306">
        <f t="shared" ca="1" si="49"/>
        <v>7.0058972198820429E-2</v>
      </c>
      <c r="S74" s="307">
        <f t="shared" ca="1" si="50"/>
        <v>2.0929052232518961</v>
      </c>
      <c r="T74" s="304">
        <f t="shared" ca="1" si="30"/>
        <v>20.531400240101103</v>
      </c>
      <c r="U74" s="311">
        <f t="shared" ca="1" si="31"/>
        <v>0</v>
      </c>
      <c r="V74" s="306">
        <f t="shared" ca="1" si="32"/>
        <v>1.2226643915581323</v>
      </c>
      <c r="W74" s="304">
        <f t="shared" ca="1" si="33"/>
        <v>7.1545862382305909</v>
      </c>
      <c r="Y74" s="314" t="str">
        <f t="shared" ca="1" si="51"/>
        <v/>
      </c>
      <c r="Z74" s="315" t="str">
        <f t="shared" ca="1" si="52"/>
        <v/>
      </c>
      <c r="AA74" s="316" t="str">
        <f t="shared" ca="1" si="53"/>
        <v/>
      </c>
      <c r="AC74" s="310" t="e">
        <f t="shared" ca="1" si="54"/>
        <v>#N/A</v>
      </c>
      <c r="AD74" s="323" t="e">
        <f t="shared" ca="1" si="55"/>
        <v>#N/A</v>
      </c>
      <c r="AE74" s="324">
        <f t="shared" ca="1" si="34"/>
        <v>19.084384688712674</v>
      </c>
      <c r="AG74" s="306">
        <f t="shared" ca="1" si="56"/>
        <v>49.955148552665136</v>
      </c>
      <c r="AH74" s="304">
        <f t="shared" ca="1" si="57"/>
        <v>59.717319179596281</v>
      </c>
    </row>
    <row r="75" spans="1:34" x14ac:dyDescent="0.2">
      <c r="A75" s="347">
        <f t="shared" ca="1" si="35"/>
        <v>0.01</v>
      </c>
      <c r="B75" s="304">
        <f t="shared" ca="1" si="36"/>
        <v>0.71000000000000041</v>
      </c>
      <c r="D75" s="306">
        <f t="shared" ca="1" si="37"/>
        <v>5.581426601568019</v>
      </c>
      <c r="E75" s="307">
        <f t="shared" ca="1" si="38"/>
        <v>46.397879129120113</v>
      </c>
      <c r="F75" s="304">
        <f t="shared" ca="1" si="39"/>
        <v>46.732381820201837</v>
      </c>
      <c r="G75" s="306">
        <f t="shared" ca="1" si="40"/>
        <v>5.1629956818841078</v>
      </c>
      <c r="H75" s="307">
        <f t="shared" ca="1" si="41"/>
        <v>51.895961365956765</v>
      </c>
      <c r="I75" s="304">
        <f t="shared" ca="1" si="42"/>
        <v>52.152155569142401</v>
      </c>
      <c r="J75" s="306">
        <f t="shared" ca="1" si="43"/>
        <v>1.8449424061006585</v>
      </c>
      <c r="K75" s="307">
        <f t="shared" ca="1" si="44"/>
        <v>19.601024408415785</v>
      </c>
      <c r="L75" s="304">
        <f t="shared" ca="1" si="29"/>
        <v>19.687660357217155</v>
      </c>
      <c r="M75" s="306">
        <f t="shared" ca="1" si="45"/>
        <v>1.471635197771594</v>
      </c>
      <c r="N75" s="304">
        <f t="shared" ca="1" si="46"/>
        <v>84.318485815212554</v>
      </c>
      <c r="P75" s="310">
        <f t="shared" ca="1" si="47"/>
        <v>6</v>
      </c>
      <c r="Q75" s="304">
        <f t="shared" ca="1" si="48"/>
        <v>125.33333333333309</v>
      </c>
      <c r="R75" s="306">
        <f t="shared" ca="1" si="49"/>
        <v>6.6520640269587053E-2</v>
      </c>
      <c r="S75" s="307">
        <f t="shared" ca="1" si="50"/>
        <v>2.0922400168492001</v>
      </c>
      <c r="T75" s="304">
        <f t="shared" ca="1" si="30"/>
        <v>20.524874565290656</v>
      </c>
      <c r="U75" s="311">
        <f t="shared" ca="1" si="31"/>
        <v>0</v>
      </c>
      <c r="V75" s="306">
        <f t="shared" ca="1" si="32"/>
        <v>1.2226012254319119</v>
      </c>
      <c r="W75" s="304">
        <f t="shared" ca="1" si="33"/>
        <v>7.2841473781647004</v>
      </c>
      <c r="Y75" s="314" t="str">
        <f t="shared" ca="1" si="51"/>
        <v/>
      </c>
      <c r="Z75" s="315" t="str">
        <f t="shared" ca="1" si="52"/>
        <v/>
      </c>
      <c r="AA75" s="316" t="str">
        <f t="shared" ca="1" si="53"/>
        <v/>
      </c>
      <c r="AC75" s="310" t="e">
        <f t="shared" ca="1" si="54"/>
        <v>#N/A</v>
      </c>
      <c r="AD75" s="323" t="e">
        <f t="shared" ca="1" si="55"/>
        <v>#N/A</v>
      </c>
      <c r="AE75" s="324">
        <f t="shared" ca="1" si="34"/>
        <v>19.601024408415785</v>
      </c>
      <c r="AG75" s="306">
        <f t="shared" ca="1" si="56"/>
        <v>46.722327064861595</v>
      </c>
      <c r="AH75" s="304">
        <f t="shared" ca="1" si="57"/>
        <v>56.484316399355208</v>
      </c>
    </row>
    <row r="76" spans="1:34" x14ac:dyDescent="0.2">
      <c r="A76" s="347">
        <f t="shared" ca="1" si="35"/>
        <v>0.01</v>
      </c>
      <c r="B76" s="304">
        <f t="shared" ca="1" si="36"/>
        <v>0.72000000000000042</v>
      </c>
      <c r="D76" s="306">
        <f t="shared" ca="1" si="37"/>
        <v>5.271883266044382</v>
      </c>
      <c r="E76" s="307">
        <f t="shared" ca="1" si="38"/>
        <v>43.180447243727578</v>
      </c>
      <c r="F76" s="304">
        <f t="shared" ca="1" si="39"/>
        <v>43.501077887095384</v>
      </c>
      <c r="G76" s="306">
        <f t="shared" ca="1" si="40"/>
        <v>5.215714514544552</v>
      </c>
      <c r="H76" s="307">
        <f t="shared" ca="1" si="41"/>
        <v>52.327765838394043</v>
      </c>
      <c r="I76" s="304">
        <f t="shared" ca="1" si="42"/>
        <v>52.587058821872034</v>
      </c>
      <c r="J76" s="306">
        <f t="shared" ca="1" si="43"/>
        <v>1.8968359570828017</v>
      </c>
      <c r="K76" s="307">
        <f t="shared" ca="1" si="44"/>
        <v>20.122143044437539</v>
      </c>
      <c r="L76" s="304">
        <f t="shared" ca="1" si="29"/>
        <v>20.211348974001915</v>
      </c>
      <c r="M76" s="306">
        <f t="shared" ca="1" si="45"/>
        <v>1.4714505178733426</v>
      </c>
      <c r="N76" s="304">
        <f t="shared" ca="1" si="46"/>
        <v>84.307904436481834</v>
      </c>
      <c r="P76" s="310">
        <f t="shared" ca="1" si="47"/>
        <v>6</v>
      </c>
      <c r="Q76" s="304">
        <f t="shared" ca="1" si="48"/>
        <v>118.66666666666643</v>
      </c>
      <c r="R76" s="306">
        <f t="shared" ca="1" si="49"/>
        <v>6.2982308340353704E-2</v>
      </c>
      <c r="S76" s="307">
        <f t="shared" ca="1" si="50"/>
        <v>2.0916101937657965</v>
      </c>
      <c r="T76" s="304">
        <f t="shared" ca="1" si="30"/>
        <v>20.518696000842464</v>
      </c>
      <c r="U76" s="311">
        <f t="shared" ca="1" si="31"/>
        <v>0</v>
      </c>
      <c r="V76" s="306">
        <f t="shared" ca="1" si="32"/>
        <v>1.2225375150008264</v>
      </c>
      <c r="W76" s="304">
        <f t="shared" ca="1" si="33"/>
        <v>7.4057547921935356</v>
      </c>
      <c r="Y76" s="314" t="str">
        <f t="shared" ca="1" si="51"/>
        <v/>
      </c>
      <c r="Z76" s="315" t="str">
        <f t="shared" ca="1" si="52"/>
        <v/>
      </c>
      <c r="AA76" s="316" t="str">
        <f t="shared" ca="1" si="53"/>
        <v/>
      </c>
      <c r="AC76" s="310" t="e">
        <f t="shared" ca="1" si="54"/>
        <v>#N/A</v>
      </c>
      <c r="AD76" s="323" t="e">
        <f t="shared" ca="1" si="55"/>
        <v>#N/A</v>
      </c>
      <c r="AE76" s="324">
        <f t="shared" ca="1" si="34"/>
        <v>20.122143044437539</v>
      </c>
      <c r="AG76" s="306">
        <f t="shared" ca="1" si="56"/>
        <v>43.490235594503574</v>
      </c>
      <c r="AH76" s="304">
        <f t="shared" ca="1" si="57"/>
        <v>53.25204458291789</v>
      </c>
    </row>
    <row r="77" spans="1:34" x14ac:dyDescent="0.2">
      <c r="A77" s="347">
        <f t="shared" ca="1" si="35"/>
        <v>0.01</v>
      </c>
      <c r="B77" s="304">
        <f t="shared" ca="1" si="36"/>
        <v>0.73000000000000043</v>
      </c>
      <c r="D77" s="306">
        <f t="shared" ca="1" si="37"/>
        <v>4.9611849300107576</v>
      </c>
      <c r="E77" s="307">
        <f t="shared" ca="1" si="38"/>
        <v>39.964143614384881</v>
      </c>
      <c r="F77" s="304">
        <f t="shared" ca="1" si="39"/>
        <v>40.270909236581012</v>
      </c>
      <c r="G77" s="306">
        <f t="shared" ca="1" si="40"/>
        <v>5.2653263638446592</v>
      </c>
      <c r="H77" s="307">
        <f t="shared" ca="1" si="41"/>
        <v>52.727407274537889</v>
      </c>
      <c r="I77" s="304">
        <f t="shared" ca="1" si="42"/>
        <v>52.989651250152505</v>
      </c>
      <c r="J77" s="306">
        <f t="shared" ca="1" si="43"/>
        <v>1.9492411614747478</v>
      </c>
      <c r="K77" s="307">
        <f t="shared" ca="1" si="44"/>
        <v>20.647418910002198</v>
      </c>
      <c r="L77" s="304">
        <f t="shared" ca="1" si="29"/>
        <v>20.73922488307371</v>
      </c>
      <c r="M77" s="306">
        <f t="shared" ca="1" si="45"/>
        <v>1.4712669008768975</v>
      </c>
      <c r="N77" s="304">
        <f t="shared" ca="1" si="46"/>
        <v>84.297383957538671</v>
      </c>
      <c r="P77" s="310">
        <f t="shared" ca="1" si="47"/>
        <v>6</v>
      </c>
      <c r="Q77" s="304">
        <f t="shared" ca="1" si="48"/>
        <v>111.99999999999974</v>
      </c>
      <c r="R77" s="306">
        <f t="shared" ca="1" si="49"/>
        <v>5.9443976411120328E-2</v>
      </c>
      <c r="S77" s="307">
        <f t="shared" ca="1" si="50"/>
        <v>2.0910157540016852</v>
      </c>
      <c r="T77" s="304">
        <f t="shared" ca="1" si="30"/>
        <v>20.512864546756532</v>
      </c>
      <c r="U77" s="311">
        <f t="shared" ca="1" si="31"/>
        <v>0</v>
      </c>
      <c r="V77" s="306">
        <f t="shared" ca="1" si="32"/>
        <v>1.2224732996755281</v>
      </c>
      <c r="W77" s="304">
        <f t="shared" ca="1" si="33"/>
        <v>7.5191868173701053</v>
      </c>
      <c r="Y77" s="314" t="str">
        <f t="shared" ca="1" si="51"/>
        <v/>
      </c>
      <c r="Z77" s="315" t="str">
        <f t="shared" ca="1" si="52"/>
        <v/>
      </c>
      <c r="AA77" s="316" t="str">
        <f t="shared" ca="1" si="53"/>
        <v/>
      </c>
      <c r="AC77" s="310" t="e">
        <f t="shared" ca="1" si="54"/>
        <v>#N/A</v>
      </c>
      <c r="AD77" s="323" t="e">
        <f t="shared" ca="1" si="55"/>
        <v>#N/A</v>
      </c>
      <c r="AE77" s="324">
        <f t="shared" ca="1" si="34"/>
        <v>20.647418910002198</v>
      </c>
      <c r="AG77" s="306">
        <f t="shared" ca="1" si="56"/>
        <v>40.259153500209258</v>
      </c>
      <c r="AH77" s="304">
        <f t="shared" ca="1" si="57"/>
        <v>50.020782965235334</v>
      </c>
    </row>
    <row r="78" spans="1:34" x14ac:dyDescent="0.2">
      <c r="A78" s="347">
        <f t="shared" ca="1" si="35"/>
        <v>0.01</v>
      </c>
      <c r="B78" s="304">
        <f t="shared" ca="1" si="36"/>
        <v>0.74000000000000044</v>
      </c>
      <c r="D78" s="306">
        <f t="shared" ca="1" si="37"/>
        <v>4.6493766290505869</v>
      </c>
      <c r="E78" s="307">
        <f t="shared" ca="1" si="38"/>
        <v>36.749236437086473</v>
      </c>
      <c r="F78" s="304">
        <f t="shared" ca="1" si="39"/>
        <v>37.04217976506844</v>
      </c>
      <c r="G78" s="306">
        <f t="shared" ca="1" si="40"/>
        <v>5.3118201301351649</v>
      </c>
      <c r="H78" s="307">
        <f t="shared" ca="1" si="41"/>
        <v>53.094899638908757</v>
      </c>
      <c r="I78" s="304">
        <f t="shared" ca="1" si="42"/>
        <v>53.359945659274267</v>
      </c>
      <c r="J78" s="306">
        <f t="shared" ca="1" si="43"/>
        <v>2.0021268939446468</v>
      </c>
      <c r="K78" s="307">
        <f t="shared" ca="1" si="44"/>
        <v>21.17653044456943</v>
      </c>
      <c r="L78" s="304">
        <f t="shared" ca="1" si="29"/>
        <v>21.270965040853984</v>
      </c>
      <c r="M78" s="306">
        <f t="shared" ca="1" si="45"/>
        <v>1.4710842221966434</v>
      </c>
      <c r="N78" s="304">
        <f t="shared" ca="1" si="46"/>
        <v>84.286917240153088</v>
      </c>
      <c r="P78" s="310">
        <f t="shared" ca="1" si="47"/>
        <v>6</v>
      </c>
      <c r="Q78" s="304">
        <f t="shared" ca="1" si="48"/>
        <v>105.33333333333307</v>
      </c>
      <c r="R78" s="306">
        <f t="shared" ca="1" si="49"/>
        <v>5.5905644481886965E-2</v>
      </c>
      <c r="S78" s="307">
        <f t="shared" ca="1" si="50"/>
        <v>2.0904566975568661</v>
      </c>
      <c r="T78" s="304">
        <f t="shared" ca="1" si="30"/>
        <v>20.507380203032859</v>
      </c>
      <c r="U78" s="311">
        <f t="shared" ca="1" si="31"/>
        <v>0</v>
      </c>
      <c r="V78" s="306">
        <f t="shared" ca="1" si="32"/>
        <v>1.2224086188436378</v>
      </c>
      <c r="W78" s="304">
        <f t="shared" ca="1" si="33"/>
        <v>7.6242395110161398</v>
      </c>
      <c r="Y78" s="314" t="str">
        <f t="shared" ca="1" si="51"/>
        <v/>
      </c>
      <c r="Z78" s="315" t="str">
        <f t="shared" ca="1" si="52"/>
        <v/>
      </c>
      <c r="AA78" s="316" t="str">
        <f t="shared" ca="1" si="53"/>
        <v/>
      </c>
      <c r="AC78" s="310" t="e">
        <f t="shared" ca="1" si="54"/>
        <v>#N/A</v>
      </c>
      <c r="AD78" s="323" t="e">
        <f t="shared" ca="1" si="55"/>
        <v>#N/A</v>
      </c>
      <c r="AE78" s="324">
        <f t="shared" ca="1" si="34"/>
        <v>21.17653044456943</v>
      </c>
      <c r="AG78" s="306">
        <f t="shared" ca="1" si="56"/>
        <v>37.029351877104155</v>
      </c>
      <c r="AH78" s="304">
        <f t="shared" ca="1" si="57"/>
        <v>46.790802521898279</v>
      </c>
    </row>
    <row r="79" spans="1:34" x14ac:dyDescent="0.2">
      <c r="A79" s="347">
        <f t="shared" ca="1" si="35"/>
        <v>0.01</v>
      </c>
      <c r="B79" s="304">
        <f t="shared" ca="1" si="36"/>
        <v>0.75000000000000044</v>
      </c>
      <c r="D79" s="306">
        <f t="shared" ca="1" si="37"/>
        <v>4.3365008967645098</v>
      </c>
      <c r="E79" s="307">
        <f t="shared" ca="1" si="38"/>
        <v>33.535985793365079</v>
      </c>
      <c r="F79" s="304">
        <f t="shared" ca="1" si="39"/>
        <v>33.815197517690528</v>
      </c>
      <c r="G79" s="306">
        <f t="shared" ca="1" si="40"/>
        <v>5.3551851391028098</v>
      </c>
      <c r="H79" s="307">
        <f t="shared" ca="1" si="41"/>
        <v>53.43025949684241</v>
      </c>
      <c r="I79" s="304">
        <f t="shared" ca="1" si="42"/>
        <v>53.697957482328754</v>
      </c>
      <c r="J79" s="306">
        <f t="shared" ca="1" si="43"/>
        <v>2.0554619202908366</v>
      </c>
      <c r="K79" s="307">
        <f t="shared" ca="1" si="44"/>
        <v>21.709156240248184</v>
      </c>
      <c r="L79" s="304">
        <f t="shared" ca="1" si="29"/>
        <v>21.806246544723656</v>
      </c>
      <c r="M79" s="306">
        <f t="shared" ca="1" si="45"/>
        <v>1.4709023613431693</v>
      </c>
      <c r="N79" s="304">
        <f t="shared" ca="1" si="46"/>
        <v>84.276497380790374</v>
      </c>
      <c r="P79" s="310">
        <f t="shared" ca="1" si="47"/>
        <v>6</v>
      </c>
      <c r="Q79" s="304">
        <f t="shared" ca="1" si="48"/>
        <v>98.666666666666401</v>
      </c>
      <c r="R79" s="306">
        <f t="shared" ca="1" si="49"/>
        <v>5.2367312552653603E-2</v>
      </c>
      <c r="S79" s="307">
        <f t="shared" ca="1" si="50"/>
        <v>2.0899330244313394</v>
      </c>
      <c r="T79" s="304">
        <f t="shared" ca="1" si="30"/>
        <v>20.502242969671443</v>
      </c>
      <c r="U79" s="311">
        <f t="shared" ca="1" si="31"/>
        <v>0</v>
      </c>
      <c r="V79" s="306">
        <f t="shared" ca="1" si="32"/>
        <v>1.2223435118663666</v>
      </c>
      <c r="W79" s="304">
        <f t="shared" ca="1" si="33"/>
        <v>7.7207266273788209</v>
      </c>
      <c r="Y79" s="314" t="str">
        <f t="shared" ca="1" si="51"/>
        <v/>
      </c>
      <c r="Z79" s="315" t="str">
        <f t="shared" ca="1" si="52"/>
        <v/>
      </c>
      <c r="AA79" s="316" t="str">
        <f t="shared" ca="1" si="53"/>
        <v/>
      </c>
      <c r="AC79" s="310" t="e">
        <f t="shared" ca="1" si="54"/>
        <v>#N/A</v>
      </c>
      <c r="AD79" s="323" t="e">
        <f t="shared" ca="1" si="55"/>
        <v>#N/A</v>
      </c>
      <c r="AE79" s="324">
        <f t="shared" ca="1" si="34"/>
        <v>21.709156240248184</v>
      </c>
      <c r="AG79" s="306">
        <f t="shared" ca="1" si="56"/>
        <v>33.801093506827655</v>
      </c>
      <c r="AH79" s="304">
        <f t="shared" ca="1" si="57"/>
        <v>43.562365918602801</v>
      </c>
    </row>
    <row r="80" spans="1:34" x14ac:dyDescent="0.2">
      <c r="A80" s="347">
        <f t="shared" ca="1" si="35"/>
        <v>0.01</v>
      </c>
      <c r="B80" s="304">
        <f t="shared" ca="1" si="36"/>
        <v>0.76000000000000045</v>
      </c>
      <c r="D80" s="306">
        <f t="shared" ca="1" si="37"/>
        <v>4.0225978497559955</v>
      </c>
      <c r="E80" s="307">
        <f t="shared" ca="1" si="38"/>
        <v>30.324643598878744</v>
      </c>
      <c r="F80" s="304">
        <f t="shared" ca="1" si="39"/>
        <v>30.590281183079686</v>
      </c>
      <c r="G80" s="306">
        <f t="shared" ca="1" si="40"/>
        <v>5.3954111176003696</v>
      </c>
      <c r="H80" s="307">
        <f t="shared" ca="1" si="41"/>
        <v>53.7335059328312</v>
      </c>
      <c r="I80" s="304">
        <f t="shared" ca="1" si="42"/>
        <v>54.003704696636611</v>
      </c>
      <c r="J80" s="306">
        <f t="shared" ca="1" si="43"/>
        <v>2.1092149015743527</v>
      </c>
      <c r="K80" s="307">
        <f t="shared" ca="1" si="44"/>
        <v>22.244975067396553</v>
      </c>
      <c r="L80" s="304">
        <f t="shared" ca="1" si="29"/>
        <v>22.344746658893172</v>
      </c>
      <c r="M80" s="306">
        <f t="shared" ca="1" si="45"/>
        <v>1.4707212013986077</v>
      </c>
      <c r="N80" s="304">
        <f t="shared" ca="1" si="46"/>
        <v>84.266117680550167</v>
      </c>
      <c r="P80" s="310">
        <f t="shared" ca="1" si="47"/>
        <v>6</v>
      </c>
      <c r="Q80" s="304">
        <f t="shared" ca="1" si="48"/>
        <v>91.99999999999973</v>
      </c>
      <c r="R80" s="306">
        <f t="shared" ca="1" si="49"/>
        <v>4.882898062342024E-2</v>
      </c>
      <c r="S80" s="307">
        <f t="shared" ca="1" si="50"/>
        <v>2.089444734625105</v>
      </c>
      <c r="T80" s="304">
        <f t="shared" ca="1" si="30"/>
        <v>20.497452846672282</v>
      </c>
      <c r="U80" s="311">
        <f t="shared" ca="1" si="31"/>
        <v>0</v>
      </c>
      <c r="V80" s="306">
        <f t="shared" ca="1" si="32"/>
        <v>1.2222780180752466</v>
      </c>
      <c r="W80" s="304">
        <f t="shared" ca="1" si="33"/>
        <v>7.8084795861015994</v>
      </c>
      <c r="Y80" s="314" t="str">
        <f t="shared" ca="1" si="51"/>
        <v/>
      </c>
      <c r="Z80" s="315" t="str">
        <f t="shared" ca="1" si="52"/>
        <v/>
      </c>
      <c r="AA80" s="316" t="str">
        <f t="shared" ca="1" si="53"/>
        <v/>
      </c>
      <c r="AC80" s="310" t="e">
        <f t="shared" ca="1" si="54"/>
        <v>#N/A</v>
      </c>
      <c r="AD80" s="323" t="e">
        <f t="shared" ca="1" si="55"/>
        <v>#N/A</v>
      </c>
      <c r="AE80" s="324">
        <f t="shared" ca="1" si="34"/>
        <v>22.244975067396553</v>
      </c>
      <c r="AG80" s="306">
        <f t="shared" ca="1" si="56"/>
        <v>30.574632813608311</v>
      </c>
      <c r="AH80" s="304">
        <f t="shared" ca="1" si="57"/>
        <v>40.335727466724585</v>
      </c>
    </row>
    <row r="81" spans="1:34" x14ac:dyDescent="0.2">
      <c r="A81" s="347">
        <f t="shared" ca="1" si="35"/>
        <v>0.01</v>
      </c>
      <c r="B81" s="304">
        <f t="shared" ca="1" si="36"/>
        <v>0.77000000000000046</v>
      </c>
      <c r="D81" s="306">
        <f t="shared" ca="1" si="37"/>
        <v>3.7077052612892252</v>
      </c>
      <c r="E81" s="307">
        <f t="shared" ca="1" si="38"/>
        <v>27.115453559001722</v>
      </c>
      <c r="F81" s="304">
        <f t="shared" ca="1" si="39"/>
        <v>27.36777119195078</v>
      </c>
      <c r="G81" s="306">
        <f t="shared" ca="1" si="40"/>
        <v>5.4324881702132615</v>
      </c>
      <c r="H81" s="307">
        <f t="shared" ca="1" si="41"/>
        <v>54.004660468421214</v>
      </c>
      <c r="I81" s="304">
        <f t="shared" ca="1" si="42"/>
        <v>54.277207739795941</v>
      </c>
      <c r="J81" s="306">
        <f t="shared" ca="1" si="43"/>
        <v>2.1633543980134209</v>
      </c>
      <c r="K81" s="307">
        <f t="shared" ca="1" si="44"/>
        <v>22.783665899402816</v>
      </c>
      <c r="L81" s="304">
        <f t="shared" ca="1" si="29"/>
        <v>22.886142839434843</v>
      </c>
      <c r="M81" s="306">
        <f t="shared" ca="1" si="45"/>
        <v>1.4705406285285234</v>
      </c>
      <c r="N81" s="304">
        <f t="shared" ca="1" si="46"/>
        <v>84.25577161719977</v>
      </c>
      <c r="P81" s="310">
        <f t="shared" ca="1" si="47"/>
        <v>6</v>
      </c>
      <c r="Q81" s="304">
        <f t="shared" ca="1" si="48"/>
        <v>85.333333333333059</v>
      </c>
      <c r="R81" s="306">
        <f t="shared" ca="1" si="49"/>
        <v>4.5290648694186877E-2</v>
      </c>
      <c r="S81" s="307">
        <f t="shared" ca="1" si="50"/>
        <v>2.088991828138163</v>
      </c>
      <c r="T81" s="304">
        <f t="shared" ca="1" si="30"/>
        <v>20.49300983403538</v>
      </c>
      <c r="U81" s="311">
        <f t="shared" ca="1" si="31"/>
        <v>0</v>
      </c>
      <c r="V81" s="306">
        <f t="shared" ca="1" si="32"/>
        <v>1.2222121767689773</v>
      </c>
      <c r="W81" s="304">
        <f t="shared" ca="1" si="33"/>
        <v>7.8873474328548205</v>
      </c>
      <c r="Y81" s="314" t="str">
        <f t="shared" ca="1" si="51"/>
        <v/>
      </c>
      <c r="Z81" s="315" t="str">
        <f t="shared" ca="1" si="52"/>
        <v/>
      </c>
      <c r="AA81" s="316" t="str">
        <f t="shared" ca="1" si="53"/>
        <v/>
      </c>
      <c r="AC81" s="310" t="e">
        <f t="shared" ca="1" si="54"/>
        <v>#N/A</v>
      </c>
      <c r="AD81" s="323" t="e">
        <f t="shared" ca="1" si="55"/>
        <v>#N/A</v>
      </c>
      <c r="AE81" s="324">
        <f t="shared" ca="1" si="34"/>
        <v>22.783665899402816</v>
      </c>
      <c r="AG81" s="306">
        <f t="shared" ca="1" si="56"/>
        <v>27.350215826277612</v>
      </c>
      <c r="AH81" s="304">
        <f t="shared" ca="1" si="57"/>
        <v>37.111133084865315</v>
      </c>
    </row>
    <row r="82" spans="1:34" x14ac:dyDescent="0.2">
      <c r="A82" s="347">
        <f t="shared" ca="1" si="35"/>
        <v>0.01</v>
      </c>
      <c r="B82" s="304">
        <f t="shared" ca="1" si="36"/>
        <v>0.78000000000000047</v>
      </c>
      <c r="D82" s="306">
        <f t="shared" ca="1" si="37"/>
        <v>3.3918586247353057</v>
      </c>
      <c r="E82" s="307">
        <f t="shared" ca="1" si="38"/>
        <v>23.908651131186069</v>
      </c>
      <c r="F82" s="304">
        <f t="shared" ca="1" si="39"/>
        <v>24.148049690253583</v>
      </c>
      <c r="G82" s="306">
        <f t="shared" ca="1" si="40"/>
        <v>5.4664067564606142</v>
      </c>
      <c r="H82" s="307">
        <f t="shared" ca="1" si="41"/>
        <v>54.243746979733075</v>
      </c>
      <c r="I82" s="304">
        <f t="shared" ca="1" si="42"/>
        <v>54.518489425408504</v>
      </c>
      <c r="J82" s="306">
        <f t="shared" ca="1" si="43"/>
        <v>2.2178488726467904</v>
      </c>
      <c r="K82" s="307">
        <f t="shared" ca="1" si="44"/>
        <v>23.324907936643587</v>
      </c>
      <c r="L82" s="304">
        <f t="shared" ca="1" si="29"/>
        <v>23.430112758473861</v>
      </c>
      <c r="M82" s="306">
        <f t="shared" ca="1" si="45"/>
        <v>1.4703605315248538</v>
      </c>
      <c r="N82" s="304">
        <f t="shared" ca="1" si="46"/>
        <v>84.24545281898655</v>
      </c>
      <c r="P82" s="310">
        <f t="shared" ca="1" si="47"/>
        <v>6</v>
      </c>
      <c r="Q82" s="304">
        <f t="shared" ca="1" si="48"/>
        <v>78.666666666666373</v>
      </c>
      <c r="R82" s="306">
        <f t="shared" ca="1" si="49"/>
        <v>4.1752316764953501E-2</v>
      </c>
      <c r="S82" s="307">
        <f t="shared" ca="1" si="50"/>
        <v>2.0885743049705137</v>
      </c>
      <c r="T82" s="304">
        <f t="shared" ca="1" si="30"/>
        <v>20.488913931760742</v>
      </c>
      <c r="U82" s="311">
        <f t="shared" ca="1" si="31"/>
        <v>0</v>
      </c>
      <c r="V82" s="306">
        <f t="shared" ca="1" si="32"/>
        <v>1.2221460272103899</v>
      </c>
      <c r="W82" s="304">
        <f t="shared" ca="1" si="33"/>
        <v>7.9571967924749192</v>
      </c>
      <c r="Y82" s="314" t="str">
        <f t="shared" ca="1" si="51"/>
        <v/>
      </c>
      <c r="Z82" s="315" t="str">
        <f t="shared" ca="1" si="52"/>
        <v/>
      </c>
      <c r="AA82" s="316" t="str">
        <f t="shared" ca="1" si="53"/>
        <v/>
      </c>
      <c r="AC82" s="310" t="e">
        <f t="shared" ca="1" si="54"/>
        <v>#N/A</v>
      </c>
      <c r="AD82" s="323" t="e">
        <f t="shared" ca="1" si="55"/>
        <v>#N/A</v>
      </c>
      <c r="AE82" s="324">
        <f t="shared" ca="1" si="34"/>
        <v>23.324907936643587</v>
      </c>
      <c r="AG82" s="306">
        <f t="shared" ca="1" si="56"/>
        <v>24.128080146085875</v>
      </c>
      <c r="AH82" s="304">
        <f t="shared" ca="1" si="57"/>
        <v>33.888820266229793</v>
      </c>
    </row>
    <row r="83" spans="1:34" x14ac:dyDescent="0.2">
      <c r="A83" s="347">
        <f t="shared" ca="1" si="35"/>
        <v>0.01</v>
      </c>
      <c r="B83" s="304">
        <f t="shared" ca="1" si="36"/>
        <v>0.79000000000000048</v>
      </c>
      <c r="D83" s="306">
        <f t="shared" ca="1" si="37"/>
        <v>3.0750912077476977</v>
      </c>
      <c r="E83" s="307">
        <f t="shared" ca="1" si="38"/>
        <v>20.704463493871138</v>
      </c>
      <c r="F83" s="304">
        <f t="shared" ca="1" si="39"/>
        <v>20.931578882277606</v>
      </c>
      <c r="G83" s="306">
        <f t="shared" ca="1" si="40"/>
        <v>5.4971576685380912</v>
      </c>
      <c r="H83" s="307">
        <f t="shared" ca="1" si="41"/>
        <v>54.450791614671786</v>
      </c>
      <c r="I83" s="304">
        <f t="shared" ca="1" si="42"/>
        <v>54.72757485854072</v>
      </c>
      <c r="J83" s="306">
        <f t="shared" ca="1" si="43"/>
        <v>2.2726666947717837</v>
      </c>
      <c r="K83" s="307">
        <f t="shared" ca="1" si="44"/>
        <v>23.868380629615611</v>
      </c>
      <c r="L83" s="304">
        <f t="shared" ca="1" si="29"/>
        <v>23.976334327535028</v>
      </c>
      <c r="M83" s="306">
        <f t="shared" ca="1" si="45"/>
        <v>1.4701808013749873</v>
      </c>
      <c r="N83" s="304">
        <f t="shared" ca="1" si="46"/>
        <v>84.235155039947955</v>
      </c>
      <c r="P83" s="310">
        <f t="shared" ca="1" si="47"/>
        <v>6</v>
      </c>
      <c r="Q83" s="304">
        <f t="shared" ca="1" si="48"/>
        <v>71.999999999999702</v>
      </c>
      <c r="R83" s="306">
        <f t="shared" ca="1" si="49"/>
        <v>3.8213984835720138E-2</v>
      </c>
      <c r="S83" s="307">
        <f t="shared" ca="1" si="50"/>
        <v>2.0881921651221567</v>
      </c>
      <c r="T83" s="304">
        <f t="shared" ca="1" si="30"/>
        <v>20.485165139848359</v>
      </c>
      <c r="U83" s="311">
        <f t="shared" ca="1" si="31"/>
        <v>0</v>
      </c>
      <c r="V83" s="306">
        <f t="shared" ca="1" si="32"/>
        <v>1.2220796086235204</v>
      </c>
      <c r="W83" s="304">
        <f t="shared" ca="1" si="33"/>
        <v>8.0179118149632878</v>
      </c>
      <c r="Y83" s="314" t="str">
        <f t="shared" ca="1" si="51"/>
        <v/>
      </c>
      <c r="Z83" s="315" t="str">
        <f t="shared" ca="1" si="52"/>
        <v/>
      </c>
      <c r="AA83" s="316" t="str">
        <f t="shared" ca="1" si="53"/>
        <v/>
      </c>
      <c r="AC83" s="310" t="e">
        <f t="shared" ca="1" si="54"/>
        <v>#N/A</v>
      </c>
      <c r="AD83" s="323" t="e">
        <f t="shared" ca="1" si="55"/>
        <v>#N/A</v>
      </c>
      <c r="AE83" s="324">
        <f t="shared" ca="1" si="34"/>
        <v>23.868380629615611</v>
      </c>
      <c r="AG83" s="306">
        <f t="shared" ca="1" si="56"/>
        <v>20.908454920179398</v>
      </c>
      <c r="AH83" s="304">
        <f t="shared" ca="1" si="57"/>
        <v>30.669018051687956</v>
      </c>
    </row>
    <row r="84" spans="1:34" x14ac:dyDescent="0.2">
      <c r="A84" s="347">
        <f t="shared" ca="1" si="35"/>
        <v>0.01</v>
      </c>
      <c r="B84" s="304">
        <f t="shared" ca="1" si="36"/>
        <v>0.80000000000000049</v>
      </c>
      <c r="D84" s="306">
        <f t="shared" ca="1" si="37"/>
        <v>2.7574340979558571</v>
      </c>
      <c r="E84" s="307">
        <f t="shared" ca="1" si="38"/>
        <v>17.503109521727453</v>
      </c>
      <c r="F84" s="304">
        <f t="shared" ca="1" si="39"/>
        <v>17.718980945137783</v>
      </c>
      <c r="G84" s="306">
        <f t="shared" ca="1" si="40"/>
        <v>5.52473200951765</v>
      </c>
      <c r="H84" s="307">
        <f t="shared" ca="1" si="41"/>
        <v>54.625822709889057</v>
      </c>
      <c r="I84" s="304">
        <f t="shared" ca="1" si="42"/>
        <v>54.904491350974375</v>
      </c>
      <c r="J84" s="306">
        <f t="shared" ca="1" si="43"/>
        <v>2.3277761431620623</v>
      </c>
      <c r="K84" s="307">
        <f t="shared" ca="1" si="44"/>
        <v>24.413763701238416</v>
      </c>
      <c r="L84" s="304">
        <f t="shared" ca="1" si="29"/>
        <v>24.524485720042755</v>
      </c>
      <c r="M84" s="306">
        <f t="shared" ca="1" si="45"/>
        <v>1.4700013308525508</v>
      </c>
      <c r="N84" s="304">
        <f t="shared" ca="1" si="46"/>
        <v>84.224872136465336</v>
      </c>
      <c r="P84" s="310">
        <f t="shared" ca="1" si="47"/>
        <v>6</v>
      </c>
      <c r="Q84" s="304">
        <f t="shared" ca="1" si="48"/>
        <v>65.33333333333303</v>
      </c>
      <c r="R84" s="306">
        <f t="shared" ca="1" si="49"/>
        <v>3.4675652906486776E-2</v>
      </c>
      <c r="S84" s="307">
        <f t="shared" ca="1" si="50"/>
        <v>2.087845408593092</v>
      </c>
      <c r="T84" s="304">
        <f t="shared" ca="1" si="30"/>
        <v>20.481763458298232</v>
      </c>
      <c r="U84" s="311">
        <f t="shared" ca="1" si="31"/>
        <v>0</v>
      </c>
      <c r="V84" s="306">
        <f t="shared" ca="1" si="32"/>
        <v>1.2220129601908019</v>
      </c>
      <c r="W84" s="304">
        <f t="shared" ca="1" si="33"/>
        <v>8.069394114697868</v>
      </c>
      <c r="Y84" s="314" t="str">
        <f t="shared" ca="1" si="51"/>
        <v/>
      </c>
      <c r="Z84" s="315" t="str">
        <f t="shared" ca="1" si="52"/>
        <v/>
      </c>
      <c r="AA84" s="316" t="str">
        <f t="shared" ca="1" si="53"/>
        <v/>
      </c>
      <c r="AC84" s="310" t="e">
        <f t="shared" ca="1" si="54"/>
        <v>#N/A</v>
      </c>
      <c r="AD84" s="323" t="e">
        <f t="shared" ca="1" si="55"/>
        <v>#N/A</v>
      </c>
      <c r="AE84" s="324">
        <f t="shared" ca="1" si="34"/>
        <v>24.413763701238416</v>
      </c>
      <c r="AG84" s="306">
        <f t="shared" ca="1" si="56"/>
        <v>17.691560820592926</v>
      </c>
      <c r="AH84" s="304">
        <f t="shared" ca="1" si="57"/>
        <v>27.451947008371711</v>
      </c>
    </row>
    <row r="85" spans="1:34" x14ac:dyDescent="0.2">
      <c r="A85" s="347">
        <f t="shared" ca="1" si="35"/>
        <v>0.01</v>
      </c>
      <c r="B85" s="304">
        <f t="shared" ca="1" si="36"/>
        <v>0.8100000000000005</v>
      </c>
      <c r="D85" s="306">
        <f t="shared" ca="1" si="37"/>
        <v>2.5152470290495215</v>
      </c>
      <c r="E85" s="307">
        <f t="shared" ca="1" si="38"/>
        <v>15.059520918613801</v>
      </c>
      <c r="F85" s="304">
        <f t="shared" ca="1" si="39"/>
        <v>15.268124898470967</v>
      </c>
      <c r="G85" s="306">
        <f t="shared" ca="1" si="40"/>
        <v>5.5498844798081448</v>
      </c>
      <c r="H85" s="307">
        <f t="shared" ca="1" si="41"/>
        <v>54.776417919075193</v>
      </c>
      <c r="I85" s="304">
        <f t="shared" ca="1" si="42"/>
        <v>55.056854049104523</v>
      </c>
      <c r="J85" s="306">
        <f t="shared" ca="1" si="43"/>
        <v>2.3831492256086912</v>
      </c>
      <c r="K85" s="307">
        <f t="shared" ca="1" si="44"/>
        <v>24.960774904383236</v>
      </c>
      <c r="L85" s="304">
        <f t="shared" ca="1" si="29"/>
        <v>25.074283320940744</v>
      </c>
      <c r="M85" s="306">
        <f t="shared" ca="1" si="45"/>
        <v>1.4698220388320631</v>
      </c>
      <c r="N85" s="304">
        <f t="shared" ca="1" si="46"/>
        <v>84.214599460391014</v>
      </c>
      <c r="P85" s="310">
        <f t="shared" ca="1" si="47"/>
        <v>7</v>
      </c>
      <c r="Q85" s="304">
        <f t="shared" ca="1" si="48"/>
        <v>60.249999999999837</v>
      </c>
      <c r="R85" s="306">
        <f t="shared" ca="1" si="49"/>
        <v>3.1977674810446416E-2</v>
      </c>
      <c r="S85" s="307">
        <f t="shared" ca="1" si="50"/>
        <v>2.0875256318449873</v>
      </c>
      <c r="T85" s="304">
        <f t="shared" ca="1" si="30"/>
        <v>20.478626448399325</v>
      </c>
      <c r="U85" s="311">
        <f t="shared" ca="1" si="31"/>
        <v>0</v>
      </c>
      <c r="V85" s="306">
        <f t="shared" ca="1" si="32"/>
        <v>1.2219461164392205</v>
      </c>
      <c r="W85" s="304">
        <f t="shared" ca="1" si="33"/>
        <v>8.1137983507932603</v>
      </c>
      <c r="Y85" s="314" t="str">
        <f t="shared" ca="1" si="51"/>
        <v/>
      </c>
      <c r="Z85" s="315" t="str">
        <f t="shared" ca="1" si="52"/>
        <v/>
      </c>
      <c r="AA85" s="316" t="str">
        <f t="shared" ca="1" si="53"/>
        <v/>
      </c>
      <c r="AC85" s="310" t="e">
        <f t="shared" ca="1" si="54"/>
        <v>#N/A</v>
      </c>
      <c r="AD85" s="323" t="e">
        <f t="shared" ca="1" si="55"/>
        <v>#N/A</v>
      </c>
      <c r="AE85" s="324">
        <f t="shared" ca="1" si="34"/>
        <v>24.960774904383236</v>
      </c>
      <c r="AG85" s="306">
        <f t="shared" ca="1" si="56"/>
        <v>15.236181321156186</v>
      </c>
      <c r="AH85" s="304">
        <f t="shared" ca="1" si="57"/>
        <v>24.99639050620133</v>
      </c>
    </row>
    <row r="86" spans="1:34" x14ac:dyDescent="0.2">
      <c r="A86" s="347">
        <f t="shared" ca="1" si="35"/>
        <v>0.01</v>
      </c>
      <c r="B86" s="304">
        <f t="shared" ca="1" si="36"/>
        <v>0.82000000000000051</v>
      </c>
      <c r="D86" s="306">
        <f t="shared" ca="1" si="37"/>
        <v>2.3488920178604018</v>
      </c>
      <c r="E86" s="307">
        <f t="shared" ca="1" si="38"/>
        <v>13.373165574925464</v>
      </c>
      <c r="F86" s="304">
        <f t="shared" ca="1" si="39"/>
        <v>13.577880954182055</v>
      </c>
      <c r="G86" s="306">
        <f t="shared" ca="1" si="40"/>
        <v>5.5733733999867487</v>
      </c>
      <c r="H86" s="307">
        <f t="shared" ca="1" si="41"/>
        <v>54.910149574824445</v>
      </c>
      <c r="I86" s="304">
        <f t="shared" ca="1" si="42"/>
        <v>55.192273167403364</v>
      </c>
      <c r="J86" s="306">
        <f t="shared" ca="1" si="43"/>
        <v>2.4387655150076659</v>
      </c>
      <c r="K86" s="307">
        <f t="shared" ca="1" si="44"/>
        <v>25.509207741852734</v>
      </c>
      <c r="L86" s="304">
        <f t="shared" ca="1" si="29"/>
        <v>25.625519640666607</v>
      </c>
      <c r="M86" s="306">
        <f t="shared" ca="1" si="45"/>
        <v>1.4696428696630077</v>
      </c>
      <c r="N86" s="304">
        <f t="shared" ca="1" si="46"/>
        <v>84.204333823185266</v>
      </c>
      <c r="P86" s="310">
        <f t="shared" ca="1" si="47"/>
        <v>7</v>
      </c>
      <c r="Q86" s="304">
        <f t="shared" ca="1" si="48"/>
        <v>56.749999999999829</v>
      </c>
      <c r="R86" s="306">
        <f t="shared" ca="1" si="49"/>
        <v>3.0120050547598896E-2</v>
      </c>
      <c r="S86" s="307">
        <f t="shared" ca="1" si="50"/>
        <v>2.0872244313395112</v>
      </c>
      <c r="T86" s="304">
        <f t="shared" ca="1" si="30"/>
        <v>20.475671671440605</v>
      </c>
      <c r="U86" s="311">
        <f t="shared" ca="1" si="31"/>
        <v>0</v>
      </c>
      <c r="V86" s="306">
        <f t="shared" ca="1" si="32"/>
        <v>1.2218791026325875</v>
      </c>
      <c r="W86" s="304">
        <f t="shared" ca="1" si="33"/>
        <v>8.1533140438683827</v>
      </c>
      <c r="Y86" s="314" t="str">
        <f t="shared" ca="1" si="51"/>
        <v/>
      </c>
      <c r="Z86" s="315" t="str">
        <f t="shared" ca="1" si="52"/>
        <v/>
      </c>
      <c r="AA86" s="316" t="str">
        <f t="shared" ca="1" si="53"/>
        <v/>
      </c>
      <c r="AC86" s="310" t="e">
        <f t="shared" ca="1" si="54"/>
        <v>#N/A</v>
      </c>
      <c r="AD86" s="323" t="e">
        <f t="shared" ca="1" si="55"/>
        <v>#N/A</v>
      </c>
      <c r="AE86" s="324">
        <f t="shared" ca="1" si="34"/>
        <v>25.509207741852734</v>
      </c>
      <c r="AG86" s="306">
        <f t="shared" ca="1" si="56"/>
        <v>13.541823241894836</v>
      </c>
      <c r="AH86" s="304">
        <f t="shared" ca="1" si="57"/>
        <v>23.301855286349571</v>
      </c>
    </row>
    <row r="87" spans="1:34" x14ac:dyDescent="0.2">
      <c r="A87" s="347">
        <f t="shared" ca="1" si="35"/>
        <v>0.01</v>
      </c>
      <c r="B87" s="304">
        <f t="shared" ca="1" si="36"/>
        <v>0.83000000000000052</v>
      </c>
      <c r="D87" s="306">
        <f t="shared" ca="1" si="37"/>
        <v>2.1820974795704942</v>
      </c>
      <c r="E87" s="307">
        <f t="shared" ca="1" si="38"/>
        <v>11.68852349572491</v>
      </c>
      <c r="F87" s="304">
        <f t="shared" ca="1" si="39"/>
        <v>11.890463864814574</v>
      </c>
      <c r="G87" s="306">
        <f t="shared" ca="1" si="40"/>
        <v>5.5951943747824533</v>
      </c>
      <c r="H87" s="307">
        <f t="shared" ca="1" si="41"/>
        <v>55.027034809781696</v>
      </c>
      <c r="I87" s="304">
        <f t="shared" ca="1" si="42"/>
        <v>55.310765317870292</v>
      </c>
      <c r="J87" s="306">
        <f t="shared" ca="1" si="43"/>
        <v>2.494608353881512</v>
      </c>
      <c r="K87" s="307">
        <f t="shared" ca="1" si="44"/>
        <v>26.058893663775766</v>
      </c>
      <c r="L87" s="304">
        <f t="shared" ca="1" si="29"/>
        <v>26.178025323145139</v>
      </c>
      <c r="M87" s="306">
        <f t="shared" ca="1" si="45"/>
        <v>1.4694637681721079</v>
      </c>
      <c r="N87" s="304">
        <f t="shared" ca="1" si="46"/>
        <v>84.194072063652214</v>
      </c>
      <c r="P87" s="310">
        <f t="shared" ca="1" si="47"/>
        <v>7</v>
      </c>
      <c r="Q87" s="304">
        <f t="shared" ca="1" si="48"/>
        <v>53.249999999999822</v>
      </c>
      <c r="R87" s="306">
        <f t="shared" ca="1" si="49"/>
        <v>2.8262426284751375E-2</v>
      </c>
      <c r="S87" s="307">
        <f t="shared" ca="1" si="50"/>
        <v>2.0869418070766637</v>
      </c>
      <c r="T87" s="304">
        <f t="shared" ca="1" si="30"/>
        <v>20.472899127422071</v>
      </c>
      <c r="U87" s="311">
        <f t="shared" ca="1" si="31"/>
        <v>0</v>
      </c>
      <c r="V87" s="306">
        <f t="shared" ca="1" si="32"/>
        <v>1.2218119393928053</v>
      </c>
      <c r="W87" s="304">
        <f t="shared" ca="1" si="33"/>
        <v>8.1879101910964494</v>
      </c>
      <c r="Y87" s="314" t="str">
        <f t="shared" ca="1" si="51"/>
        <v/>
      </c>
      <c r="Z87" s="315" t="str">
        <f t="shared" ca="1" si="52"/>
        <v/>
      </c>
      <c r="AA87" s="316" t="str">
        <f t="shared" ca="1" si="53"/>
        <v/>
      </c>
      <c r="AC87" s="310" t="e">
        <f t="shared" ca="1" si="54"/>
        <v>#N/A</v>
      </c>
      <c r="AD87" s="323" t="e">
        <f t="shared" ca="1" si="55"/>
        <v>#N/A</v>
      </c>
      <c r="AE87" s="324">
        <f t="shared" ca="1" si="34"/>
        <v>26.058893663775766</v>
      </c>
      <c r="AG87" s="306">
        <f t="shared" ca="1" si="56"/>
        <v>11.84912633557124</v>
      </c>
      <c r="AH87" s="304">
        <f t="shared" ca="1" si="57"/>
        <v>21.608981047392863</v>
      </c>
    </row>
    <row r="88" spans="1:34" x14ac:dyDescent="0.2">
      <c r="A88" s="347">
        <f t="shared" ca="1" si="35"/>
        <v>0.01</v>
      </c>
      <c r="B88" s="304">
        <f t="shared" ca="1" si="36"/>
        <v>0.84000000000000052</v>
      </c>
      <c r="D88" s="306">
        <f t="shared" ca="1" si="37"/>
        <v>2.0148721777091194</v>
      </c>
      <c r="E88" s="307">
        <f t="shared" ca="1" si="38"/>
        <v>10.005655012766395</v>
      </c>
      <c r="F88" s="304">
        <f t="shared" ca="1" si="39"/>
        <v>10.206509791647857</v>
      </c>
      <c r="G88" s="306">
        <f t="shared" ca="1" si="40"/>
        <v>5.6153430965595446</v>
      </c>
      <c r="H88" s="307">
        <f t="shared" ca="1" si="41"/>
        <v>55.127091359909357</v>
      </c>
      <c r="I88" s="304">
        <f t="shared" ca="1" si="42"/>
        <v>55.412347720484391</v>
      </c>
      <c r="J88" s="306">
        <f t="shared" ca="1" si="43"/>
        <v>2.550661041238222</v>
      </c>
      <c r="K88" s="307">
        <f t="shared" ca="1" si="44"/>
        <v>26.609664294624221</v>
      </c>
      <c r="L88" s="304">
        <f t="shared" ca="1" si="29"/>
        <v>26.731631181427925</v>
      </c>
      <c r="M88" s="306">
        <f t="shared" ca="1" si="45"/>
        <v>1.4692846795605281</v>
      </c>
      <c r="N88" s="304">
        <f t="shared" ca="1" si="46"/>
        <v>84.183811042049825</v>
      </c>
      <c r="P88" s="310">
        <f t="shared" ca="1" si="47"/>
        <v>7</v>
      </c>
      <c r="Q88" s="304">
        <f t="shared" ca="1" si="48"/>
        <v>49.749999999999808</v>
      </c>
      <c r="R88" s="306">
        <f t="shared" ca="1" si="49"/>
        <v>2.6404802021903855E-2</v>
      </c>
      <c r="S88" s="307">
        <f t="shared" ca="1" si="50"/>
        <v>2.0866777590564447</v>
      </c>
      <c r="T88" s="304">
        <f t="shared" ca="1" si="30"/>
        <v>20.470308816343724</v>
      </c>
      <c r="U88" s="311">
        <f t="shared" ca="1" si="31"/>
        <v>0</v>
      </c>
      <c r="V88" s="306">
        <f t="shared" ca="1" si="32"/>
        <v>1.2217446473160125</v>
      </c>
      <c r="W88" s="304">
        <f t="shared" ca="1" si="33"/>
        <v>8.2175606289708263</v>
      </c>
      <c r="Y88" s="314" t="str">
        <f t="shared" ca="1" si="51"/>
        <v/>
      </c>
      <c r="Z88" s="315" t="str">
        <f t="shared" ca="1" si="52"/>
        <v/>
      </c>
      <c r="AA88" s="316" t="str">
        <f t="shared" ca="1" si="53"/>
        <v/>
      </c>
      <c r="AC88" s="310" t="e">
        <f t="shared" ca="1" si="54"/>
        <v>#N/A</v>
      </c>
      <c r="AD88" s="323" t="e">
        <f t="shared" ca="1" si="55"/>
        <v>#N/A</v>
      </c>
      <c r="AE88" s="324">
        <f t="shared" ca="1" si="34"/>
        <v>26.609664294624221</v>
      </c>
      <c r="AG88" s="306">
        <f t="shared" ca="1" si="56"/>
        <v>10.158151400144478</v>
      </c>
      <c r="AH88" s="304">
        <f t="shared" ca="1" si="57"/>
        <v>19.917828533188054</v>
      </c>
    </row>
    <row r="89" spans="1:34" x14ac:dyDescent="0.2">
      <c r="A89" s="347">
        <f t="shared" ca="1" si="35"/>
        <v>0.01</v>
      </c>
      <c r="B89" s="304">
        <f t="shared" ca="1" si="36"/>
        <v>0.85000000000000053</v>
      </c>
      <c r="D89" s="306">
        <f t="shared" ca="1" si="37"/>
        <v>1.8472242988776695</v>
      </c>
      <c r="E89" s="307">
        <f t="shared" ca="1" si="38"/>
        <v>8.3246181231321525</v>
      </c>
      <c r="F89" s="304">
        <f t="shared" ca="1" si="39"/>
        <v>8.5271041102090681</v>
      </c>
      <c r="G89" s="306">
        <f t="shared" ca="1" si="40"/>
        <v>5.6338153395483213</v>
      </c>
      <c r="H89" s="307">
        <f t="shared" ca="1" si="41"/>
        <v>55.210337541140682</v>
      </c>
      <c r="I89" s="304">
        <f t="shared" ca="1" si="42"/>
        <v>55.497038179409337</v>
      </c>
      <c r="J89" s="306">
        <f t="shared" ca="1" si="43"/>
        <v>2.6069068334187615</v>
      </c>
      <c r="K89" s="307">
        <f t="shared" ca="1" si="44"/>
        <v>27.161351439129472</v>
      </c>
      <c r="L89" s="304">
        <f t="shared" ca="1" si="29"/>
        <v>27.286168203652672</v>
      </c>
      <c r="M89" s="306">
        <f t="shared" ca="1" si="45"/>
        <v>1.4691055493032221</v>
      </c>
      <c r="N89" s="304">
        <f t="shared" ca="1" si="46"/>
        <v>84.1735476343231</v>
      </c>
      <c r="P89" s="310">
        <f t="shared" ca="1" si="47"/>
        <v>8</v>
      </c>
      <c r="Q89" s="304">
        <f t="shared" ca="1" si="48"/>
        <v>46.249999999999808</v>
      </c>
      <c r="R89" s="306">
        <f t="shared" ca="1" si="49"/>
        <v>2.4547177759056342E-2</v>
      </c>
      <c r="S89" s="307">
        <f t="shared" ca="1" si="50"/>
        <v>2.0864322872788543</v>
      </c>
      <c r="T89" s="304">
        <f t="shared" ca="1" si="30"/>
        <v>20.467900738205561</v>
      </c>
      <c r="U89" s="311">
        <f t="shared" ca="1" si="31"/>
        <v>0</v>
      </c>
      <c r="V89" s="306">
        <f t="shared" ca="1" si="32"/>
        <v>1.221677246971844</v>
      </c>
      <c r="W89" s="304">
        <f t="shared" ca="1" si="33"/>
        <v>8.2422440104376893</v>
      </c>
      <c r="Y89" s="314" t="str">
        <f t="shared" ca="1" si="51"/>
        <v/>
      </c>
      <c r="Z89" s="315" t="str">
        <f t="shared" ca="1" si="52"/>
        <v/>
      </c>
      <c r="AA89" s="316" t="str">
        <f t="shared" ca="1" si="53"/>
        <v/>
      </c>
      <c r="AC89" s="310" t="e">
        <f t="shared" ca="1" si="54"/>
        <v>#N/A</v>
      </c>
      <c r="AD89" s="323" t="e">
        <f t="shared" ca="1" si="55"/>
        <v>#N/A</v>
      </c>
      <c r="AE89" s="324">
        <f t="shared" ca="1" si="34"/>
        <v>27.161351439129472</v>
      </c>
      <c r="AG89" s="306">
        <f t="shared" ca="1" si="56"/>
        <v>8.4689568540204903</v>
      </c>
      <c r="AH89" s="304">
        <f t="shared" ca="1" si="57"/>
        <v>18.228456108025089</v>
      </c>
    </row>
    <row r="90" spans="1:34" x14ac:dyDescent="0.2">
      <c r="A90" s="347">
        <f t="shared" ca="1" si="35"/>
        <v>0.01</v>
      </c>
      <c r="B90" s="304">
        <f t="shared" ca="1" si="36"/>
        <v>0.86000000000000054</v>
      </c>
      <c r="D90" s="306">
        <f t="shared" ca="1" si="37"/>
        <v>1.6791614568304836</v>
      </c>
      <c r="E90" s="307">
        <f t="shared" ca="1" si="38"/>
        <v>6.6454684934201307</v>
      </c>
      <c r="F90" s="304">
        <f t="shared" ca="1" si="39"/>
        <v>6.8543296313457738</v>
      </c>
      <c r="G90" s="306">
        <f t="shared" ca="1" si="40"/>
        <v>5.6506069541166264</v>
      </c>
      <c r="H90" s="307">
        <f t="shared" ca="1" si="41"/>
        <v>55.276792226074882</v>
      </c>
      <c r="I90" s="304">
        <f t="shared" ca="1" si="42"/>
        <v>55.564855059241928</v>
      </c>
      <c r="J90" s="306">
        <f t="shared" ca="1" si="43"/>
        <v>2.6633289448870863</v>
      </c>
      <c r="K90" s="307">
        <f t="shared" ca="1" si="44"/>
        <v>27.713787087965549</v>
      </c>
      <c r="L90" s="304">
        <f t="shared" ca="1" si="29"/>
        <v>27.841467558764919</v>
      </c>
      <c r="M90" s="306">
        <f t="shared" ca="1" si="45"/>
        <v>1.4689263230499572</v>
      </c>
      <c r="N90" s="304">
        <f t="shared" ca="1" si="46"/>
        <v>84.163278726433077</v>
      </c>
      <c r="P90" s="310">
        <f t="shared" ca="1" si="47"/>
        <v>8</v>
      </c>
      <c r="Q90" s="304">
        <f t="shared" ca="1" si="48"/>
        <v>42.749999999999808</v>
      </c>
      <c r="R90" s="306">
        <f t="shared" ca="1" si="49"/>
        <v>2.2689553496208825E-2</v>
      </c>
      <c r="S90" s="307">
        <f t="shared" ca="1" si="50"/>
        <v>2.0862053917438921</v>
      </c>
      <c r="T90" s="304">
        <f t="shared" ca="1" si="30"/>
        <v>20.465674893007581</v>
      </c>
      <c r="U90" s="311">
        <f t="shared" ca="1" si="31"/>
        <v>0</v>
      </c>
      <c r="V90" s="306">
        <f t="shared" ca="1" si="32"/>
        <v>1.2216097589027215</v>
      </c>
      <c r="W90" s="304">
        <f t="shared" ca="1" si="33"/>
        <v>8.261943781173569</v>
      </c>
      <c r="Y90" s="314" t="str">
        <f t="shared" ca="1" si="51"/>
        <v/>
      </c>
      <c r="Z90" s="315" t="str">
        <f t="shared" ca="1" si="52"/>
        <v/>
      </c>
      <c r="AA90" s="316" t="str">
        <f t="shared" ca="1" si="53"/>
        <v/>
      </c>
      <c r="AC90" s="310" t="e">
        <f t="shared" ca="1" si="54"/>
        <v>#N/A</v>
      </c>
      <c r="AD90" s="323" t="e">
        <f t="shared" ca="1" si="55"/>
        <v>#N/A</v>
      </c>
      <c r="AE90" s="324">
        <f t="shared" ca="1" si="34"/>
        <v>27.713787087965549</v>
      </c>
      <c r="AG90" s="306">
        <f t="shared" ca="1" si="56"/>
        <v>6.7815987404071674</v>
      </c>
      <c r="AH90" s="304">
        <f t="shared" ca="1" si="57"/>
        <v>16.540919760885355</v>
      </c>
    </row>
    <row r="91" spans="1:34" x14ac:dyDescent="0.2">
      <c r="A91" s="347">
        <f t="shared" ca="1" si="35"/>
        <v>0.01</v>
      </c>
      <c r="B91" s="304">
        <f t="shared" ca="1" si="36"/>
        <v>0.87000000000000055</v>
      </c>
      <c r="D91" s="306">
        <f t="shared" ca="1" si="37"/>
        <v>1.5106906956493209</v>
      </c>
      <c r="E91" s="307">
        <f t="shared" ca="1" si="38"/>
        <v>4.9682594647528049</v>
      </c>
      <c r="F91" s="304">
        <f t="shared" ca="1" si="39"/>
        <v>5.1928593748557503</v>
      </c>
      <c r="G91" s="306">
        <f t="shared" ca="1" si="40"/>
        <v>5.6657138610731197</v>
      </c>
      <c r="H91" s="307">
        <f t="shared" ca="1" si="41"/>
        <v>55.32647482072241</v>
      </c>
      <c r="I91" s="304">
        <f t="shared" ca="1" si="42"/>
        <v>55.615817261311435</v>
      </c>
      <c r="J91" s="306">
        <f t="shared" ca="1" si="43"/>
        <v>2.7199105489630351</v>
      </c>
      <c r="K91" s="307">
        <f t="shared" ca="1" si="44"/>
        <v>28.266803423199537</v>
      </c>
      <c r="L91" s="304">
        <f t="shared" ca="1" si="29"/>
        <v>28.397360602002529</v>
      </c>
      <c r="M91" s="306">
        <f t="shared" ca="1" si="45"/>
        <v>1.4687469465275524</v>
      </c>
      <c r="N91" s="304">
        <f t="shared" ca="1" si="46"/>
        <v>84.153001208755555</v>
      </c>
      <c r="P91" s="310">
        <f t="shared" ca="1" si="47"/>
        <v>8</v>
      </c>
      <c r="Q91" s="304">
        <f t="shared" ca="1" si="48"/>
        <v>39.249999999999801</v>
      </c>
      <c r="R91" s="306">
        <f t="shared" ca="1" si="49"/>
        <v>2.0831929233361308E-2</v>
      </c>
      <c r="S91" s="307">
        <f t="shared" ca="1" si="50"/>
        <v>2.0859970724515584</v>
      </c>
      <c r="T91" s="304">
        <f t="shared" ca="1" si="30"/>
        <v>20.463631280749787</v>
      </c>
      <c r="U91" s="311">
        <f t="shared" ca="1" si="31"/>
        <v>0</v>
      </c>
      <c r="V91" s="306">
        <f t="shared" ca="1" si="32"/>
        <v>1.2215422036231811</v>
      </c>
      <c r="W91" s="304">
        <f t="shared" ca="1" si="33"/>
        <v>8.2766481550604407</v>
      </c>
      <c r="Y91" s="314" t="str">
        <f t="shared" ca="1" si="51"/>
        <v/>
      </c>
      <c r="Z91" s="315" t="str">
        <f t="shared" ca="1" si="52"/>
        <v/>
      </c>
      <c r="AA91" s="316" t="str">
        <f t="shared" ca="1" si="53"/>
        <v/>
      </c>
      <c r="AC91" s="310" t="e">
        <f t="shared" ca="1" si="54"/>
        <v>#N/A</v>
      </c>
      <c r="AD91" s="323" t="e">
        <f t="shared" ca="1" si="55"/>
        <v>#N/A</v>
      </c>
      <c r="AE91" s="324">
        <f t="shared" ca="1" si="34"/>
        <v>28.266803423199537</v>
      </c>
      <c r="AG91" s="306">
        <f t="shared" ca="1" si="56"/>
        <v>5.0961307323994927</v>
      </c>
      <c r="AH91" s="304">
        <f t="shared" ca="1" si="57"/>
        <v>14.855273110430428</v>
      </c>
    </row>
    <row r="92" spans="1:34" x14ac:dyDescent="0.2">
      <c r="A92" s="347">
        <f t="shared" ca="1" si="35"/>
        <v>0.01</v>
      </c>
      <c r="B92" s="304">
        <f t="shared" ca="1" si="36"/>
        <v>0.88000000000000056</v>
      </c>
      <c r="D92" s="306">
        <f t="shared" ca="1" si="37"/>
        <v>1.3418184920344538</v>
      </c>
      <c r="E92" s="307">
        <f t="shared" ca="1" si="38"/>
        <v>3.2930420585805695</v>
      </c>
      <c r="F92" s="304">
        <f t="shared" ca="1" si="39"/>
        <v>3.5559250364913728</v>
      </c>
      <c r="G92" s="306">
        <f t="shared" ca="1" si="40"/>
        <v>5.6791320459934642</v>
      </c>
      <c r="H92" s="307">
        <f t="shared" ca="1" si="41"/>
        <v>55.359405241308217</v>
      </c>
      <c r="I92" s="304">
        <f t="shared" ca="1" si="42"/>
        <v>55.649944200036835</v>
      </c>
      <c r="J92" s="306">
        <f t="shared" ca="1" si="43"/>
        <v>2.776634778498368</v>
      </c>
      <c r="K92" s="307">
        <f t="shared" ca="1" si="44"/>
        <v>28.820232823509691</v>
      </c>
      <c r="L92" s="304">
        <f t="shared" ca="1" si="29"/>
        <v>28.953678880143574</v>
      </c>
      <c r="M92" s="306">
        <f t="shared" ca="1" si="45"/>
        <v>1.4685673654428895</v>
      </c>
      <c r="N92" s="304">
        <f t="shared" ca="1" si="46"/>
        <v>84.14271197052399</v>
      </c>
      <c r="P92" s="310">
        <f t="shared" ca="1" si="47"/>
        <v>8</v>
      </c>
      <c r="Q92" s="304">
        <f t="shared" ca="1" si="48"/>
        <v>35.749999999999801</v>
      </c>
      <c r="R92" s="306">
        <f t="shared" ca="1" si="49"/>
        <v>1.8974304970513792E-2</v>
      </c>
      <c r="S92" s="307">
        <f t="shared" ca="1" si="50"/>
        <v>2.0858073294018533</v>
      </c>
      <c r="T92" s="304">
        <f t="shared" ca="1" si="30"/>
        <v>20.461769901432181</v>
      </c>
      <c r="U92" s="311">
        <f t="shared" ca="1" si="31"/>
        <v>0</v>
      </c>
      <c r="V92" s="306">
        <f t="shared" ca="1" si="32"/>
        <v>1.2214746016192266</v>
      </c>
      <c r="W92" s="304">
        <f t="shared" ca="1" si="33"/>
        <v>8.2863500889106074</v>
      </c>
      <c r="Y92" s="314" t="str">
        <f t="shared" ca="1" si="51"/>
        <v/>
      </c>
      <c r="Z92" s="315" t="str">
        <f t="shared" ca="1" si="52"/>
        <v/>
      </c>
      <c r="AA92" s="316" t="str">
        <f t="shared" ca="1" si="53"/>
        <v/>
      </c>
      <c r="AC92" s="310" t="e">
        <f t="shared" ca="1" si="54"/>
        <v>#N/A</v>
      </c>
      <c r="AD92" s="323" t="e">
        <f t="shared" ca="1" si="55"/>
        <v>#N/A</v>
      </c>
      <c r="AE92" s="324">
        <f t="shared" ca="1" si="34"/>
        <v>28.820232823509691</v>
      </c>
      <c r="AG92" s="306">
        <f t="shared" ca="1" si="56"/>
        <v>3.4126041387695363</v>
      </c>
      <c r="AH92" s="304">
        <f t="shared" ca="1" si="57"/>
        <v>13.171567410695545</v>
      </c>
    </row>
    <row r="93" spans="1:34" x14ac:dyDescent="0.2">
      <c r="A93" s="347">
        <f t="shared" ca="1" si="35"/>
        <v>0.01</v>
      </c>
      <c r="B93" s="304">
        <f t="shared" ca="1" si="36"/>
        <v>0.89000000000000057</v>
      </c>
      <c r="D93" s="306">
        <f t="shared" ca="1" si="37"/>
        <v>1.197017475239003</v>
      </c>
      <c r="E93" s="307">
        <f t="shared" ca="1" si="38"/>
        <v>1.858363221001941</v>
      </c>
      <c r="F93" s="304">
        <f t="shared" ca="1" si="39"/>
        <v>2.2105123155504622</v>
      </c>
      <c r="G93" s="306">
        <f t="shared" ca="1" si="40"/>
        <v>5.6911022207458544</v>
      </c>
      <c r="H93" s="307">
        <f t="shared" ca="1" si="41"/>
        <v>55.377988873518234</v>
      </c>
      <c r="I93" s="304">
        <f t="shared" ca="1" si="42"/>
        <v>55.669653278626477</v>
      </c>
      <c r="J93" s="306">
        <f t="shared" ca="1" si="43"/>
        <v>2.8334859498320646</v>
      </c>
      <c r="K93" s="307">
        <f t="shared" ca="1" si="44"/>
        <v>29.373919794083825</v>
      </c>
      <c r="L93" s="304">
        <f t="shared" ca="1" si="29"/>
        <v>29.510266123794363</v>
      </c>
      <c r="M93" s="306">
        <f t="shared" ca="1" si="45"/>
        <v>1.468387533131345</v>
      </c>
      <c r="N93" s="304">
        <f t="shared" ca="1" si="46"/>
        <v>84.1324083380524</v>
      </c>
      <c r="P93" s="310">
        <f t="shared" ca="1" si="47"/>
        <v>9</v>
      </c>
      <c r="Q93" s="304">
        <f t="shared" ca="1" si="48"/>
        <v>32.749999999999858</v>
      </c>
      <c r="R93" s="306">
        <f t="shared" ca="1" si="49"/>
        <v>1.7382055602358809E-2</v>
      </c>
      <c r="S93" s="307">
        <f t="shared" ca="1" si="50"/>
        <v>2.0856335088458295</v>
      </c>
      <c r="T93" s="304">
        <f t="shared" ca="1" si="30"/>
        <v>20.460064721777588</v>
      </c>
      <c r="U93" s="311">
        <f t="shared" ca="1" si="31"/>
        <v>0</v>
      </c>
      <c r="V93" s="306">
        <f t="shared" ca="1" si="32"/>
        <v>1.2214069718911988</v>
      </c>
      <c r="W93" s="304">
        <f t="shared" ca="1" si="33"/>
        <v>8.2917614261563415</v>
      </c>
      <c r="Y93" s="314" t="str">
        <f t="shared" ca="1" si="51"/>
        <v/>
      </c>
      <c r="Z93" s="315" t="str">
        <f t="shared" ca="1" si="52"/>
        <v/>
      </c>
      <c r="AA93" s="316" t="str">
        <f t="shared" ca="1" si="53"/>
        <v/>
      </c>
      <c r="AC93" s="310" t="e">
        <f t="shared" ca="1" si="54"/>
        <v>#N/A</v>
      </c>
      <c r="AD93" s="323" t="e">
        <f t="shared" ca="1" si="55"/>
        <v>#N/A</v>
      </c>
      <c r="AE93" s="324">
        <f t="shared" ca="1" si="34"/>
        <v>29.373919794083825</v>
      </c>
      <c r="AG93" s="306">
        <f t="shared" ca="1" si="56"/>
        <v>1.9708178420807947</v>
      </c>
      <c r="AH93" s="304">
        <f t="shared" ca="1" si="57"/>
        <v>11.72960148910688</v>
      </c>
    </row>
    <row r="94" spans="1:34" x14ac:dyDescent="0.2">
      <c r="A94" s="347">
        <f t="shared" ca="1" si="35"/>
        <v>0.01</v>
      </c>
      <c r="B94" s="304">
        <f t="shared" ca="1" si="36"/>
        <v>0.90000000000000058</v>
      </c>
      <c r="D94" s="306">
        <f t="shared" ca="1" si="37"/>
        <v>1.076392855656543</v>
      </c>
      <c r="E94" s="307">
        <f t="shared" ca="1" si="38"/>
        <v>0.66397661683022058</v>
      </c>
      <c r="F94" s="304">
        <f t="shared" ca="1" si="39"/>
        <v>1.2647080799163706</v>
      </c>
      <c r="G94" s="306">
        <f t="shared" ca="1" si="40"/>
        <v>5.7018661493024201</v>
      </c>
      <c r="H94" s="307">
        <f t="shared" ca="1" si="41"/>
        <v>55.384628639686539</v>
      </c>
      <c r="I94" s="304">
        <f t="shared" ca="1" si="42"/>
        <v>55.677359556111739</v>
      </c>
      <c r="J94" s="306">
        <f t="shared" ca="1" si="43"/>
        <v>2.8904507916823059</v>
      </c>
      <c r="K94" s="307">
        <f t="shared" ca="1" si="44"/>
        <v>29.927732881649849</v>
      </c>
      <c r="L94" s="304">
        <f t="shared" ca="1" si="29"/>
        <v>30.066990225403714</v>
      </c>
      <c r="M94" s="306">
        <f t="shared" ca="1" si="45"/>
        <v>1.4682074105142444</v>
      </c>
      <c r="N94" s="304">
        <f t="shared" ca="1" si="46"/>
        <v>84.1220880722977</v>
      </c>
      <c r="P94" s="310">
        <f t="shared" ca="1" si="47"/>
        <v>9</v>
      </c>
      <c r="Q94" s="304">
        <f t="shared" ca="1" si="48"/>
        <v>30.249999999999861</v>
      </c>
      <c r="R94" s="306">
        <f t="shared" ca="1" si="49"/>
        <v>1.6055181128896302E-2</v>
      </c>
      <c r="S94" s="307">
        <f t="shared" ca="1" si="50"/>
        <v>2.0854729570345407</v>
      </c>
      <c r="T94" s="304">
        <f t="shared" ca="1" si="30"/>
        <v>20.458489708508846</v>
      </c>
      <c r="U94" s="311">
        <f t="shared" ca="1" si="31"/>
        <v>0</v>
      </c>
      <c r="V94" s="306">
        <f t="shared" ca="1" si="32"/>
        <v>1.2213393304989477</v>
      </c>
      <c r="W94" s="304">
        <f t="shared" ca="1" si="33"/>
        <v>8.2935978964491124</v>
      </c>
      <c r="Y94" s="314" t="str">
        <f t="shared" ca="1" si="51"/>
        <v/>
      </c>
      <c r="Z94" s="315" t="str">
        <f t="shared" ca="1" si="52"/>
        <v/>
      </c>
      <c r="AA94" s="316" t="str">
        <f t="shared" ca="1" si="53"/>
        <v/>
      </c>
      <c r="AC94" s="310" t="e">
        <f t="shared" ca="1" si="54"/>
        <v>#N/A</v>
      </c>
      <c r="AD94" s="323" t="e">
        <f t="shared" ca="1" si="55"/>
        <v>#N/A</v>
      </c>
      <c r="AE94" s="324">
        <f t="shared" ca="1" si="34"/>
        <v>29.927732881649849</v>
      </c>
      <c r="AG94" s="306">
        <f t="shared" ca="1" si="56"/>
        <v>0.77053742827586902</v>
      </c>
      <c r="AH94" s="304">
        <f t="shared" ca="1" si="57"/>
        <v>10.529140883738554</v>
      </c>
    </row>
    <row r="95" spans="1:34" x14ac:dyDescent="0.2">
      <c r="A95" s="347">
        <f t="shared" ca="1" si="35"/>
        <v>0.01</v>
      </c>
      <c r="B95" s="304">
        <f t="shared" ca="1" si="36"/>
        <v>0.91000000000000059</v>
      </c>
      <c r="D95" s="306">
        <f t="shared" ca="1" si="37"/>
        <v>0.95549194453699293</v>
      </c>
      <c r="E95" s="307">
        <f t="shared" ca="1" si="38"/>
        <v>-0.52890410425232659</v>
      </c>
      <c r="F95" s="304">
        <f t="shared" ca="1" si="39"/>
        <v>1.0921100711787435</v>
      </c>
      <c r="G95" s="306">
        <f t="shared" ca="1" si="40"/>
        <v>5.7114210687477902</v>
      </c>
      <c r="H95" s="307">
        <f t="shared" ca="1" si="41"/>
        <v>55.379339598644016</v>
      </c>
      <c r="I95" s="304">
        <f t="shared" ca="1" si="42"/>
        <v>55.673077739662254</v>
      </c>
      <c r="J95" s="306">
        <f t="shared" ca="1" si="43"/>
        <v>2.9475172277725568</v>
      </c>
      <c r="K95" s="307">
        <f t="shared" ca="1" si="44"/>
        <v>30.481552722841503</v>
      </c>
      <c r="L95" s="304">
        <f t="shared" ca="1" si="29"/>
        <v>30.623731226017874</v>
      </c>
      <c r="M95" s="306">
        <f t="shared" ca="1" si="45"/>
        <v>1.4680269583205845</v>
      </c>
      <c r="N95" s="304">
        <f t="shared" ca="1" si="46"/>
        <v>84.111748923197098</v>
      </c>
      <c r="P95" s="310">
        <f t="shared" ca="1" si="47"/>
        <v>9</v>
      </c>
      <c r="Q95" s="304">
        <f t="shared" ca="1" si="48"/>
        <v>27.749999999999861</v>
      </c>
      <c r="R95" s="306">
        <f t="shared" ca="1" si="49"/>
        <v>1.4728306655433792E-2</v>
      </c>
      <c r="S95" s="307">
        <f t="shared" ca="1" si="50"/>
        <v>2.0853256739679864</v>
      </c>
      <c r="T95" s="304">
        <f t="shared" ca="1" si="30"/>
        <v>20.457044861625949</v>
      </c>
      <c r="U95" s="311">
        <f t="shared" ca="1" si="31"/>
        <v>0</v>
      </c>
      <c r="V95" s="306">
        <f t="shared" ca="1" si="32"/>
        <v>1.2212716920222615</v>
      </c>
      <c r="W95" s="304">
        <f t="shared" ca="1" si="33"/>
        <v>8.2918630887732316</v>
      </c>
      <c r="Y95" s="314" t="str">
        <f t="shared" ca="1" si="51"/>
        <v/>
      </c>
      <c r="Z95" s="315" t="str">
        <f t="shared" ca="1" si="52"/>
        <v/>
      </c>
      <c r="AA95" s="316" t="str">
        <f t="shared" ca="1" si="53"/>
        <v/>
      </c>
      <c r="AC95" s="310" t="e">
        <f t="shared" ca="1" si="54"/>
        <v>#N/A</v>
      </c>
      <c r="AD95" s="323" t="e">
        <f t="shared" ca="1" si="55"/>
        <v>#N/A</v>
      </c>
      <c r="AE95" s="324">
        <f t="shared" ca="1" si="34"/>
        <v>30.481552722841503</v>
      </c>
      <c r="AG95" s="306">
        <f t="shared" ca="1" si="56"/>
        <v>-0.42827228905321135</v>
      </c>
      <c r="AH95" s="304">
        <f t="shared" ca="1" si="57"/>
        <v>9.3301503676060538</v>
      </c>
    </row>
    <row r="96" spans="1:34" x14ac:dyDescent="0.2">
      <c r="A96" s="347">
        <f t="shared" ca="1" si="35"/>
        <v>0.01</v>
      </c>
      <c r="B96" s="304">
        <f t="shared" ca="1" si="36"/>
        <v>0.9200000000000006</v>
      </c>
      <c r="D96" s="306">
        <f t="shared" ca="1" si="37"/>
        <v>0.83431702627652404</v>
      </c>
      <c r="E96" s="307">
        <f t="shared" ca="1" si="38"/>
        <v>-1.7202574692101056</v>
      </c>
      <c r="F96" s="304">
        <f t="shared" ca="1" si="39"/>
        <v>1.9119023669392901</v>
      </c>
      <c r="G96" s="306">
        <f t="shared" ca="1" si="40"/>
        <v>5.7197642390105559</v>
      </c>
      <c r="H96" s="307">
        <f t="shared" ca="1" si="41"/>
        <v>55.362137023951917</v>
      </c>
      <c r="I96" s="304">
        <f t="shared" ca="1" si="42"/>
        <v>55.656822751650957</v>
      </c>
      <c r="J96" s="306">
        <f t="shared" ca="1" si="43"/>
        <v>3.0046731543113485</v>
      </c>
      <c r="K96" s="307">
        <f t="shared" ca="1" si="44"/>
        <v>31.035260105954482</v>
      </c>
      <c r="L96" s="304">
        <f t="shared" ca="1" si="29"/>
        <v>31.180369314818723</v>
      </c>
      <c r="M96" s="306">
        <f t="shared" ca="1" si="45"/>
        <v>1.4678461370369973</v>
      </c>
      <c r="N96" s="304">
        <f t="shared" ca="1" si="46"/>
        <v>84.101388626801423</v>
      </c>
      <c r="P96" s="310">
        <f t="shared" ca="1" si="47"/>
        <v>9</v>
      </c>
      <c r="Q96" s="304">
        <f t="shared" ca="1" si="48"/>
        <v>25.249999999999861</v>
      </c>
      <c r="R96" s="306">
        <f t="shared" ca="1" si="49"/>
        <v>1.3401432181971281E-2</v>
      </c>
      <c r="S96" s="307">
        <f t="shared" ca="1" si="50"/>
        <v>2.0851916596461666</v>
      </c>
      <c r="T96" s="304">
        <f t="shared" ca="1" si="30"/>
        <v>20.455730181128896</v>
      </c>
      <c r="U96" s="311">
        <f t="shared" ca="1" si="31"/>
        <v>0</v>
      </c>
      <c r="V96" s="306">
        <f t="shared" ca="1" si="32"/>
        <v>1.2212040710191838</v>
      </c>
      <c r="W96" s="304">
        <f t="shared" ca="1" si="33"/>
        <v>8.2865629626085084</v>
      </c>
      <c r="Y96" s="314" t="str">
        <f t="shared" ca="1" si="51"/>
        <v/>
      </c>
      <c r="Z96" s="315" t="str">
        <f t="shared" ca="1" si="52"/>
        <v/>
      </c>
      <c r="AA96" s="316" t="str">
        <f t="shared" ca="1" si="53"/>
        <v/>
      </c>
      <c r="AC96" s="310" t="e">
        <f t="shared" ca="1" si="54"/>
        <v>#N/A</v>
      </c>
      <c r="AD96" s="323" t="e">
        <f t="shared" ca="1" si="55"/>
        <v>#N/A</v>
      </c>
      <c r="AE96" s="324">
        <f t="shared" ca="1" si="34"/>
        <v>31.035260105954482</v>
      </c>
      <c r="AG96" s="306">
        <f t="shared" ca="1" si="56"/>
        <v>-1.6255897898406477</v>
      </c>
      <c r="AH96" s="304">
        <f t="shared" ca="1" si="57"/>
        <v>8.1326514197281199</v>
      </c>
    </row>
    <row r="97" spans="1:34" x14ac:dyDescent="0.2">
      <c r="A97" s="347">
        <f t="shared" ca="1" si="35"/>
        <v>0.01</v>
      </c>
      <c r="B97" s="304">
        <f t="shared" ca="1" si="36"/>
        <v>0.9300000000000006</v>
      </c>
      <c r="D97" s="306">
        <f t="shared" ca="1" si="37"/>
        <v>0.7190312920570836</v>
      </c>
      <c r="E97" s="307">
        <f t="shared" ca="1" si="38"/>
        <v>-2.8504283722261281</v>
      </c>
      <c r="F97" s="304">
        <f t="shared" ca="1" si="39"/>
        <v>2.939719017890821</v>
      </c>
      <c r="G97" s="306">
        <f t="shared" ca="1" si="40"/>
        <v>5.7269545519311267</v>
      </c>
      <c r="H97" s="307">
        <f t="shared" ca="1" si="41"/>
        <v>55.333632740229653</v>
      </c>
      <c r="I97" s="304">
        <f t="shared" ca="1" si="42"/>
        <v>55.629209240025148</v>
      </c>
      <c r="J97" s="306">
        <f t="shared" ca="1" si="43"/>
        <v>3.0619067482660571</v>
      </c>
      <c r="K97" s="307">
        <f t="shared" ca="1" si="44"/>
        <v>31.588738954775391</v>
      </c>
      <c r="L97" s="304">
        <f t="shared" ca="1" si="29"/>
        <v>31.736787828764609</v>
      </c>
      <c r="M97" s="306">
        <f t="shared" ca="1" si="45"/>
        <v>1.4676649088103013</v>
      </c>
      <c r="N97" s="304">
        <f t="shared" ca="1" si="46"/>
        <v>84.091005014283098</v>
      </c>
      <c r="P97" s="310">
        <f t="shared" ca="1" si="47"/>
        <v>10</v>
      </c>
      <c r="Q97" s="304">
        <f t="shared" ca="1" si="48"/>
        <v>22.874999999999872</v>
      </c>
      <c r="R97" s="306">
        <f t="shared" ca="1" si="49"/>
        <v>1.2140901432181902E-2</v>
      </c>
      <c r="S97" s="307">
        <f t="shared" ca="1" si="50"/>
        <v>2.0850702506318446</v>
      </c>
      <c r="T97" s="304">
        <f t="shared" ca="1" si="30"/>
        <v>20.454539158698395</v>
      </c>
      <c r="U97" s="311">
        <f t="shared" ca="1" si="31"/>
        <v>0</v>
      </c>
      <c r="V97" s="306">
        <f t="shared" ca="1" si="32"/>
        <v>1.2211364816616519</v>
      </c>
      <c r="W97" s="304">
        <f t="shared" ca="1" si="33"/>
        <v>8.2778842536741077</v>
      </c>
      <c r="Y97" s="314" t="str">
        <f t="shared" ca="1" si="51"/>
        <v/>
      </c>
      <c r="Z97" s="315" t="str">
        <f t="shared" ca="1" si="52"/>
        <v/>
      </c>
      <c r="AA97" s="316" t="str">
        <f t="shared" ca="1" si="53"/>
        <v/>
      </c>
      <c r="AC97" s="310" t="e">
        <f t="shared" ca="1" si="54"/>
        <v>#N/A</v>
      </c>
      <c r="AD97" s="323" t="e">
        <f t="shared" ca="1" si="55"/>
        <v>#N/A</v>
      </c>
      <c r="AE97" s="324">
        <f t="shared" ca="1" si="34"/>
        <v>31.588738954775391</v>
      </c>
      <c r="AG97" s="306">
        <f t="shared" ca="1" si="56"/>
        <v>-2.7614425159500584</v>
      </c>
      <c r="AH97" s="304">
        <f t="shared" ca="1" si="57"/>
        <v>6.9966165566702561</v>
      </c>
    </row>
    <row r="98" spans="1:34" x14ac:dyDescent="0.2">
      <c r="A98" s="347">
        <f t="shared" ca="1" si="35"/>
        <v>0.01</v>
      </c>
      <c r="B98" s="304">
        <f t="shared" ca="1" si="36"/>
        <v>0.94000000000000061</v>
      </c>
      <c r="D98" s="306">
        <f t="shared" ca="1" si="37"/>
        <v>0.60966109087973674</v>
      </c>
      <c r="E98" s="307">
        <f t="shared" ca="1" si="38"/>
        <v>-3.9194760587244764</v>
      </c>
      <c r="F98" s="304">
        <f t="shared" ca="1" si="39"/>
        <v>3.9666080245780559</v>
      </c>
      <c r="G98" s="306">
        <f t="shared" ca="1" si="40"/>
        <v>5.7330511628399243</v>
      </c>
      <c r="H98" s="307">
        <f t="shared" ca="1" si="41"/>
        <v>55.29443797964241</v>
      </c>
      <c r="I98" s="304">
        <f t="shared" ca="1" si="42"/>
        <v>55.590851289760451</v>
      </c>
      <c r="J98" s="306">
        <f t="shared" ca="1" si="43"/>
        <v>3.1192067768399125</v>
      </c>
      <c r="K98" s="307">
        <f t="shared" ca="1" si="44"/>
        <v>32.141879308374747</v>
      </c>
      <c r="L98" s="304">
        <f t="shared" ca="1" si="29"/>
        <v>32.292876248343269</v>
      </c>
      <c r="M98" s="306">
        <f t="shared" ca="1" si="45"/>
        <v>1.4674832374219184</v>
      </c>
      <c r="N98" s="304">
        <f t="shared" ca="1" si="46"/>
        <v>84.080596010470472</v>
      </c>
      <c r="P98" s="310">
        <f t="shared" ca="1" si="47"/>
        <v>10</v>
      </c>
      <c r="Q98" s="304">
        <f t="shared" ca="1" si="48"/>
        <v>20.624999999999865</v>
      </c>
      <c r="R98" s="306">
        <f t="shared" ca="1" si="49"/>
        <v>1.0946714406065639E-2</v>
      </c>
      <c r="S98" s="307">
        <f t="shared" ca="1" si="50"/>
        <v>2.0849607834877841</v>
      </c>
      <c r="T98" s="304">
        <f t="shared" ca="1" si="30"/>
        <v>20.453465286015163</v>
      </c>
      <c r="U98" s="311">
        <f t="shared" ca="1" si="31"/>
        <v>0</v>
      </c>
      <c r="V98" s="306">
        <f t="shared" ca="1" si="32"/>
        <v>1.2210689373717516</v>
      </c>
      <c r="W98" s="304">
        <f t="shared" ca="1" si="33"/>
        <v>8.2660152672446365</v>
      </c>
      <c r="Y98" s="314" t="str">
        <f t="shared" ca="1" si="51"/>
        <v/>
      </c>
      <c r="Z98" s="315" t="str">
        <f t="shared" ca="1" si="52"/>
        <v/>
      </c>
      <c r="AA98" s="316" t="str">
        <f t="shared" ca="1" si="53"/>
        <v/>
      </c>
      <c r="AC98" s="310" t="e">
        <f t="shared" ca="1" si="54"/>
        <v>#N/A</v>
      </c>
      <c r="AD98" s="323" t="e">
        <f t="shared" ca="1" si="55"/>
        <v>#N/A</v>
      </c>
      <c r="AE98" s="324">
        <f t="shared" ca="1" si="34"/>
        <v>32.141879308374747</v>
      </c>
      <c r="AG98" s="306">
        <f t="shared" ca="1" si="56"/>
        <v>-3.8358867638640106</v>
      </c>
      <c r="AH98" s="304">
        <f t="shared" ca="1" si="57"/>
        <v>5.921989441773162</v>
      </c>
    </row>
    <row r="99" spans="1:34" x14ac:dyDescent="0.2">
      <c r="A99" s="347">
        <f t="shared" ca="1" si="35"/>
        <v>0.01</v>
      </c>
      <c r="B99" s="304">
        <f t="shared" ca="1" si="36"/>
        <v>0.95000000000000062</v>
      </c>
      <c r="D99" s="306">
        <f t="shared" ca="1" si="37"/>
        <v>0.5000488786617574</v>
      </c>
      <c r="E99" s="307">
        <f t="shared" ca="1" si="38"/>
        <v>-4.9871018742739368</v>
      </c>
      <c r="F99" s="304">
        <f t="shared" ca="1" si="39"/>
        <v>5.0121087363940431</v>
      </c>
      <c r="G99" s="306">
        <f t="shared" ca="1" si="40"/>
        <v>5.7380516516265416</v>
      </c>
      <c r="H99" s="307">
        <f t="shared" ca="1" si="41"/>
        <v>55.244566960899668</v>
      </c>
      <c r="I99" s="304">
        <f t="shared" ca="1" si="42"/>
        <v>55.541762804704547</v>
      </c>
      <c r="J99" s="306">
        <f t="shared" ca="1" si="43"/>
        <v>3.1765622909122451</v>
      </c>
      <c r="K99" s="307">
        <f t="shared" ca="1" si="44"/>
        <v>32.694574333077455</v>
      </c>
      <c r="L99" s="304">
        <f t="shared" ca="1" si="29"/>
        <v>32.848527193911949</v>
      </c>
      <c r="M99" s="306">
        <f t="shared" ca="1" si="45"/>
        <v>1.4673010863030642</v>
      </c>
      <c r="N99" s="304">
        <f t="shared" ca="1" si="46"/>
        <v>84.070159520126538</v>
      </c>
      <c r="P99" s="310">
        <f t="shared" ca="1" si="47"/>
        <v>10</v>
      </c>
      <c r="Q99" s="304">
        <f t="shared" ca="1" si="48"/>
        <v>18.374999999999858</v>
      </c>
      <c r="R99" s="306">
        <f t="shared" ca="1" si="49"/>
        <v>9.7525273799493762E-3</v>
      </c>
      <c r="S99" s="307">
        <f t="shared" ca="1" si="50"/>
        <v>2.0848632582139848</v>
      </c>
      <c r="T99" s="304">
        <f t="shared" ca="1" si="30"/>
        <v>20.452508563079192</v>
      </c>
      <c r="U99" s="311">
        <f t="shared" ca="1" si="31"/>
        <v>0</v>
      </c>
      <c r="V99" s="306">
        <f t="shared" ca="1" si="32"/>
        <v>1.2210014511867682</v>
      </c>
      <c r="W99" s="304">
        <f t="shared" ca="1" si="33"/>
        <v>8.250967364601598</v>
      </c>
      <c r="Y99" s="314" t="str">
        <f t="shared" ca="1" si="51"/>
        <v/>
      </c>
      <c r="Z99" s="315" t="str">
        <f t="shared" ca="1" si="52"/>
        <v/>
      </c>
      <c r="AA99" s="316" t="str">
        <f t="shared" ca="1" si="53"/>
        <v/>
      </c>
      <c r="AC99" s="310" t="e">
        <f t="shared" ca="1" si="54"/>
        <v>#N/A</v>
      </c>
      <c r="AD99" s="323" t="e">
        <f t="shared" ca="1" si="55"/>
        <v>#N/A</v>
      </c>
      <c r="AE99" s="324">
        <f t="shared" ca="1" si="34"/>
        <v>32.694574333077455</v>
      </c>
      <c r="AG99" s="306">
        <f t="shared" ca="1" si="56"/>
        <v>-4.9089406466811081</v>
      </c>
      <c r="AH99" s="304">
        <f t="shared" ca="1" si="57"/>
        <v>4.8487519231429914</v>
      </c>
    </row>
    <row r="100" spans="1:34" x14ac:dyDescent="0.2">
      <c r="A100" s="347">
        <f t="shared" ca="1" si="35"/>
        <v>0.01</v>
      </c>
      <c r="B100" s="304">
        <f t="shared" ca="1" si="36"/>
        <v>0.96000000000000063</v>
      </c>
      <c r="D100" s="306">
        <f t="shared" ca="1" si="37"/>
        <v>0.39019550011494564</v>
      </c>
      <c r="E100" s="307">
        <f t="shared" ca="1" si="38"/>
        <v>-6.0532925420196566</v>
      </c>
      <c r="F100" s="304">
        <f t="shared" ca="1" si="39"/>
        <v>6.0658555148948903</v>
      </c>
      <c r="G100" s="306">
        <f t="shared" ca="1" si="40"/>
        <v>5.7419536066276908</v>
      </c>
      <c r="H100" s="307">
        <f t="shared" ca="1" si="41"/>
        <v>55.184034035479471</v>
      </c>
      <c r="I100" s="304">
        <f t="shared" ca="1" si="42"/>
        <v>55.481957820985564</v>
      </c>
      <c r="J100" s="306">
        <f t="shared" ca="1" si="43"/>
        <v>3.2339623172035163</v>
      </c>
      <c r="K100" s="307">
        <f t="shared" ca="1" si="44"/>
        <v>33.246717338059348</v>
      </c>
      <c r="L100" s="304">
        <f t="shared" ca="1" si="29"/>
        <v>33.40363342551089</v>
      </c>
      <c r="M100" s="306">
        <f t="shared" ca="1" si="45"/>
        <v>1.4671184184914958</v>
      </c>
      <c r="N100" s="304">
        <f t="shared" ca="1" si="46"/>
        <v>84.059693425470783</v>
      </c>
      <c r="P100" s="310">
        <f t="shared" ca="1" si="47"/>
        <v>10</v>
      </c>
      <c r="Q100" s="304">
        <f t="shared" ca="1" si="48"/>
        <v>16.124999999999854</v>
      </c>
      <c r="R100" s="306">
        <f t="shared" ca="1" si="49"/>
        <v>8.5583403538331149E-3</v>
      </c>
      <c r="S100" s="307">
        <f t="shared" ca="1" si="50"/>
        <v>2.0847776748104465</v>
      </c>
      <c r="T100" s="304">
        <f t="shared" ca="1" si="30"/>
        <v>20.451668989890482</v>
      </c>
      <c r="U100" s="311">
        <f t="shared" ca="1" si="31"/>
        <v>0</v>
      </c>
      <c r="V100" s="306">
        <f t="shared" ca="1" si="32"/>
        <v>1.2209340361236727</v>
      </c>
      <c r="W100" s="304">
        <f t="shared" ca="1" si="33"/>
        <v>8.2327537770183969</v>
      </c>
      <c r="Y100" s="314" t="str">
        <f t="shared" ca="1" si="51"/>
        <v/>
      </c>
      <c r="Z100" s="315" t="str">
        <f t="shared" ca="1" si="52"/>
        <v/>
      </c>
      <c r="AA100" s="316" t="str">
        <f t="shared" ca="1" si="53"/>
        <v/>
      </c>
      <c r="AC100" s="310" t="e">
        <f t="shared" ca="1" si="54"/>
        <v>#N/A</v>
      </c>
      <c r="AD100" s="323" t="e">
        <f t="shared" ca="1" si="55"/>
        <v>#N/A</v>
      </c>
      <c r="AE100" s="324">
        <f t="shared" ca="1" si="34"/>
        <v>33.246717338059348</v>
      </c>
      <c r="AG100" s="306">
        <f t="shared" ca="1" si="56"/>
        <v>-5.9805909366904668</v>
      </c>
      <c r="AH100" s="304">
        <f t="shared" ca="1" si="57"/>
        <v>3.7769171890782953</v>
      </c>
    </row>
    <row r="101" spans="1:34" x14ac:dyDescent="0.2">
      <c r="A101" s="347">
        <f t="shared" ca="1" si="35"/>
        <v>0.01</v>
      </c>
      <c r="B101" s="304">
        <f t="shared" ca="1" si="36"/>
        <v>0.97000000000000064</v>
      </c>
      <c r="D101" s="306">
        <f t="shared" ca="1" si="37"/>
        <v>0.30492376217321981</v>
      </c>
      <c r="E101" s="307">
        <f t="shared" ca="1" si="38"/>
        <v>-6.8794776686159906</v>
      </c>
      <c r="F101" s="304">
        <f t="shared" ca="1" si="39"/>
        <v>6.8862320243892432</v>
      </c>
      <c r="G101" s="306">
        <f t="shared" ca="1" si="40"/>
        <v>5.7450028442494228</v>
      </c>
      <c r="H101" s="307">
        <f t="shared" ca="1" si="41"/>
        <v>55.115239258793309</v>
      </c>
      <c r="I101" s="304">
        <f t="shared" ca="1" si="42"/>
        <v>55.413848957047421</v>
      </c>
      <c r="J101" s="306">
        <f t="shared" ca="1" si="43"/>
        <v>3.2913970994579018</v>
      </c>
      <c r="K101" s="307">
        <f t="shared" ca="1" si="44"/>
        <v>33.79821370453071</v>
      </c>
      <c r="L101" s="304">
        <f t="shared" ca="1" si="29"/>
        <v>33.95809983617233</v>
      </c>
      <c r="M101" s="306">
        <f t="shared" ca="1" si="45"/>
        <v>1.4669352045176323</v>
      </c>
      <c r="N101" s="304">
        <f t="shared" ca="1" si="46"/>
        <v>84.049196038020582</v>
      </c>
      <c r="P101" s="310">
        <f t="shared" ca="1" si="47"/>
        <v>11</v>
      </c>
      <c r="Q101" s="304">
        <f t="shared" ca="1" si="48"/>
        <v>14.374999999999917</v>
      </c>
      <c r="R101" s="306">
        <f t="shared" ca="1" si="49"/>
        <v>7.6295282224093904E-3</v>
      </c>
      <c r="S101" s="307">
        <f t="shared" ca="1" si="50"/>
        <v>2.0847013795282225</v>
      </c>
      <c r="T101" s="304">
        <f t="shared" ca="1" si="30"/>
        <v>20.450920533171864</v>
      </c>
      <c r="U101" s="311">
        <f t="shared" ca="1" si="31"/>
        <v>0</v>
      </c>
      <c r="V101" s="306">
        <f t="shared" ca="1" si="32"/>
        <v>1.2208667037227394</v>
      </c>
      <c r="W101" s="304">
        <f t="shared" ca="1" si="33"/>
        <v>8.2121004520185004</v>
      </c>
      <c r="Y101" s="314" t="str">
        <f t="shared" ca="1" si="51"/>
        <v/>
      </c>
      <c r="Z101" s="315" t="str">
        <f t="shared" ca="1" si="52"/>
        <v/>
      </c>
      <c r="AA101" s="316" t="str">
        <f t="shared" ca="1" si="53"/>
        <v/>
      </c>
      <c r="AC101" s="310" t="e">
        <f t="shared" ca="1" si="54"/>
        <v>#N/A</v>
      </c>
      <c r="AD101" s="323" t="e">
        <f t="shared" ca="1" si="55"/>
        <v>#N/A</v>
      </c>
      <c r="AE101" s="324">
        <f t="shared" ca="1" si="34"/>
        <v>33.79821370453071</v>
      </c>
      <c r="AG101" s="306">
        <f t="shared" ca="1" si="56"/>
        <v>-6.8109793986458156</v>
      </c>
      <c r="AH101" s="304">
        <f t="shared" ca="1" si="57"/>
        <v>2.946343434747253</v>
      </c>
    </row>
    <row r="102" spans="1:34" x14ac:dyDescent="0.2">
      <c r="A102" s="347">
        <f t="shared" ca="1" si="35"/>
        <v>0.01</v>
      </c>
      <c r="B102" s="304">
        <f t="shared" ca="1" si="36"/>
        <v>0.98000000000000065</v>
      </c>
      <c r="D102" s="306">
        <f t="shared" ca="1" si="37"/>
        <v>0.24433206998103121</v>
      </c>
      <c r="E102" s="307">
        <f t="shared" ca="1" si="38"/>
        <v>-7.4659767052021149</v>
      </c>
      <c r="F102" s="304">
        <f t="shared" ca="1" si="39"/>
        <v>7.4699736494208491</v>
      </c>
      <c r="G102" s="306">
        <f t="shared" ca="1" si="40"/>
        <v>5.747446164949233</v>
      </c>
      <c r="H102" s="307">
        <f t="shared" ca="1" si="41"/>
        <v>55.04057949174129</v>
      </c>
      <c r="I102" s="304">
        <f t="shared" ca="1" si="42"/>
        <v>55.339845755167055</v>
      </c>
      <c r="J102" s="306">
        <f t="shared" ca="1" si="43"/>
        <v>3.3488593445038952</v>
      </c>
      <c r="K102" s="307">
        <f t="shared" ca="1" si="44"/>
        <v>34.348992798283383</v>
      </c>
      <c r="L102" s="304">
        <f t="shared" ca="1" si="29"/>
        <v>34.511855429197006</v>
      </c>
      <c r="M102" s="306">
        <f t="shared" ca="1" si="45"/>
        <v>1.4667514225076796</v>
      </c>
      <c r="N102" s="304">
        <f t="shared" ca="1" si="46"/>
        <v>84.038666104499868</v>
      </c>
      <c r="P102" s="310">
        <f t="shared" ca="1" si="47"/>
        <v>11</v>
      </c>
      <c r="Q102" s="304">
        <f t="shared" ca="1" si="48"/>
        <v>13.124999999999917</v>
      </c>
      <c r="R102" s="306">
        <f t="shared" ca="1" si="49"/>
        <v>6.9660909856781349E-3</v>
      </c>
      <c r="S102" s="307">
        <f t="shared" ca="1" si="50"/>
        <v>2.0846317186183656</v>
      </c>
      <c r="T102" s="304">
        <f t="shared" ca="1" si="30"/>
        <v>20.450237159646168</v>
      </c>
      <c r="U102" s="311">
        <f t="shared" ca="1" si="31"/>
        <v>0</v>
      </c>
      <c r="V102" s="306">
        <f t="shared" ca="1" si="32"/>
        <v>1.220799462593666</v>
      </c>
      <c r="W102" s="304">
        <f t="shared" ca="1" si="33"/>
        <v>8.1897300815827361</v>
      </c>
      <c r="Y102" s="314" t="str">
        <f t="shared" ca="1" si="51"/>
        <v/>
      </c>
      <c r="Z102" s="315" t="str">
        <f t="shared" ca="1" si="52"/>
        <v/>
      </c>
      <c r="AA102" s="316" t="str">
        <f t="shared" ca="1" si="53"/>
        <v/>
      </c>
      <c r="AC102" s="310" t="e">
        <f t="shared" ca="1" si="54"/>
        <v>#N/A</v>
      </c>
      <c r="AD102" s="323" t="e">
        <f t="shared" ca="1" si="55"/>
        <v>#N/A</v>
      </c>
      <c r="AE102" s="324">
        <f t="shared" ca="1" si="34"/>
        <v>34.348992798283383</v>
      </c>
      <c r="AG102" s="306">
        <f t="shared" ca="1" si="56"/>
        <v>-7.40041364548917</v>
      </c>
      <c r="AH102" s="304">
        <f t="shared" ca="1" si="57"/>
        <v>2.3567230144792894</v>
      </c>
    </row>
    <row r="103" spans="1:34" x14ac:dyDescent="0.2">
      <c r="A103" s="347">
        <f t="shared" ca="1" si="35"/>
        <v>0.01</v>
      </c>
      <c r="B103" s="304">
        <f t="shared" ca="1" si="36"/>
        <v>0.99000000000000066</v>
      </c>
      <c r="D103" s="306">
        <f t="shared" ca="1" si="37"/>
        <v>0.18360734853075189</v>
      </c>
      <c r="E103" s="307">
        <f t="shared" ca="1" si="38"/>
        <v>-8.051679074141628</v>
      </c>
      <c r="F103" s="304">
        <f t="shared" ca="1" si="39"/>
        <v>8.053772257234785</v>
      </c>
      <c r="G103" s="306">
        <f t="shared" ca="1" si="40"/>
        <v>5.7492822384345406</v>
      </c>
      <c r="H103" s="307">
        <f t="shared" ca="1" si="41"/>
        <v>54.960062700999877</v>
      </c>
      <c r="I103" s="304">
        <f t="shared" ca="1" si="42"/>
        <v>55.259956011157094</v>
      </c>
      <c r="J103" s="306">
        <f t="shared" ca="1" si="43"/>
        <v>3.4063429865208139</v>
      </c>
      <c r="K103" s="307">
        <f t="shared" ca="1" si="44"/>
        <v>34.898996009247092</v>
      </c>
      <c r="L103" s="304">
        <f t="shared" ca="1" si="29"/>
        <v>35.064841294311655</v>
      </c>
      <c r="M103" s="306">
        <f t="shared" ca="1" si="45"/>
        <v>1.4665670503056503</v>
      </c>
      <c r="N103" s="304">
        <f t="shared" ca="1" si="46"/>
        <v>84.028102355464043</v>
      </c>
      <c r="P103" s="310">
        <f t="shared" ca="1" si="47"/>
        <v>11</v>
      </c>
      <c r="Q103" s="304">
        <f t="shared" ca="1" si="48"/>
        <v>11.874999999999917</v>
      </c>
      <c r="R103" s="306">
        <f t="shared" ca="1" si="49"/>
        <v>6.3026537489468803E-3</v>
      </c>
      <c r="S103" s="307">
        <f t="shared" ca="1" si="50"/>
        <v>2.0845686920808761</v>
      </c>
      <c r="T103" s="304">
        <f t="shared" ca="1" si="30"/>
        <v>20.449618869313397</v>
      </c>
      <c r="U103" s="311">
        <f t="shared" ca="1" si="31"/>
        <v>0</v>
      </c>
      <c r="V103" s="306">
        <f t="shared" ca="1" si="32"/>
        <v>1.2207323198764473</v>
      </c>
      <c r="W103" s="304">
        <f t="shared" ca="1" si="33"/>
        <v>8.1656522952165389</v>
      </c>
      <c r="Y103" s="314" t="str">
        <f t="shared" ca="1" si="51"/>
        <v/>
      </c>
      <c r="Z103" s="315" t="str">
        <f t="shared" ca="1" si="52"/>
        <v/>
      </c>
      <c r="AA103" s="316" t="str">
        <f t="shared" ca="1" si="53"/>
        <v/>
      </c>
      <c r="AC103" s="310" t="e">
        <f t="shared" ca="1" si="54"/>
        <v>#N/A</v>
      </c>
      <c r="AD103" s="323" t="e">
        <f t="shared" ca="1" si="55"/>
        <v>#N/A</v>
      </c>
      <c r="AE103" s="324">
        <f t="shared" ca="1" si="34"/>
        <v>34.898996009247092</v>
      </c>
      <c r="AG103" s="306">
        <f t="shared" ca="1" si="56"/>
        <v>-7.9890683238818507</v>
      </c>
      <c r="AH103" s="304">
        <f t="shared" ca="1" si="57"/>
        <v>1.7678812564043829</v>
      </c>
    </row>
    <row r="104" spans="1:34" x14ac:dyDescent="0.2">
      <c r="A104" s="347">
        <f t="shared" ca="1" si="35"/>
        <v>0.01</v>
      </c>
      <c r="B104" s="304">
        <f t="shared" ca="1" si="36"/>
        <v>1.0000000000000007</v>
      </c>
      <c r="D104" s="306">
        <f t="shared" ca="1" si="37"/>
        <v>0.12274917057063978</v>
      </c>
      <c r="E104" s="307">
        <f t="shared" ca="1" si="38"/>
        <v>-8.6365835923033352</v>
      </c>
      <c r="F104" s="304">
        <f t="shared" ca="1" si="39"/>
        <v>8.6374558468173355</v>
      </c>
      <c r="G104" s="306">
        <f t="shared" ca="1" si="40"/>
        <v>5.750509730140247</v>
      </c>
      <c r="H104" s="307">
        <f t="shared" ca="1" si="41"/>
        <v>54.873696865076845</v>
      </c>
      <c r="I104" s="304">
        <f t="shared" ca="1" si="42"/>
        <v>55.174187531823087</v>
      </c>
      <c r="J104" s="306">
        <f t="shared" ca="1" si="43"/>
        <v>3.4638419463636878</v>
      </c>
      <c r="K104" s="307">
        <f t="shared" ca="1" si="44"/>
        <v>35.448164807077475</v>
      </c>
      <c r="L104" s="304">
        <f t="shared" ca="1" si="29"/>
        <v>35.616998599251943</v>
      </c>
      <c r="M104" s="306">
        <f t="shared" ca="1" si="45"/>
        <v>1.4663820654574735</v>
      </c>
      <c r="N104" s="304">
        <f t="shared" ca="1" si="46"/>
        <v>84.017503504389651</v>
      </c>
      <c r="P104" s="310">
        <f t="shared" ca="1" si="47"/>
        <v>11</v>
      </c>
      <c r="Q104" s="304">
        <f t="shared" ca="1" si="48"/>
        <v>10.624999999999917</v>
      </c>
      <c r="R104" s="306">
        <f t="shared" ca="1" si="49"/>
        <v>5.6392165122156248E-3</v>
      </c>
      <c r="S104" s="307">
        <f t="shared" ca="1" si="50"/>
        <v>2.0845122999157542</v>
      </c>
      <c r="T104" s="304">
        <f t="shared" ca="1" si="30"/>
        <v>20.449065662173549</v>
      </c>
      <c r="U104" s="311">
        <f t="shared" ca="1" si="31"/>
        <v>0</v>
      </c>
      <c r="V104" s="306">
        <f t="shared" ca="1" si="32"/>
        <v>1.2206652826997957</v>
      </c>
      <c r="W104" s="304">
        <f t="shared" ca="1" si="33"/>
        <v>8.1398772652810631</v>
      </c>
      <c r="Y104" s="314" t="str">
        <f t="shared" ca="1" si="51"/>
        <v/>
      </c>
      <c r="Z104" s="315" t="str">
        <f t="shared" ca="1" si="52"/>
        <v/>
      </c>
      <c r="AA104" s="316" t="str">
        <f t="shared" ca="1" si="53"/>
        <v/>
      </c>
      <c r="AC104" s="310">
        <f t="shared" ca="1" si="54"/>
        <v>1.0000000000000007</v>
      </c>
      <c r="AD104" s="323">
        <f t="shared" ca="1" si="55"/>
        <v>3.4638419463636878</v>
      </c>
      <c r="AE104" s="324">
        <f t="shared" ca="1" si="34"/>
        <v>35.448164807077475</v>
      </c>
      <c r="AG104" s="306">
        <f t="shared" ca="1" si="56"/>
        <v>-8.5769423347637108</v>
      </c>
      <c r="AH104" s="304">
        <f t="shared" ca="1" si="57"/>
        <v>1.1798192339199784</v>
      </c>
    </row>
    <row r="105" spans="1:34" x14ac:dyDescent="0.2">
      <c r="A105" s="347">
        <f t="shared" ca="1" si="35"/>
        <v>0.01</v>
      </c>
      <c r="B105" s="304">
        <f t="shared" ca="1" si="36"/>
        <v>1.0100000000000007</v>
      </c>
      <c r="D105" s="306">
        <f t="shared" ca="1" si="37"/>
        <v>6.175703208018328E-2</v>
      </c>
      <c r="E105" s="307">
        <f t="shared" ca="1" si="38"/>
        <v>-9.220689344651861</v>
      </c>
      <c r="F105" s="304">
        <f t="shared" ca="1" si="39"/>
        <v>9.2208961561004319</v>
      </c>
      <c r="G105" s="306">
        <f t="shared" ca="1" si="40"/>
        <v>5.7511273004610493</v>
      </c>
      <c r="H105" s="307">
        <f t="shared" ca="1" si="41"/>
        <v>54.781489971630329</v>
      </c>
      <c r="I105" s="304">
        <f t="shared" ca="1" si="42"/>
        <v>55.082548132216459</v>
      </c>
      <c r="J105" s="306">
        <f t="shared" ca="1" si="43"/>
        <v>3.5213501315166944</v>
      </c>
      <c r="K105" s="307">
        <f t="shared" ca="1" si="44"/>
        <v>35.996440741261011</v>
      </c>
      <c r="L105" s="304">
        <f t="shared" ca="1" si="29"/>
        <v>36.168268589854399</v>
      </c>
      <c r="M105" s="306">
        <f t="shared" ca="1" si="45"/>
        <v>1.4661964451946701</v>
      </c>
      <c r="N105" s="304">
        <f t="shared" ca="1" si="46"/>
        <v>84.006868246738904</v>
      </c>
      <c r="P105" s="310">
        <f t="shared" ca="1" si="47"/>
        <v>12</v>
      </c>
      <c r="Q105" s="304">
        <f t="shared" ca="1" si="48"/>
        <v>9.3749999999999023</v>
      </c>
      <c r="R105" s="306">
        <f t="shared" ca="1" si="49"/>
        <v>4.9757792754843624E-3</v>
      </c>
      <c r="S105" s="307">
        <f t="shared" ca="1" si="50"/>
        <v>2.0844625421229992</v>
      </c>
      <c r="T105" s="304">
        <f t="shared" ca="1" si="30"/>
        <v>20.448577538226623</v>
      </c>
      <c r="U105" s="311">
        <f t="shared" ca="1" si="31"/>
        <v>0</v>
      </c>
      <c r="V105" s="306">
        <f t="shared" ca="1" si="32"/>
        <v>1.2205983581811402</v>
      </c>
      <c r="W105" s="304">
        <f t="shared" ca="1" si="33"/>
        <v>8.1124157034641868</v>
      </c>
      <c r="Y105" s="314" t="str">
        <f t="shared" ca="1" si="51"/>
        <v/>
      </c>
      <c r="Z105" s="315" t="str">
        <f t="shared" ca="1" si="52"/>
        <v/>
      </c>
      <c r="AA105" s="316" t="str">
        <f t="shared" ca="1" si="53"/>
        <v/>
      </c>
      <c r="AC105" s="310" t="e">
        <f t="shared" ca="1" si="54"/>
        <v>#N/A</v>
      </c>
      <c r="AD105" s="323" t="e">
        <f t="shared" ca="1" si="55"/>
        <v>#N/A</v>
      </c>
      <c r="AE105" s="324">
        <f t="shared" ca="1" si="34"/>
        <v>35.996440741261011</v>
      </c>
      <c r="AG105" s="306">
        <f t="shared" ca="1" si="56"/>
        <v>-9.1640348537975438</v>
      </c>
      <c r="AH105" s="304">
        <f t="shared" ca="1" si="57"/>
        <v>0.59253774522658587</v>
      </c>
    </row>
    <row r="106" spans="1:34" x14ac:dyDescent="0.2">
      <c r="A106" s="347">
        <f t="shared" ca="1" si="35"/>
        <v>0.01</v>
      </c>
      <c r="B106" s="304">
        <f t="shared" ca="1" si="36"/>
        <v>1.0200000000000007</v>
      </c>
      <c r="D106" s="306">
        <f t="shared" ca="1" si="37"/>
        <v>6.3035150070213201E-4</v>
      </c>
      <c r="E106" s="307">
        <f t="shared" ca="1" si="38"/>
        <v>-9.8039956824792345</v>
      </c>
      <c r="F106" s="304">
        <f t="shared" ca="1" si="39"/>
        <v>9.8039957027435758</v>
      </c>
      <c r="G106" s="306">
        <f t="shared" ca="1" si="40"/>
        <v>5.7511336039760561</v>
      </c>
      <c r="H106" s="307">
        <f t="shared" ca="1" si="41"/>
        <v>54.683450014805537</v>
      </c>
      <c r="I106" s="304">
        <f t="shared" ca="1" si="42"/>
        <v>54.985045632903848</v>
      </c>
      <c r="J106" s="306">
        <f t="shared" ca="1" si="43"/>
        <v>3.57886143603888</v>
      </c>
      <c r="K106" s="307">
        <f t="shared" ca="1" si="44"/>
        <v>36.543765441193187</v>
      </c>
      <c r="L106" s="304">
        <f t="shared" ca="1" si="29"/>
        <v>36.718592590121311</v>
      </c>
      <c r="M106" s="306">
        <f t="shared" ca="1" si="45"/>
        <v>1.466010166417554</v>
      </c>
      <c r="N106" s="304">
        <f t="shared" ca="1" si="46"/>
        <v>83.996195258997304</v>
      </c>
      <c r="P106" s="310">
        <f t="shared" ca="1" si="47"/>
        <v>12</v>
      </c>
      <c r="Q106" s="304">
        <f t="shared" ca="1" si="48"/>
        <v>8.1249999999999023</v>
      </c>
      <c r="R106" s="306">
        <f t="shared" ca="1" si="49"/>
        <v>4.3123420387531069E-3</v>
      </c>
      <c r="S106" s="307">
        <f t="shared" ca="1" si="50"/>
        <v>2.0844194187026117</v>
      </c>
      <c r="T106" s="304">
        <f t="shared" ca="1" si="30"/>
        <v>20.448154497472622</v>
      </c>
      <c r="U106" s="311">
        <f t="shared" ca="1" si="31"/>
        <v>0</v>
      </c>
      <c r="V106" s="306">
        <f t="shared" ca="1" si="32"/>
        <v>1.220531553426627</v>
      </c>
      <c r="W106" s="304">
        <f t="shared" ca="1" si="33"/>
        <v>8.0832788572662331</v>
      </c>
      <c r="Y106" s="314" t="str">
        <f t="shared" ca="1" si="51"/>
        <v/>
      </c>
      <c r="Z106" s="315" t="str">
        <f t="shared" ca="1" si="52"/>
        <v/>
      </c>
      <c r="AA106" s="316" t="str">
        <f t="shared" ca="1" si="53"/>
        <v/>
      </c>
      <c r="AC106" s="310" t="e">
        <f t="shared" ca="1" si="54"/>
        <v>#N/A</v>
      </c>
      <c r="AD106" s="323" t="e">
        <f t="shared" ca="1" si="55"/>
        <v>#N/A</v>
      </c>
      <c r="AE106" s="324">
        <f t="shared" ca="1" si="34"/>
        <v>36.543765441193187</v>
      </c>
      <c r="AG106" s="306">
        <f t="shared" ca="1" si="56"/>
        <v>-9.7503453297179075</v>
      </c>
      <c r="AH106" s="304">
        <f t="shared" ca="1" si="57"/>
        <v>6.0373149582094226E-3</v>
      </c>
    </row>
    <row r="107" spans="1:34" x14ac:dyDescent="0.2">
      <c r="A107" s="347">
        <f t="shared" ca="1" si="35"/>
        <v>0.01</v>
      </c>
      <c r="B107" s="304">
        <f t="shared" ca="1" si="36"/>
        <v>1.0300000000000007</v>
      </c>
      <c r="D107" s="306">
        <f t="shared" ca="1" si="37"/>
        <v>-6.0631531087500364E-2</v>
      </c>
      <c r="E107" s="307">
        <f t="shared" ca="1" si="38"/>
        <v>-10.386502221623273</v>
      </c>
      <c r="F107" s="304">
        <f t="shared" ca="1" si="39"/>
        <v>10.386679189343782</v>
      </c>
      <c r="G107" s="306">
        <f t="shared" ca="1" si="40"/>
        <v>5.7505272886651815</v>
      </c>
      <c r="H107" s="307">
        <f t="shared" ca="1" si="41"/>
        <v>54.579584992589304</v>
      </c>
      <c r="I107" s="304">
        <f t="shared" ca="1" si="42"/>
        <v>54.881687857253105</v>
      </c>
      <c r="J107" s="306">
        <f t="shared" ca="1" si="43"/>
        <v>3.6363697405020861</v>
      </c>
      <c r="K107" s="307">
        <f t="shared" ca="1" si="44"/>
        <v>37.090080616230161</v>
      </c>
      <c r="L107" s="304">
        <f t="shared" ca="1" si="29"/>
        <v>37.267912002258612</v>
      </c>
      <c r="M107" s="306">
        <f t="shared" ca="1" si="45"/>
        <v>1.4658232056779379</v>
      </c>
      <c r="N107" s="304">
        <f t="shared" ca="1" si="46"/>
        <v>83.985483197682655</v>
      </c>
      <c r="P107" s="310">
        <f t="shared" ca="1" si="47"/>
        <v>12</v>
      </c>
      <c r="Q107" s="304">
        <f t="shared" ca="1" si="48"/>
        <v>6.8749999999999023</v>
      </c>
      <c r="R107" s="306">
        <f t="shared" ca="1" si="49"/>
        <v>3.6489048020218518E-3</v>
      </c>
      <c r="S107" s="307">
        <f t="shared" ca="1" si="50"/>
        <v>2.0843829296545917</v>
      </c>
      <c r="T107" s="304">
        <f t="shared" ca="1" si="30"/>
        <v>20.447796539911547</v>
      </c>
      <c r="U107" s="311">
        <f t="shared" ca="1" si="31"/>
        <v>0</v>
      </c>
      <c r="V107" s="306">
        <f t="shared" ca="1" si="32"/>
        <v>1.2204648755311194</v>
      </c>
      <c r="W107" s="304">
        <f t="shared" ca="1" si="33"/>
        <v>8.0524785065023181</v>
      </c>
      <c r="Y107" s="314" t="str">
        <f t="shared" ca="1" si="51"/>
        <v/>
      </c>
      <c r="Z107" s="315" t="str">
        <f t="shared" ca="1" si="52"/>
        <v/>
      </c>
      <c r="AA107" s="316" t="str">
        <f t="shared" ca="1" si="53"/>
        <v/>
      </c>
      <c r="AC107" s="310" t="e">
        <f t="shared" ca="1" si="54"/>
        <v>#N/A</v>
      </c>
      <c r="AD107" s="323" t="e">
        <f t="shared" ca="1" si="55"/>
        <v>#N/A</v>
      </c>
      <c r="AE107" s="324">
        <f t="shared" ca="1" si="34"/>
        <v>37.090080616230161</v>
      </c>
      <c r="AG107" s="306">
        <f t="shared" ca="1" si="56"/>
        <v>-10.335873482673092</v>
      </c>
      <c r="AH107" s="304">
        <f t="shared" ca="1" si="57"/>
        <v>-0.57968180418103776</v>
      </c>
    </row>
    <row r="108" spans="1:34" x14ac:dyDescent="0.2">
      <c r="A108" s="347">
        <f t="shared" ca="1" si="35"/>
        <v>0.01</v>
      </c>
      <c r="B108" s="304">
        <f t="shared" ca="1" si="36"/>
        <v>1.0400000000000007</v>
      </c>
      <c r="D108" s="306">
        <f t="shared" ca="1" si="37"/>
        <v>-0.12202935484338157</v>
      </c>
      <c r="E108" s="307">
        <f t="shared" ca="1" si="38"/>
        <v>-10.96820884067332</v>
      </c>
      <c r="F108" s="304">
        <f t="shared" ca="1" si="39"/>
        <v>10.968887652632233</v>
      </c>
      <c r="G108" s="306">
        <f t="shared" ca="1" si="40"/>
        <v>5.7493069951167479</v>
      </c>
      <c r="H108" s="307">
        <f t="shared" ca="1" si="41"/>
        <v>54.469902904182568</v>
      </c>
      <c r="I108" s="304">
        <f t="shared" ca="1" si="42"/>
        <v>54.772482628735887</v>
      </c>
      <c r="J108" s="306">
        <f t="shared" ca="1" si="43"/>
        <v>3.6938689119209958</v>
      </c>
      <c r="K108" s="307">
        <f t="shared" ca="1" si="44"/>
        <v>37.63532805571402</v>
      </c>
      <c r="L108" s="304">
        <f t="shared" ca="1" si="29"/>
        <v>37.816168306686905</v>
      </c>
      <c r="M108" s="306">
        <f t="shared" ca="1" si="45"/>
        <v>1.4656355391613023</v>
      </c>
      <c r="N108" s="304">
        <f t="shared" ca="1" si="46"/>
        <v>83.974730698323512</v>
      </c>
      <c r="P108" s="310">
        <f t="shared" ca="1" si="47"/>
        <v>12</v>
      </c>
      <c r="Q108" s="304">
        <f t="shared" ca="1" si="48"/>
        <v>5.6249999999999032</v>
      </c>
      <c r="R108" s="306">
        <f t="shared" ca="1" si="49"/>
        <v>2.9854675652905972E-3</v>
      </c>
      <c r="S108" s="307">
        <f t="shared" ca="1" si="50"/>
        <v>2.0843530749789387</v>
      </c>
      <c r="T108" s="304">
        <f t="shared" ca="1" si="30"/>
        <v>20.44750366554339</v>
      </c>
      <c r="U108" s="311">
        <f t="shared" ca="1" si="31"/>
        <v>0</v>
      </c>
      <c r="V108" s="306">
        <f t="shared" ca="1" si="32"/>
        <v>1.2203983315782083</v>
      </c>
      <c r="W108" s="304">
        <f t="shared" ca="1" si="33"/>
        <v>8.0200269598231984</v>
      </c>
      <c r="Y108" s="314" t="str">
        <f t="shared" ca="1" si="51"/>
        <v/>
      </c>
      <c r="Z108" s="315" t="str">
        <f t="shared" ca="1" si="52"/>
        <v/>
      </c>
      <c r="AA108" s="316" t="str">
        <f t="shared" ca="1" si="53"/>
        <v/>
      </c>
      <c r="AC108" s="310" t="e">
        <f t="shared" ca="1" si="54"/>
        <v>#N/A</v>
      </c>
      <c r="AD108" s="323" t="e">
        <f t="shared" ca="1" si="55"/>
        <v>#N/A</v>
      </c>
      <c r="AE108" s="324">
        <f t="shared" ca="1" si="34"/>
        <v>37.63532805571402</v>
      </c>
      <c r="AG108" s="306">
        <f t="shared" ca="1" si="56"/>
        <v>-10.920619302560963</v>
      </c>
      <c r="AH108" s="304">
        <f t="shared" ca="1" si="57"/>
        <v>-1.1646196297750291</v>
      </c>
    </row>
    <row r="109" spans="1:34" x14ac:dyDescent="0.2">
      <c r="A109" s="347">
        <f t="shared" ca="1" si="35"/>
        <v>0.01</v>
      </c>
      <c r="B109" s="304">
        <f t="shared" ca="1" si="36"/>
        <v>1.0500000000000007</v>
      </c>
      <c r="D109" s="306">
        <f t="shared" ca="1" si="37"/>
        <v>-0.18356393910090427</v>
      </c>
      <c r="E109" s="307">
        <f t="shared" ca="1" si="38"/>
        <v>-11.54911567916413</v>
      </c>
      <c r="F109" s="304">
        <f t="shared" ca="1" si="39"/>
        <v>11.550574387901797</v>
      </c>
      <c r="G109" s="306">
        <f t="shared" ca="1" si="40"/>
        <v>5.7474713557257386</v>
      </c>
      <c r="H109" s="307">
        <f t="shared" ca="1" si="41"/>
        <v>54.354411747390927</v>
      </c>
      <c r="I109" s="304">
        <f t="shared" ca="1" si="42"/>
        <v>54.657437768247028</v>
      </c>
      <c r="J109" s="306">
        <f t="shared" ca="1" si="43"/>
        <v>3.7513528036752084</v>
      </c>
      <c r="K109" s="307">
        <f t="shared" ca="1" si="44"/>
        <v>38.179449628971888</v>
      </c>
      <c r="L109" s="304">
        <f t="shared" ca="1" si="29"/>
        <v>38.363303062025871</v>
      </c>
      <c r="M109" s="306">
        <f t="shared" ca="1" si="45"/>
        <v>1.4654471426683986</v>
      </c>
      <c r="N109" s="304">
        <f t="shared" ca="1" si="46"/>
        <v>83.963936374405066</v>
      </c>
      <c r="P109" s="310">
        <f t="shared" ca="1" si="47"/>
        <v>12</v>
      </c>
      <c r="Q109" s="304">
        <f t="shared" ca="1" si="48"/>
        <v>4.3749999999999032</v>
      </c>
      <c r="R109" s="306">
        <f t="shared" ca="1" si="49"/>
        <v>2.3220303285593417E-3</v>
      </c>
      <c r="S109" s="307">
        <f t="shared" ca="1" si="50"/>
        <v>2.0843298546756532</v>
      </c>
      <c r="T109" s="304">
        <f t="shared" ca="1" si="30"/>
        <v>20.44727587436816</v>
      </c>
      <c r="U109" s="311">
        <f t="shared" ca="1" si="31"/>
        <v>0</v>
      </c>
      <c r="V109" s="306">
        <f t="shared" ca="1" si="32"/>
        <v>1.2203319286402181</v>
      </c>
      <c r="W109" s="304">
        <f t="shared" ca="1" si="33"/>
        <v>7.9859370512564238</v>
      </c>
      <c r="Y109" s="314" t="str">
        <f t="shared" ca="1" si="51"/>
        <v/>
      </c>
      <c r="Z109" s="315" t="str">
        <f t="shared" ca="1" si="52"/>
        <v/>
      </c>
      <c r="AA109" s="316" t="str">
        <f t="shared" ca="1" si="53"/>
        <v/>
      </c>
      <c r="AC109" s="310" t="e">
        <f t="shared" ca="1" si="54"/>
        <v>#N/A</v>
      </c>
      <c r="AD109" s="323" t="e">
        <f t="shared" ca="1" si="55"/>
        <v>#N/A</v>
      </c>
      <c r="AE109" s="324">
        <f t="shared" ca="1" si="34"/>
        <v>38.179449628971888</v>
      </c>
      <c r="AG109" s="306">
        <f t="shared" ca="1" si="56"/>
        <v>-11.504583047359848</v>
      </c>
      <c r="AH109" s="304">
        <f t="shared" ca="1" si="57"/>
        <v>-1.7487764480495362</v>
      </c>
    </row>
    <row r="110" spans="1:34" x14ac:dyDescent="0.2">
      <c r="A110" s="347">
        <f t="shared" ca="1" si="35"/>
        <v>0.01</v>
      </c>
      <c r="B110" s="304">
        <f t="shared" ca="1" si="36"/>
        <v>1.0600000000000007</v>
      </c>
      <c r="D110" s="306">
        <f t="shared" ca="1" si="37"/>
        <v>-0.24523618436452352</v>
      </c>
      <c r="E110" s="307">
        <f t="shared" ca="1" si="38"/>
        <v>-12.129223135758496</v>
      </c>
      <c r="F110" s="304">
        <f t="shared" ca="1" si="39"/>
        <v>12.13170205136694</v>
      </c>
      <c r="G110" s="306">
        <f t="shared" ca="1" si="40"/>
        <v>5.745018993882093</v>
      </c>
      <c r="H110" s="307">
        <f t="shared" ca="1" si="41"/>
        <v>54.233119516033341</v>
      </c>
      <c r="I110" s="304">
        <f t="shared" ca="1" si="42"/>
        <v>54.536561091440511</v>
      </c>
      <c r="J110" s="306">
        <f t="shared" ca="1" si="43"/>
        <v>3.8088152554232475</v>
      </c>
      <c r="K110" s="307">
        <f t="shared" ca="1" si="44"/>
        <v>38.72238728528901</v>
      </c>
      <c r="L110" s="304">
        <f t="shared" ca="1" si="29"/>
        <v>38.909257905052073</v>
      </c>
      <c r="M110" s="306">
        <f t="shared" ca="1" si="45"/>
        <v>1.4652579915962476</v>
      </c>
      <c r="N110" s="304">
        <f t="shared" ca="1" si="46"/>
        <v>83.953098816280431</v>
      </c>
      <c r="P110" s="310">
        <f t="shared" ca="1" si="47"/>
        <v>12</v>
      </c>
      <c r="Q110" s="304">
        <f t="shared" ca="1" si="48"/>
        <v>3.1249999999999032</v>
      </c>
      <c r="R110" s="306">
        <f t="shared" ca="1" si="49"/>
        <v>1.6585930918280867E-3</v>
      </c>
      <c r="S110" s="307">
        <f t="shared" ca="1" si="50"/>
        <v>2.0843132687447348</v>
      </c>
      <c r="T110" s="304">
        <f t="shared" ca="1" si="30"/>
        <v>20.447113166385851</v>
      </c>
      <c r="U110" s="311">
        <f t="shared" ca="1" si="31"/>
        <v>0</v>
      </c>
      <c r="V110" s="306">
        <f t="shared" ca="1" si="32"/>
        <v>1.2202656737782269</v>
      </c>
      <c r="W110" s="304">
        <f t="shared" ca="1" si="33"/>
        <v>7.9502221367695762</v>
      </c>
      <c r="Y110" s="314" t="str">
        <f t="shared" ca="1" si="51"/>
        <v/>
      </c>
      <c r="Z110" s="315" t="str">
        <f t="shared" ca="1" si="52"/>
        <v/>
      </c>
      <c r="AA110" s="316" t="str">
        <f t="shared" ca="1" si="53"/>
        <v/>
      </c>
      <c r="AC110" s="310" t="e">
        <f t="shared" ca="1" si="54"/>
        <v>#N/A</v>
      </c>
      <c r="AD110" s="323" t="e">
        <f t="shared" ca="1" si="55"/>
        <v>#N/A</v>
      </c>
      <c r="AE110" s="324">
        <f t="shared" ca="1" si="34"/>
        <v>38.72238728528901</v>
      </c>
      <c r="AG110" s="306">
        <f t="shared" ca="1" si="56"/>
        <v>-12.087765241455251</v>
      </c>
      <c r="AH110" s="304">
        <f t="shared" ca="1" si="57"/>
        <v>-2.3321528122228914</v>
      </c>
    </row>
    <row r="111" spans="1:34" x14ac:dyDescent="0.2">
      <c r="A111" s="347">
        <f t="shared" ca="1" si="35"/>
        <v>0.01</v>
      </c>
      <c r="B111" s="304">
        <f t="shared" ca="1" si="36"/>
        <v>1.0700000000000007</v>
      </c>
      <c r="D111" s="306">
        <f t="shared" ca="1" si="37"/>
        <v>-0.30704707336681819</v>
      </c>
      <c r="E111" s="307">
        <f t="shared" ca="1" si="38"/>
        <v>-12.708531866419213</v>
      </c>
      <c r="F111" s="304">
        <f t="shared" ca="1" si="39"/>
        <v>12.712240561956643</v>
      </c>
      <c r="G111" s="306">
        <f t="shared" ca="1" si="40"/>
        <v>5.7419485231484249</v>
      </c>
      <c r="H111" s="307">
        <f t="shared" ca="1" si="41"/>
        <v>54.106034197369148</v>
      </c>
      <c r="I111" s="304">
        <f t="shared" ca="1" si="42"/>
        <v>54.409860406082331</v>
      </c>
      <c r="J111" s="306">
        <f t="shared" ca="1" si="43"/>
        <v>3.8662500930084001</v>
      </c>
      <c r="K111" s="307">
        <f t="shared" ca="1" si="44"/>
        <v>39.264083053856019</v>
      </c>
      <c r="L111" s="304">
        <f t="shared" ca="1" si="29"/>
        <v>39.453974550630399</v>
      </c>
      <c r="M111" s="306">
        <f t="shared" ca="1" si="45"/>
        <v>1.4650680609184952</v>
      </c>
      <c r="N111" s="304">
        <f t="shared" ca="1" si="46"/>
        <v>83.942216590045163</v>
      </c>
      <c r="P111" s="310">
        <f t="shared" ca="1" si="47"/>
        <v>12</v>
      </c>
      <c r="Q111" s="304">
        <f t="shared" ca="1" si="48"/>
        <v>1.8749999999999023</v>
      </c>
      <c r="R111" s="306">
        <f t="shared" ca="1" si="49"/>
        <v>9.9515585509683097E-4</v>
      </c>
      <c r="S111" s="307">
        <f t="shared" ca="1" si="50"/>
        <v>2.0843033171861838</v>
      </c>
      <c r="T111" s="304">
        <f t="shared" ca="1" si="30"/>
        <v>20.447015541596464</v>
      </c>
      <c r="U111" s="311">
        <f t="shared" ca="1" si="31"/>
        <v>0</v>
      </c>
      <c r="V111" s="306">
        <f t="shared" ca="1" si="32"/>
        <v>1.2201995740420781</v>
      </c>
      <c r="W111" s="304">
        <f t="shared" ca="1" si="33"/>
        <v>7.9128960908573847</v>
      </c>
      <c r="Y111" s="314" t="str">
        <f t="shared" ca="1" si="51"/>
        <v/>
      </c>
      <c r="Z111" s="315" t="str">
        <f t="shared" ca="1" si="52"/>
        <v/>
      </c>
      <c r="AA111" s="316" t="str">
        <f t="shared" ca="1" si="53"/>
        <v/>
      </c>
      <c r="AC111" s="310" t="e">
        <f t="shared" ca="1" si="54"/>
        <v>#N/A</v>
      </c>
      <c r="AD111" s="323" t="e">
        <f t="shared" ca="1" si="55"/>
        <v>#N/A</v>
      </c>
      <c r="AE111" s="324">
        <f t="shared" ca="1" si="34"/>
        <v>39.264083053856019</v>
      </c>
      <c r="AG111" s="306">
        <f t="shared" ca="1" si="56"/>
        <v>-12.670166673963422</v>
      </c>
      <c r="AH111" s="304">
        <f t="shared" ca="1" si="57"/>
        <v>-2.914749540854372</v>
      </c>
    </row>
    <row r="112" spans="1:34" x14ac:dyDescent="0.2">
      <c r="A112" s="347">
        <f t="shared" ca="1" si="35"/>
        <v>0.01</v>
      </c>
      <c r="B112" s="304">
        <f t="shared" ca="1" si="36"/>
        <v>1.0800000000000007</v>
      </c>
      <c r="D112" s="306">
        <f t="shared" ca="1" si="37"/>
        <v>-0.36899767219084079</v>
      </c>
      <c r="E112" s="307">
        <f t="shared" ca="1" si="38"/>
        <v>-13.287042782570964</v>
      </c>
      <c r="F112" s="304">
        <f t="shared" ca="1" si="39"/>
        <v>13.292165556746328</v>
      </c>
      <c r="G112" s="306">
        <f t="shared" ca="1" si="40"/>
        <v>5.7382585464265166</v>
      </c>
      <c r="H112" s="307">
        <f t="shared" ca="1" si="41"/>
        <v>53.97316376954344</v>
      </c>
      <c r="I112" s="304">
        <f t="shared" ca="1" si="42"/>
        <v>54.277343509420149</v>
      </c>
      <c r="J112" s="306">
        <f t="shared" ca="1" si="43"/>
        <v>3.9236511283562749</v>
      </c>
      <c r="K112" s="307">
        <f t="shared" ca="1" si="44"/>
        <v>39.804479043690584</v>
      </c>
      <c r="L112" s="304">
        <f t="shared" ca="1" si="29"/>
        <v>39.997394791619293</v>
      </c>
      <c r="M112" s="306">
        <f t="shared" ca="1" si="45"/>
        <v>1.4648773251650853</v>
      </c>
      <c r="N112" s="304">
        <f t="shared" ca="1" si="46"/>
        <v>83.931288236372524</v>
      </c>
      <c r="P112" s="310">
        <f t="shared" ca="1" si="47"/>
        <v>12</v>
      </c>
      <c r="Q112" s="304">
        <f t="shared" ca="1" si="48"/>
        <v>0.6249999999999023</v>
      </c>
      <c r="R112" s="306">
        <f t="shared" ca="1" si="49"/>
        <v>3.3171861836557576E-4</v>
      </c>
      <c r="S112" s="307">
        <f t="shared" ca="1" si="50"/>
        <v>2.0843000000000003</v>
      </c>
      <c r="T112" s="304">
        <f t="shared" ca="1" si="30"/>
        <v>20.446983000000003</v>
      </c>
      <c r="U112" s="311">
        <f t="shared" ca="1" si="31"/>
        <v>0</v>
      </c>
      <c r="V112" s="306">
        <f t="shared" ca="1" si="32"/>
        <v>1.2201336364704045</v>
      </c>
      <c r="W112" s="304">
        <f t="shared" ca="1" si="33"/>
        <v>7.8739733031544752</v>
      </c>
      <c r="Y112" s="314" t="str">
        <f t="shared" ca="1" si="51"/>
        <v/>
      </c>
      <c r="Z112" s="315" t="str">
        <f t="shared" ca="1" si="52"/>
        <v/>
      </c>
      <c r="AA112" s="316" t="str">
        <f t="shared" ca="1" si="53"/>
        <v/>
      </c>
      <c r="AC112" s="310" t="e">
        <f t="shared" ca="1" si="54"/>
        <v>#N/A</v>
      </c>
      <c r="AD112" s="323" t="e">
        <f t="shared" ca="1" si="55"/>
        <v>#N/A</v>
      </c>
      <c r="AE112" s="324">
        <f t="shared" ca="1" si="34"/>
        <v>39.804479043690584</v>
      </c>
      <c r="AG112" s="306">
        <f t="shared" ca="1" si="56"/>
        <v>-13.251788397052589</v>
      </c>
      <c r="AH112" s="304">
        <f t="shared" ca="1" si="57"/>
        <v>-3.4965677161912785</v>
      </c>
    </row>
    <row r="113" spans="1:34" x14ac:dyDescent="0.2">
      <c r="A113" s="347">
        <f t="shared" ca="1" si="35"/>
        <v>0.01</v>
      </c>
      <c r="B113" s="304">
        <f t="shared" ca="1" si="36"/>
        <v>1.0900000000000007</v>
      </c>
      <c r="D113" s="306">
        <f t="shared" ca="1" si="37"/>
        <v>-0.39938820767154665</v>
      </c>
      <c r="E113" s="307">
        <f t="shared" ca="1" si="38"/>
        <v>-13.566583110690422</v>
      </c>
      <c r="F113" s="304">
        <f t="shared" ca="1" si="39"/>
        <v>13.572460655301148</v>
      </c>
      <c r="G113" s="306">
        <f t="shared" ca="1" si="40"/>
        <v>5.7342646643498014</v>
      </c>
      <c r="H113" s="307">
        <f t="shared" ca="1" si="41"/>
        <v>53.837497938436535</v>
      </c>
      <c r="I113" s="304">
        <f t="shared" ca="1" si="42"/>
        <v>54.142016729264611</v>
      </c>
      <c r="J113" s="306">
        <f t="shared" ca="1" si="43"/>
        <v>3.9810137444101565</v>
      </c>
      <c r="K113" s="307">
        <f t="shared" ca="1" si="44"/>
        <v>40.343532352230483</v>
      </c>
      <c r="L113" s="304">
        <f t="shared" ca="1" si="29"/>
        <v>40.539475491040214</v>
      </c>
      <c r="M113" s="306">
        <f t="shared" ca="1" si="45"/>
        <v>1.4646857690107382</v>
      </c>
      <c r="N113" s="304">
        <f t="shared" ca="1" si="46"/>
        <v>83.920312877188678</v>
      </c>
      <c r="P113" s="310">
        <f t="shared" ca="1" si="47"/>
        <v>13</v>
      </c>
      <c r="Q113" s="304">
        <f t="shared" ca="1" si="48"/>
        <v>0</v>
      </c>
      <c r="R113" s="306">
        <f t="shared" ca="1" si="49"/>
        <v>0</v>
      </c>
      <c r="S113" s="307">
        <f t="shared" ca="1" si="50"/>
        <v>2.0843000000000003</v>
      </c>
      <c r="T113" s="304">
        <f t="shared" ca="1" si="30"/>
        <v>20.446983000000003</v>
      </c>
      <c r="U113" s="311">
        <f t="shared" ca="1" si="31"/>
        <v>0</v>
      </c>
      <c r="V113" s="306">
        <f t="shared" ca="1" si="32"/>
        <v>1.2200678662716835</v>
      </c>
      <c r="W113" s="304">
        <f t="shared" ca="1" si="33"/>
        <v>7.8343364164272637</v>
      </c>
      <c r="Y113" s="314" t="str">
        <f t="shared" ca="1" si="51"/>
        <v>Fin de propulsion</v>
      </c>
      <c r="Z113" s="315" t="str">
        <f t="shared" ca="1" si="52"/>
        <v/>
      </c>
      <c r="AA113" s="316" t="str">
        <f t="shared" ca="1" si="53"/>
        <v/>
      </c>
      <c r="AC113" s="310" t="e">
        <f t="shared" ca="1" si="54"/>
        <v>#N/A</v>
      </c>
      <c r="AD113" s="323" t="e">
        <f t="shared" ca="1" si="55"/>
        <v>#N/A</v>
      </c>
      <c r="AE113" s="324">
        <f t="shared" ca="1" si="34"/>
        <v>40.343532352230483</v>
      </c>
      <c r="AG113" s="306">
        <f t="shared" ca="1" si="56"/>
        <v>-13.532777349262656</v>
      </c>
      <c r="AH113" s="304">
        <f t="shared" ca="1" si="57"/>
        <v>-3.7777543075154605</v>
      </c>
    </row>
    <row r="114" spans="1:34" x14ac:dyDescent="0.2">
      <c r="A114" s="347">
        <f t="shared" ca="1" si="35"/>
        <v>0.01</v>
      </c>
      <c r="B114" s="304">
        <f t="shared" ca="1" si="36"/>
        <v>1.1000000000000008</v>
      </c>
      <c r="D114" s="306">
        <f t="shared" ca="1" si="37"/>
        <v>-0.39809368961357344</v>
      </c>
      <c r="E114" s="307">
        <f t="shared" ca="1" si="38"/>
        <v>-13.547596614108416</v>
      </c>
      <c r="F114" s="304">
        <f t="shared" ca="1" si="39"/>
        <v>13.553444307788038</v>
      </c>
      <c r="G114" s="306">
        <f t="shared" ca="1" si="40"/>
        <v>5.7302837274536653</v>
      </c>
      <c r="H114" s="307">
        <f t="shared" ca="1" si="41"/>
        <v>53.702021972295448</v>
      </c>
      <c r="I114" s="304">
        <f t="shared" ca="1" si="42"/>
        <v>54.006882112468062</v>
      </c>
      <c r="J114" s="306">
        <f t="shared" ca="1" si="43"/>
        <v>4.0383364863691735</v>
      </c>
      <c r="K114" s="307">
        <f t="shared" ca="1" si="44"/>
        <v>40.881229951784142</v>
      </c>
      <c r="L114" s="304">
        <f t="shared" ca="1" si="29"/>
        <v>41.08020355290116</v>
      </c>
      <c r="M114" s="306">
        <f t="shared" ca="1" si="45"/>
        <v>1.4644933875537069</v>
      </c>
      <c r="N114" s="304">
        <f t="shared" ca="1" si="46"/>
        <v>83.909290231644206</v>
      </c>
      <c r="P114" s="310">
        <f t="shared" ca="1" si="47"/>
        <v>13</v>
      </c>
      <c r="Q114" s="304">
        <f t="shared" ca="1" si="48"/>
        <v>0</v>
      </c>
      <c r="R114" s="306">
        <f t="shared" ca="1" si="49"/>
        <v>0</v>
      </c>
      <c r="S114" s="307">
        <f t="shared" ca="1" si="50"/>
        <v>2.0843000000000003</v>
      </c>
      <c r="T114" s="304">
        <f t="shared" ca="1" si="30"/>
        <v>20.446983000000003</v>
      </c>
      <c r="U114" s="311">
        <f t="shared" ca="1" si="31"/>
        <v>0</v>
      </c>
      <c r="V114" s="306">
        <f t="shared" ca="1" si="32"/>
        <v>1.2200022650085776</v>
      </c>
      <c r="W114" s="304">
        <f t="shared" ca="1" si="33"/>
        <v>7.7948581898433922</v>
      </c>
      <c r="Y114" s="314" t="str">
        <f t="shared" ca="1" si="51"/>
        <v/>
      </c>
      <c r="Z114" s="315" t="str">
        <f t="shared" ca="1" si="52"/>
        <v/>
      </c>
      <c r="AA114" s="316" t="str">
        <f t="shared" ca="1" si="53"/>
        <v/>
      </c>
      <c r="AC114" s="310" t="e">
        <f t="shared" ca="1" si="54"/>
        <v>#N/A</v>
      </c>
      <c r="AD114" s="323" t="e">
        <f t="shared" ca="1" si="55"/>
        <v>#N/A</v>
      </c>
      <c r="AE114" s="324">
        <f t="shared" ca="1" si="34"/>
        <v>40.881229951784142</v>
      </c>
      <c r="AG114" s="306">
        <f t="shared" ca="1" si="56"/>
        <v>-13.513561621076709</v>
      </c>
      <c r="AH114" s="304">
        <f t="shared" ca="1" si="57"/>
        <v>-3.758737425719552</v>
      </c>
    </row>
    <row r="115" spans="1:34" x14ac:dyDescent="0.2">
      <c r="A115" s="347">
        <f t="shared" ca="1" si="35"/>
        <v>0.01</v>
      </c>
      <c r="B115" s="304">
        <f t="shared" ca="1" si="36"/>
        <v>1.1100000000000008</v>
      </c>
      <c r="D115" s="306">
        <f t="shared" ca="1" si="37"/>
        <v>-0.39680305801605598</v>
      </c>
      <c r="E115" s="307">
        <f t="shared" ca="1" si="38"/>
        <v>-13.528686116389089</v>
      </c>
      <c r="F115" s="304">
        <f t="shared" ca="1" si="39"/>
        <v>13.53450408040981</v>
      </c>
      <c r="G115" s="306">
        <f t="shared" ca="1" si="40"/>
        <v>5.7263156968735052</v>
      </c>
      <c r="H115" s="307">
        <f t="shared" ca="1" si="41"/>
        <v>53.566735111131557</v>
      </c>
      <c r="I115" s="304">
        <f t="shared" ca="1" si="42"/>
        <v>53.87193891003362</v>
      </c>
      <c r="J115" s="306">
        <f t="shared" ca="1" si="43"/>
        <v>4.0956194834908093</v>
      </c>
      <c r="K115" s="307">
        <f t="shared" ca="1" si="44"/>
        <v>41.41757373720128</v>
      </c>
      <c r="L115" s="304">
        <f t="shared" ca="1" si="29"/>
        <v>41.619580887246507</v>
      </c>
      <c r="M115" s="306">
        <f t="shared" ca="1" si="45"/>
        <v>1.4643001758527303</v>
      </c>
      <c r="N115" s="304">
        <f t="shared" ca="1" si="46"/>
        <v>83.898220016625714</v>
      </c>
      <c r="P115" s="310">
        <f t="shared" ca="1" si="47"/>
        <v>13</v>
      </c>
      <c r="Q115" s="304">
        <f t="shared" ca="1" si="48"/>
        <v>0</v>
      </c>
      <c r="R115" s="306">
        <f t="shared" ca="1" si="49"/>
        <v>0</v>
      </c>
      <c r="S115" s="307">
        <f t="shared" ca="1" si="50"/>
        <v>2.0843000000000003</v>
      </c>
      <c r="T115" s="304">
        <f t="shared" ca="1" si="30"/>
        <v>20.446983000000003</v>
      </c>
      <c r="U115" s="311">
        <f t="shared" ca="1" si="31"/>
        <v>0</v>
      </c>
      <c r="V115" s="306">
        <f t="shared" ca="1" si="32"/>
        <v>1.219936832423016</v>
      </c>
      <c r="W115" s="304">
        <f t="shared" ca="1" si="33"/>
        <v>7.7555379487785183</v>
      </c>
      <c r="Y115" s="314" t="str">
        <f t="shared" ca="1" si="51"/>
        <v/>
      </c>
      <c r="Z115" s="315" t="str">
        <f t="shared" ca="1" si="52"/>
        <v/>
      </c>
      <c r="AA115" s="316" t="str">
        <f t="shared" ca="1" si="53"/>
        <v/>
      </c>
      <c r="AC115" s="310" t="e">
        <f t="shared" ca="1" si="54"/>
        <v>#N/A</v>
      </c>
      <c r="AD115" s="323" t="e">
        <f t="shared" ca="1" si="55"/>
        <v>#N/A</v>
      </c>
      <c r="AE115" s="324">
        <f t="shared" ca="1" si="34"/>
        <v>41.41757373720128</v>
      </c>
      <c r="AG115" s="306">
        <f t="shared" ca="1" si="56"/>
        <v>-13.494420797469424</v>
      </c>
      <c r="AH115" s="304">
        <f t="shared" ca="1" si="57"/>
        <v>-3.7397966654720487</v>
      </c>
    </row>
    <row r="116" spans="1:34" x14ac:dyDescent="0.2">
      <c r="A116" s="347">
        <f t="shared" ca="1" si="35"/>
        <v>0.01</v>
      </c>
      <c r="B116" s="304">
        <f t="shared" ca="1" si="36"/>
        <v>1.1200000000000008</v>
      </c>
      <c r="D116" s="306">
        <f t="shared" ca="1" si="37"/>
        <v>-0.39551629381780207</v>
      </c>
      <c r="E116" s="307">
        <f t="shared" ca="1" si="38"/>
        <v>-13.50985129437454</v>
      </c>
      <c r="F116" s="304">
        <f t="shared" ca="1" si="39"/>
        <v>13.515639649487138</v>
      </c>
      <c r="G116" s="306">
        <f t="shared" ca="1" si="40"/>
        <v>5.7223605339353272</v>
      </c>
      <c r="H116" s="307">
        <f t="shared" ca="1" si="41"/>
        <v>53.431636598187815</v>
      </c>
      <c r="I116" s="304">
        <f t="shared" ca="1" si="42"/>
        <v>53.737186376299462</v>
      </c>
      <c r="J116" s="306">
        <f t="shared" ca="1" si="43"/>
        <v>4.1528628646448533</v>
      </c>
      <c r="K116" s="307">
        <f t="shared" ca="1" si="44"/>
        <v>41.952565595747878</v>
      </c>
      <c r="L116" s="304">
        <f t="shared" ca="1" si="29"/>
        <v>42.157609396621091</v>
      </c>
      <c r="M116" s="306">
        <f t="shared" ca="1" si="45"/>
        <v>1.4641061289266373</v>
      </c>
      <c r="N116" s="304">
        <f t="shared" ca="1" si="46"/>
        <v>83.887101946733097</v>
      </c>
      <c r="P116" s="310">
        <f t="shared" ca="1" si="47"/>
        <v>13</v>
      </c>
      <c r="Q116" s="304">
        <f t="shared" ca="1" si="48"/>
        <v>0</v>
      </c>
      <c r="R116" s="306">
        <f t="shared" ca="1" si="49"/>
        <v>0</v>
      </c>
      <c r="S116" s="307">
        <f t="shared" ca="1" si="50"/>
        <v>2.0843000000000003</v>
      </c>
      <c r="T116" s="304">
        <f t="shared" ca="1" si="30"/>
        <v>20.446983000000003</v>
      </c>
      <c r="U116" s="311">
        <f t="shared" ca="1" si="31"/>
        <v>0</v>
      </c>
      <c r="V116" s="306">
        <f t="shared" ca="1" si="32"/>
        <v>1.2198715682579739</v>
      </c>
      <c r="W116" s="304">
        <f t="shared" ca="1" si="33"/>
        <v>7.7163750226177816</v>
      </c>
      <c r="Y116" s="314" t="str">
        <f t="shared" ca="1" si="51"/>
        <v/>
      </c>
      <c r="Z116" s="315" t="str">
        <f t="shared" ca="1" si="52"/>
        <v/>
      </c>
      <c r="AA116" s="316" t="str">
        <f t="shared" ca="1" si="53"/>
        <v/>
      </c>
      <c r="AC116" s="310" t="e">
        <f t="shared" ca="1" si="54"/>
        <v>#N/A</v>
      </c>
      <c r="AD116" s="323" t="e">
        <f t="shared" ca="1" si="55"/>
        <v>#N/A</v>
      </c>
      <c r="AE116" s="324">
        <f t="shared" ca="1" si="34"/>
        <v>41.952565595747878</v>
      </c>
      <c r="AG116" s="306">
        <f t="shared" ca="1" si="56"/>
        <v>-13.475354544979822</v>
      </c>
      <c r="AH116" s="304">
        <f t="shared" ca="1" si="57"/>
        <v>-3.7209317031034481</v>
      </c>
    </row>
    <row r="117" spans="1:34" x14ac:dyDescent="0.2">
      <c r="A117" s="347">
        <f t="shared" ca="1" si="35"/>
        <v>0.01</v>
      </c>
      <c r="B117" s="304">
        <f t="shared" ca="1" si="36"/>
        <v>1.1300000000000008</v>
      </c>
      <c r="D117" s="306">
        <f t="shared" ca="1" si="37"/>
        <v>-0.39423337806469738</v>
      </c>
      <c r="E117" s="307">
        <f t="shared" ca="1" si="38"/>
        <v>-13.491091826827379</v>
      </c>
      <c r="F117" s="304">
        <f t="shared" ca="1" si="39"/>
        <v>13.496850693264292</v>
      </c>
      <c r="G117" s="306">
        <f t="shared" ca="1" si="40"/>
        <v>5.7184182001546802</v>
      </c>
      <c r="H117" s="307">
        <f t="shared" ca="1" si="41"/>
        <v>53.29672567991954</v>
      </c>
      <c r="I117" s="304">
        <f t="shared" ca="1" si="42"/>
        <v>53.60262376892063</v>
      </c>
      <c r="J117" s="306">
        <f t="shared" ca="1" si="43"/>
        <v>4.2100667583153033</v>
      </c>
      <c r="K117" s="307">
        <f t="shared" ca="1" si="44"/>
        <v>42.486207407138416</v>
      </c>
      <c r="L117" s="304">
        <f t="shared" ca="1" si="29"/>
        <v>42.694290976099545</v>
      </c>
      <c r="M117" s="306">
        <f t="shared" ca="1" si="45"/>
        <v>1.4639112417539464</v>
      </c>
      <c r="N117" s="304">
        <f t="shared" ca="1" si="46"/>
        <v>83.875935734256672</v>
      </c>
      <c r="P117" s="310">
        <f t="shared" ca="1" si="47"/>
        <v>13</v>
      </c>
      <c r="Q117" s="304">
        <f t="shared" ca="1" si="48"/>
        <v>0</v>
      </c>
      <c r="R117" s="306">
        <f t="shared" ca="1" si="49"/>
        <v>0</v>
      </c>
      <c r="S117" s="307">
        <f t="shared" ca="1" si="50"/>
        <v>2.0843000000000003</v>
      </c>
      <c r="T117" s="304">
        <f t="shared" ca="1" si="30"/>
        <v>20.446983000000003</v>
      </c>
      <c r="U117" s="311">
        <f t="shared" ca="1" si="31"/>
        <v>0</v>
      </c>
      <c r="V117" s="306">
        <f t="shared" ca="1" si="32"/>
        <v>1.2198064722574677</v>
      </c>
      <c r="W117" s="304">
        <f t="shared" ca="1" si="33"/>
        <v>7.6773687447285672</v>
      </c>
      <c r="Y117" s="314" t="str">
        <f t="shared" ca="1" si="51"/>
        <v/>
      </c>
      <c r="Z117" s="315" t="str">
        <f t="shared" ca="1" si="52"/>
        <v/>
      </c>
      <c r="AA117" s="316" t="str">
        <f t="shared" ca="1" si="53"/>
        <v/>
      </c>
      <c r="AC117" s="310" t="e">
        <f t="shared" ca="1" si="54"/>
        <v>#N/A</v>
      </c>
      <c r="AD117" s="323" t="e">
        <f t="shared" ca="1" si="55"/>
        <v>#N/A</v>
      </c>
      <c r="AE117" s="324">
        <f t="shared" ca="1" si="34"/>
        <v>42.486207407138416</v>
      </c>
      <c r="AG117" s="306">
        <f t="shared" ca="1" si="56"/>
        <v>-13.456362531971767</v>
      </c>
      <c r="AH117" s="304">
        <f t="shared" ca="1" si="57"/>
        <v>-3.7021422168679079</v>
      </c>
    </row>
    <row r="118" spans="1:34" x14ac:dyDescent="0.2">
      <c r="A118" s="347">
        <f t="shared" ca="1" si="35"/>
        <v>0.01</v>
      </c>
      <c r="B118" s="304">
        <f t="shared" ca="1" si="36"/>
        <v>1.1400000000000008</v>
      </c>
      <c r="D118" s="306">
        <f t="shared" ca="1" si="37"/>
        <v>-0.39295429190896447</v>
      </c>
      <c r="E118" s="307">
        <f t="shared" ca="1" si="38"/>
        <v>-13.472407394417671</v>
      </c>
      <c r="F118" s="304">
        <f t="shared" ca="1" si="39"/>
        <v>13.47813689189606</v>
      </c>
      <c r="G118" s="306">
        <f t="shared" ca="1" si="40"/>
        <v>5.7144886572355906</v>
      </c>
      <c r="H118" s="307">
        <f t="shared" ca="1" si="41"/>
        <v>53.162001605975362</v>
      </c>
      <c r="I118" s="304">
        <f t="shared" ca="1" si="42"/>
        <v>53.468250348850965</v>
      </c>
      <c r="J118" s="306">
        <f t="shared" ca="1" si="43"/>
        <v>4.2672312926022551</v>
      </c>
      <c r="K118" s="307">
        <f t="shared" ca="1" si="44"/>
        <v>43.018501043567888</v>
      </c>
      <c r="L118" s="304">
        <f t="shared" ca="1" si="29"/>
        <v>43.229627513315627</v>
      </c>
      <c r="M118" s="306">
        <f t="shared" ca="1" si="45"/>
        <v>1.4637155092724601</v>
      </c>
      <c r="N118" s="304">
        <f t="shared" ca="1" si="46"/>
        <v>83.864721089153875</v>
      </c>
      <c r="P118" s="310">
        <f t="shared" ca="1" si="47"/>
        <v>13</v>
      </c>
      <c r="Q118" s="304">
        <f t="shared" ca="1" si="48"/>
        <v>0</v>
      </c>
      <c r="R118" s="306">
        <f t="shared" ca="1" si="49"/>
        <v>0</v>
      </c>
      <c r="S118" s="307">
        <f t="shared" ca="1" si="50"/>
        <v>2.0843000000000003</v>
      </c>
      <c r="T118" s="304">
        <f t="shared" ca="1" si="30"/>
        <v>20.446983000000003</v>
      </c>
      <c r="U118" s="311">
        <f t="shared" ca="1" si="31"/>
        <v>0</v>
      </c>
      <c r="V118" s="306">
        <f t="shared" ca="1" si="32"/>
        <v>1.2197415441665511</v>
      </c>
      <c r="W118" s="304">
        <f t="shared" ca="1" si="33"/>
        <v>7.6385184524335061</v>
      </c>
      <c r="Y118" s="314" t="str">
        <f t="shared" ca="1" si="51"/>
        <v/>
      </c>
      <c r="Z118" s="315" t="str">
        <f t="shared" ca="1" si="52"/>
        <v/>
      </c>
      <c r="AA118" s="316" t="str">
        <f t="shared" ca="1" si="53"/>
        <v/>
      </c>
      <c r="AC118" s="310" t="e">
        <f t="shared" ca="1" si="54"/>
        <v>#N/A</v>
      </c>
      <c r="AD118" s="323" t="e">
        <f t="shared" ca="1" si="55"/>
        <v>#N/A</v>
      </c>
      <c r="AE118" s="324">
        <f t="shared" ca="1" si="34"/>
        <v>43.018501043567888</v>
      </c>
      <c r="AG118" s="306">
        <f t="shared" ca="1" si="56"/>
        <v>-13.437444428619678</v>
      </c>
      <c r="AH118" s="304">
        <f t="shared" ca="1" si="57"/>
        <v>-3.6834278869301764</v>
      </c>
    </row>
    <row r="119" spans="1:34" x14ac:dyDescent="0.2">
      <c r="A119" s="347">
        <f t="shared" ca="1" si="35"/>
        <v>0.01</v>
      </c>
      <c r="B119" s="304">
        <f t="shared" ca="1" si="36"/>
        <v>1.1500000000000008</v>
      </c>
      <c r="D119" s="306">
        <f t="shared" ca="1" si="37"/>
        <v>-0.39167901660842941</v>
      </c>
      <c r="E119" s="307">
        <f t="shared" ca="1" si="38"/>
        <v>-13.453797679710007</v>
      </c>
      <c r="F119" s="304">
        <f t="shared" ca="1" si="39"/>
        <v>13.459497927434802</v>
      </c>
      <c r="G119" s="306">
        <f t="shared" ca="1" si="40"/>
        <v>5.7105718670695067</v>
      </c>
      <c r="H119" s="307">
        <f t="shared" ca="1" si="41"/>
        <v>53.027463629178264</v>
      </c>
      <c r="I119" s="304">
        <f t="shared" ca="1" si="42"/>
        <v>53.334065380325072</v>
      </c>
      <c r="J119" s="306">
        <f t="shared" ca="1" si="43"/>
        <v>4.3243565952237804</v>
      </c>
      <c r="K119" s="307">
        <f t="shared" ca="1" si="44"/>
        <v>43.549448369743658</v>
      </c>
      <c r="L119" s="304">
        <f t="shared" ca="1" si="29"/>
        <v>43.763620888491666</v>
      </c>
      <c r="M119" s="306">
        <f t="shared" ca="1" si="45"/>
        <v>1.4635189263788537</v>
      </c>
      <c r="N119" s="304">
        <f t="shared" ca="1" si="46"/>
        <v>83.853457719025769</v>
      </c>
      <c r="P119" s="310">
        <f t="shared" ca="1" si="47"/>
        <v>13</v>
      </c>
      <c r="Q119" s="304">
        <f t="shared" ca="1" si="48"/>
        <v>0</v>
      </c>
      <c r="R119" s="306">
        <f t="shared" ca="1" si="49"/>
        <v>0</v>
      </c>
      <c r="S119" s="307">
        <f t="shared" ca="1" si="50"/>
        <v>2.0843000000000003</v>
      </c>
      <c r="T119" s="304">
        <f t="shared" ca="1" si="30"/>
        <v>20.446983000000003</v>
      </c>
      <c r="U119" s="311">
        <f t="shared" ca="1" si="31"/>
        <v>0</v>
      </c>
      <c r="V119" s="306">
        <f t="shared" ca="1" si="32"/>
        <v>1.2196767837313092</v>
      </c>
      <c r="W119" s="304">
        <f t="shared" ca="1" si="33"/>
        <v>7.5998234869836461</v>
      </c>
      <c r="Y119" s="314" t="str">
        <f t="shared" ca="1" si="51"/>
        <v/>
      </c>
      <c r="Z119" s="315" t="str">
        <f t="shared" ca="1" si="52"/>
        <v/>
      </c>
      <c r="AA119" s="316" t="str">
        <f t="shared" ca="1" si="53"/>
        <v/>
      </c>
      <c r="AC119" s="310" t="e">
        <f t="shared" ca="1" si="54"/>
        <v>#N/A</v>
      </c>
      <c r="AD119" s="323" t="e">
        <f t="shared" ca="1" si="55"/>
        <v>#N/A</v>
      </c>
      <c r="AE119" s="324">
        <f t="shared" ca="1" si="34"/>
        <v>43.549448369743658</v>
      </c>
      <c r="AG119" s="306">
        <f t="shared" ca="1" si="56"/>
        <v>-13.41859990689438</v>
      </c>
      <c r="AH119" s="304">
        <f t="shared" ca="1" si="57"/>
        <v>-3.6647883953526388</v>
      </c>
    </row>
    <row r="120" spans="1:34" x14ac:dyDescent="0.2">
      <c r="A120" s="347">
        <f t="shared" ca="1" si="35"/>
        <v>0.01</v>
      </c>
      <c r="B120" s="304">
        <f t="shared" ca="1" si="36"/>
        <v>1.1600000000000008</v>
      </c>
      <c r="D120" s="306">
        <f t="shared" ca="1" si="37"/>
        <v>-0.3904075335257951</v>
      </c>
      <c r="E120" s="307">
        <f t="shared" ca="1" si="38"/>
        <v>-13.435262367150649</v>
      </c>
      <c r="F120" s="304">
        <f t="shared" ca="1" si="39"/>
        <v>13.440933483817565</v>
      </c>
      <c r="G120" s="306">
        <f t="shared" ca="1" si="40"/>
        <v>5.7066677917342483</v>
      </c>
      <c r="H120" s="307">
        <f t="shared" ca="1" si="41"/>
        <v>52.893111005506761</v>
      </c>
      <c r="I120" s="304">
        <f t="shared" ca="1" si="42"/>
        <v>53.200068130840556</v>
      </c>
      <c r="J120" s="306">
        <f t="shared" ca="1" si="43"/>
        <v>4.3814427935177989</v>
      </c>
      <c r="K120" s="307">
        <f t="shared" ca="1" si="44"/>
        <v>44.079051242917082</v>
      </c>
      <c r="L120" s="304">
        <f t="shared" ca="1" si="29"/>
        <v>44.296272974467939</v>
      </c>
      <c r="M120" s="306">
        <f t="shared" ca="1" si="45"/>
        <v>1.4633214879282612</v>
      </c>
      <c r="N120" s="304">
        <f t="shared" ca="1" si="46"/>
        <v>83.842145329093213</v>
      </c>
      <c r="P120" s="310">
        <f t="shared" ca="1" si="47"/>
        <v>13</v>
      </c>
      <c r="Q120" s="304">
        <f t="shared" ca="1" si="48"/>
        <v>0</v>
      </c>
      <c r="R120" s="306">
        <f t="shared" ca="1" si="49"/>
        <v>0</v>
      </c>
      <c r="S120" s="307">
        <f t="shared" ca="1" si="50"/>
        <v>2.0843000000000003</v>
      </c>
      <c r="T120" s="304">
        <f t="shared" ca="1" si="30"/>
        <v>20.446983000000003</v>
      </c>
      <c r="U120" s="311">
        <f t="shared" ca="1" si="31"/>
        <v>0</v>
      </c>
      <c r="V120" s="306">
        <f t="shared" ca="1" si="32"/>
        <v>1.2196121906988564</v>
      </c>
      <c r="W120" s="304">
        <f t="shared" ca="1" si="33"/>
        <v>7.5612831935318825</v>
      </c>
      <c r="Y120" s="314" t="str">
        <f t="shared" ca="1" si="51"/>
        <v/>
      </c>
      <c r="Z120" s="315" t="str">
        <f t="shared" ca="1" si="52"/>
        <v/>
      </c>
      <c r="AA120" s="316" t="str">
        <f t="shared" ca="1" si="53"/>
        <v/>
      </c>
      <c r="AC120" s="310" t="e">
        <f t="shared" ca="1" si="54"/>
        <v>#N/A</v>
      </c>
      <c r="AD120" s="323" t="e">
        <f t="shared" ca="1" si="55"/>
        <v>#N/A</v>
      </c>
      <c r="AE120" s="324">
        <f t="shared" ca="1" si="34"/>
        <v>44.079051242917082</v>
      </c>
      <c r="AG120" s="306">
        <f t="shared" ca="1" si="56"/>
        <v>-13.399828640549003</v>
      </c>
      <c r="AH120" s="304">
        <f t="shared" ca="1" si="57"/>
        <v>-3.6462234260824475</v>
      </c>
    </row>
    <row r="121" spans="1:34" x14ac:dyDescent="0.2">
      <c r="A121" s="347">
        <f t="shared" ca="1" si="35"/>
        <v>0.01</v>
      </c>
      <c r="B121" s="304">
        <f t="shared" ca="1" si="36"/>
        <v>1.1700000000000008</v>
      </c>
      <c r="D121" s="306">
        <f t="shared" ca="1" si="37"/>
        <v>-0.38913982412791437</v>
      </c>
      <c r="E121" s="307">
        <f t="shared" ca="1" si="38"/>
        <v>-13.416801143054807</v>
      </c>
      <c r="F121" s="304">
        <f t="shared" ca="1" si="39"/>
        <v>13.42244324685335</v>
      </c>
      <c r="G121" s="306">
        <f t="shared" ca="1" si="40"/>
        <v>5.7027763934929689</v>
      </c>
      <c r="H121" s="307">
        <f t="shared" ca="1" si="41"/>
        <v>52.758942994076214</v>
      </c>
      <c r="I121" s="304">
        <f t="shared" ca="1" si="42"/>
        <v>53.066257871140344</v>
      </c>
      <c r="J121" s="306">
        <f t="shared" ca="1" si="43"/>
        <v>4.4384900144439348</v>
      </c>
      <c r="K121" s="307">
        <f t="shared" ca="1" si="44"/>
        <v>44.607311512914997</v>
      </c>
      <c r="L121" s="304">
        <f t="shared" ca="1" si="29"/>
        <v>44.827585636732181</v>
      </c>
      <c r="M121" s="306">
        <f t="shared" ca="1" si="45"/>
        <v>1.4631231887338543</v>
      </c>
      <c r="N121" s="304">
        <f t="shared" ca="1" si="46"/>
        <v>83.830783622172845</v>
      </c>
      <c r="P121" s="310">
        <f t="shared" ca="1" si="47"/>
        <v>13</v>
      </c>
      <c r="Q121" s="304">
        <f t="shared" ca="1" si="48"/>
        <v>0</v>
      </c>
      <c r="R121" s="306">
        <f t="shared" ca="1" si="49"/>
        <v>0</v>
      </c>
      <c r="S121" s="307">
        <f t="shared" ca="1" si="50"/>
        <v>2.0843000000000003</v>
      </c>
      <c r="T121" s="304">
        <f t="shared" ca="1" si="30"/>
        <v>20.446983000000003</v>
      </c>
      <c r="U121" s="311">
        <f t="shared" ca="1" si="31"/>
        <v>0</v>
      </c>
      <c r="V121" s="306">
        <f t="shared" ca="1" si="32"/>
        <v>1.2195477648173298</v>
      </c>
      <c r="W121" s="304">
        <f t="shared" ca="1" si="33"/>
        <v>7.5228969211065815</v>
      </c>
      <c r="Y121" s="314" t="str">
        <f t="shared" ca="1" si="51"/>
        <v/>
      </c>
      <c r="Z121" s="315" t="str">
        <f t="shared" ca="1" si="52"/>
        <v/>
      </c>
      <c r="AA121" s="316" t="str">
        <f t="shared" ca="1" si="53"/>
        <v/>
      </c>
      <c r="AC121" s="310" t="e">
        <f t="shared" ca="1" si="54"/>
        <v>#N/A</v>
      </c>
      <c r="AD121" s="323" t="e">
        <f t="shared" ca="1" si="55"/>
        <v>#N/A</v>
      </c>
      <c r="AE121" s="324">
        <f t="shared" ca="1" si="34"/>
        <v>44.607311512914997</v>
      </c>
      <c r="AG121" s="306">
        <f t="shared" ca="1" si="56"/>
        <v>-13.381130305104971</v>
      </c>
      <c r="AH121" s="304">
        <f t="shared" ca="1" si="57"/>
        <v>-3.6277326649387716</v>
      </c>
    </row>
    <row r="122" spans="1:34" x14ac:dyDescent="0.2">
      <c r="A122" s="347">
        <f t="shared" ca="1" si="35"/>
        <v>0.01</v>
      </c>
      <c r="B122" s="304">
        <f t="shared" ca="1" si="36"/>
        <v>1.1800000000000008</v>
      </c>
      <c r="D122" s="306">
        <f t="shared" ca="1" si="37"/>
        <v>-0.38787586998507528</v>
      </c>
      <c r="E122" s="307">
        <f t="shared" ca="1" si="38"/>
        <v>-13.398413695593995</v>
      </c>
      <c r="F122" s="304">
        <f t="shared" ca="1" si="39"/>
        <v>13.404026904210443</v>
      </c>
      <c r="G122" s="306">
        <f t="shared" ca="1" si="40"/>
        <v>5.6988976347931182</v>
      </c>
      <c r="H122" s="307">
        <f t="shared" ca="1" si="41"/>
        <v>52.624958857120276</v>
      </c>
      <c r="I122" s="304">
        <f t="shared" ca="1" si="42"/>
        <v>52.932633875195108</v>
      </c>
      <c r="J122" s="306">
        <f t="shared" ca="1" si="43"/>
        <v>4.4954983845853649</v>
      </c>
      <c r="K122" s="307">
        <f t="shared" ca="1" si="44"/>
        <v>45.134231022170979</v>
      </c>
      <c r="L122" s="304">
        <f t="shared" ca="1" si="29"/>
        <v>45.357560733448956</v>
      </c>
      <c r="M122" s="306">
        <f t="shared" ca="1" si="45"/>
        <v>1.462924023566416</v>
      </c>
      <c r="N122" s="304">
        <f t="shared" ca="1" si="46"/>
        <v>83.819372298652624</v>
      </c>
      <c r="P122" s="310">
        <f t="shared" ca="1" si="47"/>
        <v>13</v>
      </c>
      <c r="Q122" s="304">
        <f t="shared" ca="1" si="48"/>
        <v>0</v>
      </c>
      <c r="R122" s="306">
        <f t="shared" ca="1" si="49"/>
        <v>0</v>
      </c>
      <c r="S122" s="307">
        <f t="shared" ca="1" si="50"/>
        <v>2.0843000000000003</v>
      </c>
      <c r="T122" s="304">
        <f t="shared" ca="1" si="30"/>
        <v>20.446983000000003</v>
      </c>
      <c r="U122" s="311">
        <f t="shared" ca="1" si="31"/>
        <v>0</v>
      </c>
      <c r="V122" s="306">
        <f t="shared" ca="1" si="32"/>
        <v>1.2194835058358862</v>
      </c>
      <c r="W122" s="304">
        <f t="shared" ca="1" si="33"/>
        <v>7.4846640225854193</v>
      </c>
      <c r="Y122" s="314" t="str">
        <f t="shared" ca="1" si="51"/>
        <v/>
      </c>
      <c r="Z122" s="315" t="str">
        <f t="shared" ca="1" si="52"/>
        <v/>
      </c>
      <c r="AA122" s="316" t="str">
        <f t="shared" ca="1" si="53"/>
        <v/>
      </c>
      <c r="AC122" s="310" t="e">
        <f t="shared" ca="1" si="54"/>
        <v>#N/A</v>
      </c>
      <c r="AD122" s="323" t="e">
        <f t="shared" ca="1" si="55"/>
        <v>#N/A</v>
      </c>
      <c r="AE122" s="324">
        <f t="shared" ca="1" si="34"/>
        <v>45.134231022170979</v>
      </c>
      <c r="AG122" s="306">
        <f t="shared" ca="1" si="56"/>
        <v>-13.362504577838102</v>
      </c>
      <c r="AH122" s="304">
        <f t="shared" ca="1" si="57"/>
        <v>-3.6093157996001444</v>
      </c>
    </row>
    <row r="123" spans="1:34" x14ac:dyDescent="0.2">
      <c r="A123" s="347">
        <f t="shared" ca="1" si="35"/>
        <v>0.01</v>
      </c>
      <c r="B123" s="304">
        <f t="shared" ca="1" si="36"/>
        <v>1.1900000000000008</v>
      </c>
      <c r="D123" s="306">
        <f t="shared" ca="1" si="37"/>
        <v>-0.38661565277029197</v>
      </c>
      <c r="E123" s="307">
        <f t="shared" ca="1" si="38"/>
        <v>-13.380099714783507</v>
      </c>
      <c r="F123" s="304">
        <f t="shared" ca="1" si="39"/>
        <v>13.385684145403875</v>
      </c>
      <c r="G123" s="306">
        <f t="shared" ca="1" si="40"/>
        <v>5.695031478265415</v>
      </c>
      <c r="H123" s="307">
        <f t="shared" ca="1" si="41"/>
        <v>52.491157859972439</v>
      </c>
      <c r="I123" s="304">
        <f t="shared" ca="1" si="42"/>
        <v>52.79919542018591</v>
      </c>
      <c r="J123" s="306">
        <f t="shared" ca="1" si="43"/>
        <v>4.5524680301506573</v>
      </c>
      <c r="K123" s="307">
        <f t="shared" ca="1" si="44"/>
        <v>45.659811605756445</v>
      </c>
      <c r="L123" s="304">
        <f t="shared" ca="1" si="29"/>
        <v>45.886200115489132</v>
      </c>
      <c r="M123" s="306">
        <f t="shared" ca="1" si="45"/>
        <v>1.4627239871539115</v>
      </c>
      <c r="N123" s="304">
        <f t="shared" ca="1" si="46"/>
        <v>83.807911056467177</v>
      </c>
      <c r="P123" s="310">
        <f t="shared" ca="1" si="47"/>
        <v>13</v>
      </c>
      <c r="Q123" s="304">
        <f t="shared" ca="1" si="48"/>
        <v>0</v>
      </c>
      <c r="R123" s="306">
        <f t="shared" ca="1" si="49"/>
        <v>0</v>
      </c>
      <c r="S123" s="307">
        <f t="shared" ca="1" si="50"/>
        <v>2.0843000000000003</v>
      </c>
      <c r="T123" s="304">
        <f t="shared" ca="1" si="30"/>
        <v>20.446983000000003</v>
      </c>
      <c r="U123" s="311">
        <f t="shared" ca="1" si="31"/>
        <v>0</v>
      </c>
      <c r="V123" s="306">
        <f t="shared" ca="1" si="32"/>
        <v>1.2194194135046961</v>
      </c>
      <c r="W123" s="304">
        <f t="shared" ca="1" si="33"/>
        <v>7.4465838546694458</v>
      </c>
      <c r="Y123" s="314" t="str">
        <f t="shared" ca="1" si="51"/>
        <v/>
      </c>
      <c r="Z123" s="315" t="str">
        <f t="shared" ca="1" si="52"/>
        <v/>
      </c>
      <c r="AA123" s="316" t="str">
        <f t="shared" ca="1" si="53"/>
        <v/>
      </c>
      <c r="AC123" s="310" t="e">
        <f t="shared" ca="1" si="54"/>
        <v>#N/A</v>
      </c>
      <c r="AD123" s="323" t="e">
        <f t="shared" ca="1" si="55"/>
        <v>#N/A</v>
      </c>
      <c r="AE123" s="324">
        <f t="shared" ca="1" si="34"/>
        <v>45.659811605756445</v>
      </c>
      <c r="AG123" s="306">
        <f t="shared" ca="1" si="56"/>
        <v>-13.343951137764764</v>
      </c>
      <c r="AH123" s="304">
        <f t="shared" ca="1" si="57"/>
        <v>-3.5909725195919102</v>
      </c>
    </row>
    <row r="124" spans="1:34" x14ac:dyDescent="0.2">
      <c r="A124" s="347">
        <f t="shared" ca="1" si="35"/>
        <v>0.01</v>
      </c>
      <c r="B124" s="304">
        <f t="shared" ca="1" si="36"/>
        <v>1.2000000000000008</v>
      </c>
      <c r="D124" s="306">
        <f t="shared" ca="1" si="37"/>
        <v>-0.38535915425859724</v>
      </c>
      <c r="E124" s="307">
        <f t="shared" ca="1" si="38"/>
        <v>-13.361858892469986</v>
      </c>
      <c r="F124" s="304">
        <f t="shared" ca="1" si="39"/>
        <v>13.367414661782963</v>
      </c>
      <c r="G124" s="306">
        <f t="shared" ca="1" si="40"/>
        <v>5.6911778867228291</v>
      </c>
      <c r="H124" s="307">
        <f t="shared" ca="1" si="41"/>
        <v>52.357539271047742</v>
      </c>
      <c r="I124" s="304">
        <f t="shared" ca="1" si="42"/>
        <v>52.665941786486918</v>
      </c>
      <c r="J124" s="306">
        <f t="shared" ca="1" si="43"/>
        <v>4.6093990769755981</v>
      </c>
      <c r="K124" s="307">
        <f t="shared" ca="1" si="44"/>
        <v>46.184055091411544</v>
      </c>
      <c r="L124" s="304">
        <f t="shared" ca="1" si="29"/>
        <v>46.413505626459198</v>
      </c>
      <c r="M124" s="306">
        <f t="shared" ca="1" si="45"/>
        <v>1.4625230741810509</v>
      </c>
      <c r="N124" s="304">
        <f t="shared" ca="1" si="46"/>
        <v>83.796399591072827</v>
      </c>
      <c r="P124" s="310">
        <f t="shared" ca="1" si="47"/>
        <v>13</v>
      </c>
      <c r="Q124" s="304">
        <f t="shared" ca="1" si="48"/>
        <v>0</v>
      </c>
      <c r="R124" s="306">
        <f t="shared" ca="1" si="49"/>
        <v>0</v>
      </c>
      <c r="S124" s="307">
        <f t="shared" ca="1" si="50"/>
        <v>2.0843000000000003</v>
      </c>
      <c r="T124" s="304">
        <f t="shared" ca="1" si="30"/>
        <v>20.446983000000003</v>
      </c>
      <c r="U124" s="311">
        <f t="shared" ca="1" si="31"/>
        <v>0</v>
      </c>
      <c r="V124" s="306">
        <f t="shared" ca="1" si="32"/>
        <v>1.2193554875749422</v>
      </c>
      <c r="W124" s="304">
        <f t="shared" ca="1" si="33"/>
        <v>7.4086557778573514</v>
      </c>
      <c r="Y124" s="314" t="str">
        <f t="shared" ca="1" si="51"/>
        <v/>
      </c>
      <c r="Z124" s="315" t="str">
        <f t="shared" ca="1" si="52"/>
        <v/>
      </c>
      <c r="AA124" s="316" t="str">
        <f t="shared" ca="1" si="53"/>
        <v/>
      </c>
      <c r="AC124" s="310" t="e">
        <f t="shared" ca="1" si="54"/>
        <v>#N/A</v>
      </c>
      <c r="AD124" s="323" t="e">
        <f t="shared" ca="1" si="55"/>
        <v>#N/A</v>
      </c>
      <c r="AE124" s="324">
        <f t="shared" ca="1" si="34"/>
        <v>46.184055091411544</v>
      </c>
      <c r="AG124" s="306">
        <f t="shared" ca="1" si="56"/>
        <v>-13.32546966562813</v>
      </c>
      <c r="AH124" s="304">
        <f t="shared" ca="1" si="57"/>
        <v>-3.5727025162737824</v>
      </c>
    </row>
    <row r="125" spans="1:34" x14ac:dyDescent="0.2">
      <c r="A125" s="347">
        <f t="shared" ca="1" si="35"/>
        <v>0.01</v>
      </c>
      <c r="B125" s="304">
        <f t="shared" ca="1" si="36"/>
        <v>1.2100000000000009</v>
      </c>
      <c r="D125" s="306">
        <f t="shared" ca="1" si="37"/>
        <v>-0.38410635632634493</v>
      </c>
      <c r="E125" s="307">
        <f t="shared" ca="1" si="38"/>
        <v>-13.343690922319103</v>
      </c>
      <c r="F125" s="304">
        <f t="shared" ca="1" si="39"/>
        <v>13.349218146518977</v>
      </c>
      <c r="G125" s="306">
        <f t="shared" ca="1" si="40"/>
        <v>5.6873368231595656</v>
      </c>
      <c r="H125" s="307">
        <f t="shared" ca="1" si="41"/>
        <v>52.224102361824549</v>
      </c>
      <c r="I125" s="304">
        <f t="shared" ca="1" si="42"/>
        <v>52.532872257648307</v>
      </c>
      <c r="J125" s="306">
        <f t="shared" ca="1" si="43"/>
        <v>4.66629165052501</v>
      </c>
      <c r="K125" s="307">
        <f t="shared" ca="1" si="44"/>
        <v>46.706963299575904</v>
      </c>
      <c r="L125" s="304">
        <f t="shared" ca="1" si="29"/>
        <v>46.939479102730679</v>
      </c>
      <c r="M125" s="306">
        <f t="shared" ca="1" si="45"/>
        <v>1.4623212792888485</v>
      </c>
      <c r="N125" s="304">
        <f t="shared" ca="1" si="46"/>
        <v>83.784837595422331</v>
      </c>
      <c r="P125" s="310">
        <f t="shared" ca="1" si="47"/>
        <v>13</v>
      </c>
      <c r="Q125" s="304">
        <f t="shared" ca="1" si="48"/>
        <v>0</v>
      </c>
      <c r="R125" s="306">
        <f t="shared" ca="1" si="49"/>
        <v>0</v>
      </c>
      <c r="S125" s="307">
        <f t="shared" ca="1" si="50"/>
        <v>2.0843000000000003</v>
      </c>
      <c r="T125" s="304">
        <f t="shared" ca="1" si="30"/>
        <v>20.446983000000003</v>
      </c>
      <c r="U125" s="311">
        <f t="shared" ca="1" si="31"/>
        <v>0</v>
      </c>
      <c r="V125" s="306">
        <f t="shared" ca="1" si="32"/>
        <v>1.219291727798812</v>
      </c>
      <c r="W125" s="304">
        <f t="shared" ca="1" si="33"/>
        <v>7.3708791564199272</v>
      </c>
      <c r="Y125" s="314" t="str">
        <f t="shared" ca="1" si="51"/>
        <v/>
      </c>
      <c r="Z125" s="315" t="str">
        <f t="shared" ca="1" si="52"/>
        <v/>
      </c>
      <c r="AA125" s="316" t="str">
        <f t="shared" ca="1" si="53"/>
        <v/>
      </c>
      <c r="AC125" s="310" t="e">
        <f t="shared" ca="1" si="54"/>
        <v>#N/A</v>
      </c>
      <c r="AD125" s="323" t="e">
        <f t="shared" ca="1" si="55"/>
        <v>#N/A</v>
      </c>
      <c r="AE125" s="324">
        <f t="shared" ca="1" si="34"/>
        <v>46.706963299575904</v>
      </c>
      <c r="AG125" s="306">
        <f t="shared" ca="1" si="56"/>
        <v>-13.30705984388452</v>
      </c>
      <c r="AH125" s="304">
        <f t="shared" ca="1" si="57"/>
        <v>-3.5545054828274965</v>
      </c>
    </row>
    <row r="126" spans="1:34" x14ac:dyDescent="0.2">
      <c r="A126" s="347">
        <f t="shared" ca="1" si="35"/>
        <v>0.01</v>
      </c>
      <c r="B126" s="304">
        <f t="shared" ca="1" si="36"/>
        <v>1.2200000000000009</v>
      </c>
      <c r="D126" s="306">
        <f t="shared" ca="1" si="37"/>
        <v>-0.38285724095051538</v>
      </c>
      <c r="E126" s="307">
        <f t="shared" ca="1" si="38"/>
        <v>-13.325595499803315</v>
      </c>
      <c r="F126" s="304">
        <f t="shared" ca="1" si="39"/>
        <v>13.331094294592871</v>
      </c>
      <c r="G126" s="306">
        <f t="shared" ca="1" si="40"/>
        <v>5.6835082507500605</v>
      </c>
      <c r="H126" s="307">
        <f t="shared" ca="1" si="41"/>
        <v>52.090846406826515</v>
      </c>
      <c r="I126" s="304">
        <f t="shared" ca="1" si="42"/>
        <v>52.399986120379218</v>
      </c>
      <c r="J126" s="306">
        <f t="shared" ca="1" si="43"/>
        <v>4.7231458758945584</v>
      </c>
      <c r="K126" s="307">
        <f t="shared" ca="1" si="44"/>
        <v>47.228538043419157</v>
      </c>
      <c r="L126" s="304">
        <f t="shared" ca="1" si="29"/>
        <v>47.464122373469316</v>
      </c>
      <c r="M126" s="306">
        <f t="shared" ca="1" si="45"/>
        <v>1.4621185970741764</v>
      </c>
      <c r="N126" s="304">
        <f t="shared" ca="1" si="46"/>
        <v>83.773224759939268</v>
      </c>
      <c r="P126" s="310">
        <f t="shared" ca="1" si="47"/>
        <v>13</v>
      </c>
      <c r="Q126" s="304">
        <f t="shared" ca="1" si="48"/>
        <v>0</v>
      </c>
      <c r="R126" s="306">
        <f t="shared" ca="1" si="49"/>
        <v>0</v>
      </c>
      <c r="S126" s="307">
        <f t="shared" ca="1" si="50"/>
        <v>2.0843000000000003</v>
      </c>
      <c r="T126" s="304">
        <f t="shared" ca="1" si="30"/>
        <v>20.446983000000003</v>
      </c>
      <c r="U126" s="311">
        <f t="shared" ca="1" si="31"/>
        <v>0</v>
      </c>
      <c r="V126" s="306">
        <f t="shared" ca="1" si="32"/>
        <v>1.2192281339294959</v>
      </c>
      <c r="W126" s="304">
        <f t="shared" ca="1" si="33"/>
        <v>7.3332533583747432</v>
      </c>
      <c r="Y126" s="314" t="str">
        <f t="shared" ca="1" si="51"/>
        <v/>
      </c>
      <c r="Z126" s="315" t="str">
        <f t="shared" ca="1" si="52"/>
        <v/>
      </c>
      <c r="AA126" s="316" t="str">
        <f t="shared" ca="1" si="53"/>
        <v/>
      </c>
      <c r="AC126" s="310" t="e">
        <f t="shared" ca="1" si="54"/>
        <v>#N/A</v>
      </c>
      <c r="AD126" s="323" t="e">
        <f t="shared" ca="1" si="55"/>
        <v>#N/A</v>
      </c>
      <c r="AE126" s="324">
        <f t="shared" ca="1" si="34"/>
        <v>47.228538043419157</v>
      </c>
      <c r="AG126" s="306">
        <f t="shared" ca="1" si="56"/>
        <v>-13.288721356689797</v>
      </c>
      <c r="AH126" s="304">
        <f t="shared" ca="1" si="57"/>
        <v>-3.5363811142445551</v>
      </c>
    </row>
    <row r="127" spans="1:34" x14ac:dyDescent="0.2">
      <c r="A127" s="347">
        <f t="shared" ca="1" si="35"/>
        <v>0.01</v>
      </c>
      <c r="B127" s="304">
        <f t="shared" ca="1" si="36"/>
        <v>1.2300000000000009</v>
      </c>
      <c r="D127" s="306">
        <f t="shared" ca="1" si="37"/>
        <v>-0.38161179020802682</v>
      </c>
      <c r="E127" s="307">
        <f t="shared" ca="1" si="38"/>
        <v>-13.307572322189742</v>
      </c>
      <c r="F127" s="304">
        <f t="shared" ca="1" si="39"/>
        <v>13.313042802783151</v>
      </c>
      <c r="G127" s="306">
        <f t="shared" ca="1" si="40"/>
        <v>5.6796921328479799</v>
      </c>
      <c r="H127" s="307">
        <f t="shared" ca="1" si="41"/>
        <v>51.957770683604615</v>
      </c>
      <c r="I127" s="304">
        <f t="shared" ca="1" si="42"/>
        <v>52.267282664530953</v>
      </c>
      <c r="J127" s="306">
        <f t="shared" ca="1" si="43"/>
        <v>4.779961877812549</v>
      </c>
      <c r="K127" s="307">
        <f t="shared" ca="1" si="44"/>
        <v>47.748781128871315</v>
      </c>
      <c r="L127" s="304">
        <f t="shared" ca="1" si="29"/>
        <v>47.987437260664365</v>
      </c>
      <c r="M127" s="306">
        <f t="shared" ca="1" si="45"/>
        <v>1.4619150220893116</v>
      </c>
      <c r="N127" s="304">
        <f t="shared" ca="1" si="46"/>
        <v>83.761560772492075</v>
      </c>
      <c r="P127" s="310">
        <f t="shared" ca="1" si="47"/>
        <v>13</v>
      </c>
      <c r="Q127" s="304">
        <f t="shared" ca="1" si="48"/>
        <v>0</v>
      </c>
      <c r="R127" s="306">
        <f t="shared" ca="1" si="49"/>
        <v>0</v>
      </c>
      <c r="S127" s="307">
        <f t="shared" ca="1" si="50"/>
        <v>2.0843000000000003</v>
      </c>
      <c r="T127" s="304">
        <f t="shared" ca="1" si="30"/>
        <v>20.446983000000003</v>
      </c>
      <c r="U127" s="311">
        <f t="shared" ca="1" si="31"/>
        <v>0</v>
      </c>
      <c r="V127" s="306">
        <f t="shared" ca="1" si="32"/>
        <v>1.2191647057211807</v>
      </c>
      <c r="W127" s="304">
        <f t="shared" ca="1" si="33"/>
        <v>7.2957777554610228</v>
      </c>
      <c r="Y127" s="314" t="str">
        <f t="shared" ca="1" si="51"/>
        <v/>
      </c>
      <c r="Z127" s="315" t="str">
        <f t="shared" ca="1" si="52"/>
        <v/>
      </c>
      <c r="AA127" s="316" t="str">
        <f t="shared" ca="1" si="53"/>
        <v/>
      </c>
      <c r="AC127" s="310" t="e">
        <f t="shared" ca="1" si="54"/>
        <v>#N/A</v>
      </c>
      <c r="AD127" s="323" t="e">
        <f t="shared" ca="1" si="55"/>
        <v>#N/A</v>
      </c>
      <c r="AE127" s="324">
        <f t="shared" ca="1" si="34"/>
        <v>47.748781128871315</v>
      </c>
      <c r="AG127" s="306">
        <f t="shared" ca="1" si="56"/>
        <v>-13.270453889885875</v>
      </c>
      <c r="AH127" s="304">
        <f t="shared" ca="1" si="57"/>
        <v>-3.5183291073140825</v>
      </c>
    </row>
    <row r="128" spans="1:34" x14ac:dyDescent="0.2">
      <c r="A128" s="347">
        <f t="shared" ca="1" si="35"/>
        <v>0.01</v>
      </c>
      <c r="B128" s="304">
        <f t="shared" ca="1" si="36"/>
        <v>1.2400000000000009</v>
      </c>
      <c r="D128" s="306">
        <f t="shared" ca="1" si="37"/>
        <v>-0.38036998627505403</v>
      </c>
      <c r="E128" s="307">
        <f t="shared" ca="1" si="38"/>
        <v>-13.28962108852812</v>
      </c>
      <c r="F128" s="304">
        <f t="shared" ca="1" si="39"/>
        <v>13.295063369653798</v>
      </c>
      <c r="G128" s="306">
        <f t="shared" ca="1" si="40"/>
        <v>5.6758884329852295</v>
      </c>
      <c r="H128" s="307">
        <f t="shared" ca="1" si="41"/>
        <v>51.824874472719337</v>
      </c>
      <c r="I128" s="304">
        <f t="shared" ca="1" si="42"/>
        <v>52.134761183080258</v>
      </c>
      <c r="J128" s="306">
        <f t="shared" ca="1" si="43"/>
        <v>4.8367397806417154</v>
      </c>
      <c r="K128" s="307">
        <f t="shared" ca="1" si="44"/>
        <v>48.267694354652932</v>
      </c>
      <c r="L128" s="304">
        <f t="shared" ca="1" si="29"/>
        <v>48.509425579157671</v>
      </c>
      <c r="M128" s="306">
        <f t="shared" ca="1" si="45"/>
        <v>1.4617105488414792</v>
      </c>
      <c r="N128" s="304">
        <f t="shared" ca="1" si="46"/>
        <v>83.749845318367946</v>
      </c>
      <c r="P128" s="310">
        <f t="shared" ca="1" si="47"/>
        <v>13</v>
      </c>
      <c r="Q128" s="304">
        <f t="shared" ca="1" si="48"/>
        <v>0</v>
      </c>
      <c r="R128" s="306">
        <f t="shared" ca="1" si="49"/>
        <v>0</v>
      </c>
      <c r="S128" s="307">
        <f t="shared" ca="1" si="50"/>
        <v>2.0843000000000003</v>
      </c>
      <c r="T128" s="304">
        <f t="shared" ca="1" si="30"/>
        <v>20.446983000000003</v>
      </c>
      <c r="U128" s="311">
        <f t="shared" ca="1" si="31"/>
        <v>0</v>
      </c>
      <c r="V128" s="306">
        <f t="shared" ca="1" si="32"/>
        <v>1.2191014429290468</v>
      </c>
      <c r="W128" s="304">
        <f t="shared" ca="1" si="33"/>
        <v>7.2584517231147556</v>
      </c>
      <c r="Y128" s="314" t="str">
        <f t="shared" ca="1" si="51"/>
        <v/>
      </c>
      <c r="Z128" s="315" t="str">
        <f t="shared" ca="1" si="52"/>
        <v/>
      </c>
      <c r="AA128" s="316" t="str">
        <f t="shared" ca="1" si="53"/>
        <v/>
      </c>
      <c r="AC128" s="310" t="e">
        <f t="shared" ca="1" si="54"/>
        <v>#N/A</v>
      </c>
      <c r="AD128" s="323" t="e">
        <f t="shared" ca="1" si="55"/>
        <v>#N/A</v>
      </c>
      <c r="AE128" s="324">
        <f t="shared" ca="1" si="34"/>
        <v>48.267694354652932</v>
      </c>
      <c r="AG128" s="306">
        <f t="shared" ca="1" si="56"/>
        <v>-13.252257130987275</v>
      </c>
      <c r="AH128" s="304">
        <f t="shared" ca="1" si="57"/>
        <v>-3.5003491606107673</v>
      </c>
    </row>
    <row r="129" spans="1:34" x14ac:dyDescent="0.2">
      <c r="A129" s="347">
        <f t="shared" ca="1" si="35"/>
        <v>0.01</v>
      </c>
      <c r="B129" s="304">
        <f t="shared" ca="1" si="36"/>
        <v>1.2500000000000009</v>
      </c>
      <c r="D129" s="306">
        <f t="shared" ca="1" si="37"/>
        <v>-0.37913181142635105</v>
      </c>
      <c r="E129" s="307">
        <f t="shared" ca="1" si="38"/>
        <v>-13.271741499638894</v>
      </c>
      <c r="F129" s="304">
        <f t="shared" ca="1" si="39"/>
        <v>13.27715569554235</v>
      </c>
      <c r="G129" s="306">
        <f t="shared" ca="1" si="40"/>
        <v>5.672097114870966</v>
      </c>
      <c r="H129" s="307">
        <f t="shared" ca="1" si="41"/>
        <v>51.692157057722945</v>
      </c>
      <c r="I129" s="304">
        <f t="shared" ca="1" si="42"/>
        <v>52.002420972112667</v>
      </c>
      <c r="J129" s="306">
        <f t="shared" ca="1" si="43"/>
        <v>4.8934797083809967</v>
      </c>
      <c r="K129" s="307">
        <f t="shared" ca="1" si="44"/>
        <v>48.785279512305145</v>
      </c>
      <c r="L129" s="304">
        <f t="shared" ca="1" si="29"/>
        <v>49.030089136672764</v>
      </c>
      <c r="M129" s="306">
        <f t="shared" ca="1" si="45"/>
        <v>1.4615051717923884</v>
      </c>
      <c r="N129" s="304">
        <f t="shared" ca="1" si="46"/>
        <v>83.738078080246183</v>
      </c>
      <c r="P129" s="310">
        <f t="shared" ca="1" si="47"/>
        <v>13</v>
      </c>
      <c r="Q129" s="304">
        <f t="shared" ca="1" si="48"/>
        <v>0</v>
      </c>
      <c r="R129" s="306">
        <f t="shared" ca="1" si="49"/>
        <v>0</v>
      </c>
      <c r="S129" s="307">
        <f t="shared" ca="1" si="50"/>
        <v>2.0843000000000003</v>
      </c>
      <c r="T129" s="304">
        <f t="shared" ca="1" si="30"/>
        <v>20.446983000000003</v>
      </c>
      <c r="U129" s="311">
        <f t="shared" ca="1" si="31"/>
        <v>0</v>
      </c>
      <c r="V129" s="306">
        <f t="shared" ca="1" si="32"/>
        <v>1.219038345309265</v>
      </c>
      <c r="W129" s="304">
        <f t="shared" ca="1" si="33"/>
        <v>7.2212746404439301</v>
      </c>
      <c r="Y129" s="314" t="str">
        <f t="shared" ca="1" si="51"/>
        <v/>
      </c>
      <c r="Z129" s="315" t="str">
        <f t="shared" ca="1" si="52"/>
        <v/>
      </c>
      <c r="AA129" s="316" t="str">
        <f t="shared" ca="1" si="53"/>
        <v/>
      </c>
      <c r="AC129" s="310" t="e">
        <f t="shared" ca="1" si="54"/>
        <v>#N/A</v>
      </c>
      <c r="AD129" s="323" t="e">
        <f t="shared" ca="1" si="55"/>
        <v>#N/A</v>
      </c>
      <c r="AE129" s="324">
        <f t="shared" ca="1" si="34"/>
        <v>48.785279512305145</v>
      </c>
      <c r="AG129" s="306">
        <f t="shared" ca="1" si="56"/>
        <v>-13.234130769167795</v>
      </c>
      <c r="AH129" s="304">
        <f t="shared" ca="1" si="57"/>
        <v>-3.4824409744829223</v>
      </c>
    </row>
    <row r="130" spans="1:34" x14ac:dyDescent="0.2">
      <c r="A130" s="347">
        <f t="shared" ca="1" si="35"/>
        <v>0.01</v>
      </c>
      <c r="B130" s="304">
        <f t="shared" ca="1" si="36"/>
        <v>1.2600000000000009</v>
      </c>
      <c r="D130" s="306">
        <f t="shared" ca="1" si="37"/>
        <v>-0.37789724803457958</v>
      </c>
      <c r="E130" s="307">
        <f t="shared" ca="1" si="38"/>
        <v>-13.253933258101341</v>
      </c>
      <c r="F130" s="304">
        <f t="shared" ca="1" si="39"/>
        <v>13.259319482547999</v>
      </c>
      <c r="G130" s="306">
        <f t="shared" ca="1" si="40"/>
        <v>5.6683181423906204</v>
      </c>
      <c r="H130" s="307">
        <f t="shared" ca="1" si="41"/>
        <v>51.559617725141933</v>
      </c>
      <c r="I130" s="304">
        <f t="shared" ca="1" si="42"/>
        <v>51.870261330806159</v>
      </c>
      <c r="J130" s="306">
        <f t="shared" ca="1" si="43"/>
        <v>4.9501817846673042</v>
      </c>
      <c r="K130" s="307">
        <f t="shared" ca="1" si="44"/>
        <v>49.30153838621947</v>
      </c>
      <c r="L130" s="304">
        <f t="shared" ca="1" si="29"/>
        <v>49.549429733843795</v>
      </c>
      <c r="M130" s="306">
        <f t="shared" ca="1" si="45"/>
        <v>1.4612988853577633</v>
      </c>
      <c r="N130" s="304">
        <f t="shared" ca="1" si="46"/>
        <v>83.726258738171367</v>
      </c>
      <c r="P130" s="310">
        <f t="shared" ca="1" si="47"/>
        <v>13</v>
      </c>
      <c r="Q130" s="304">
        <f t="shared" ca="1" si="48"/>
        <v>0</v>
      </c>
      <c r="R130" s="306">
        <f t="shared" ca="1" si="49"/>
        <v>0</v>
      </c>
      <c r="S130" s="307">
        <f t="shared" ca="1" si="50"/>
        <v>2.0843000000000003</v>
      </c>
      <c r="T130" s="304">
        <f t="shared" ca="1" si="30"/>
        <v>20.446983000000003</v>
      </c>
      <c r="U130" s="311">
        <f t="shared" ca="1" si="31"/>
        <v>0</v>
      </c>
      <c r="V130" s="306">
        <f t="shared" ca="1" si="32"/>
        <v>1.2189754126189896</v>
      </c>
      <c r="W130" s="304">
        <f t="shared" ca="1" si="33"/>
        <v>7.1842458902040631</v>
      </c>
      <c r="Y130" s="314" t="str">
        <f t="shared" ca="1" si="51"/>
        <v/>
      </c>
      <c r="Z130" s="315" t="str">
        <f t="shared" ca="1" si="52"/>
        <v/>
      </c>
      <c r="AA130" s="316" t="str">
        <f t="shared" ca="1" si="53"/>
        <v/>
      </c>
      <c r="AC130" s="310" t="e">
        <f t="shared" ca="1" si="54"/>
        <v>#N/A</v>
      </c>
      <c r="AD130" s="323" t="e">
        <f t="shared" ca="1" si="55"/>
        <v>#N/A</v>
      </c>
      <c r="AE130" s="324">
        <f t="shared" ca="1" si="34"/>
        <v>49.30153838621947</v>
      </c>
      <c r="AG130" s="306">
        <f t="shared" ca="1" si="56"/>
        <v>-13.216074495247206</v>
      </c>
      <c r="AH130" s="304">
        <f t="shared" ca="1" si="57"/>
        <v>-3.464604251040603</v>
      </c>
    </row>
    <row r="131" spans="1:34" x14ac:dyDescent="0.2">
      <c r="A131" s="347">
        <f t="shared" ca="1" si="35"/>
        <v>0.01</v>
      </c>
      <c r="B131" s="304">
        <f t="shared" ca="1" si="36"/>
        <v>1.2700000000000009</v>
      </c>
      <c r="D131" s="306">
        <f t="shared" ca="1" si="37"/>
        <v>-0.37666627856964441</v>
      </c>
      <c r="E131" s="307">
        <f t="shared" ca="1" si="38"/>
        <v>-13.236196068241847</v>
      </c>
      <c r="F131" s="304">
        <f t="shared" ca="1" si="39"/>
        <v>13.241554434519855</v>
      </c>
      <c r="G131" s="306">
        <f t="shared" ca="1" si="40"/>
        <v>5.6645514796049241</v>
      </c>
      <c r="H131" s="307">
        <f t="shared" ca="1" si="41"/>
        <v>51.427255764459517</v>
      </c>
      <c r="I131" s="304">
        <f t="shared" ca="1" si="42"/>
        <v>51.738281561414745</v>
      </c>
      <c r="J131" s="306">
        <f t="shared" ca="1" si="43"/>
        <v>5.006846132777282</v>
      </c>
      <c r="K131" s="307">
        <f t="shared" ca="1" si="44"/>
        <v>49.816472753667476</v>
      </c>
      <c r="L131" s="304">
        <f t="shared" ca="1" si="29"/>
        <v>50.067449164244437</v>
      </c>
      <c r="M131" s="306">
        <f t="shared" ca="1" si="45"/>
        <v>1.4610916839068693</v>
      </c>
      <c r="N131" s="304">
        <f t="shared" ca="1" si="46"/>
        <v>83.71438696952616</v>
      </c>
      <c r="P131" s="310">
        <f t="shared" ca="1" si="47"/>
        <v>13</v>
      </c>
      <c r="Q131" s="304">
        <f t="shared" ca="1" si="48"/>
        <v>0</v>
      </c>
      <c r="R131" s="306">
        <f t="shared" ca="1" si="49"/>
        <v>0</v>
      </c>
      <c r="S131" s="307">
        <f t="shared" ca="1" si="50"/>
        <v>2.0843000000000003</v>
      </c>
      <c r="T131" s="304">
        <f t="shared" ca="1" si="30"/>
        <v>20.446983000000003</v>
      </c>
      <c r="U131" s="311">
        <f t="shared" ca="1" si="31"/>
        <v>0</v>
      </c>
      <c r="V131" s="306">
        <f t="shared" ca="1" si="32"/>
        <v>1.2189126446163563</v>
      </c>
      <c r="W131" s="304">
        <f t="shared" ca="1" si="33"/>
        <v>7.1473648587738374</v>
      </c>
      <c r="Y131" s="314" t="str">
        <f t="shared" ca="1" si="51"/>
        <v/>
      </c>
      <c r="Z131" s="315" t="str">
        <f t="shared" ca="1" si="52"/>
        <v/>
      </c>
      <c r="AA131" s="316" t="str">
        <f t="shared" ca="1" si="53"/>
        <v/>
      </c>
      <c r="AC131" s="310" t="e">
        <f t="shared" ca="1" si="54"/>
        <v>#N/A</v>
      </c>
      <c r="AD131" s="323" t="e">
        <f t="shared" ca="1" si="55"/>
        <v>#N/A</v>
      </c>
      <c r="AE131" s="324">
        <f t="shared" ca="1" si="34"/>
        <v>49.816472753667476</v>
      </c>
      <c r="AG131" s="306">
        <f t="shared" ca="1" si="56"/>
        <v>-13.198088001678082</v>
      </c>
      <c r="AH131" s="304">
        <f t="shared" ca="1" si="57"/>
        <v>-3.4468386941438669</v>
      </c>
    </row>
    <row r="132" spans="1:34" x14ac:dyDescent="0.2">
      <c r="A132" s="347">
        <f t="shared" ca="1" si="35"/>
        <v>0.01</v>
      </c>
      <c r="B132" s="304">
        <f t="shared" ca="1" si="36"/>
        <v>1.2800000000000009</v>
      </c>
      <c r="D132" s="306">
        <f t="shared" ca="1" si="37"/>
        <v>-0.37543888559802918</v>
      </c>
      <c r="E132" s="307">
        <f t="shared" ca="1" si="38"/>
        <v>-13.218529636122248</v>
      </c>
      <c r="F132" s="304">
        <f t="shared" ca="1" si="39"/>
        <v>13.223860257045265</v>
      </c>
      <c r="G132" s="306">
        <f t="shared" ca="1" si="40"/>
        <v>5.660797090748944</v>
      </c>
      <c r="H132" s="307">
        <f t="shared" ca="1" si="41"/>
        <v>51.295070468098295</v>
      </c>
      <c r="I132" s="304">
        <f t="shared" ca="1" si="42"/>
        <v>51.606480969252317</v>
      </c>
      <c r="J132" s="306">
        <f t="shared" ca="1" si="43"/>
        <v>5.063472875629051</v>
      </c>
      <c r="K132" s="307">
        <f t="shared" ca="1" si="44"/>
        <v>50.330084384830265</v>
      </c>
      <c r="L132" s="304">
        <f t="shared" ref="L132:L195" ca="1" si="58">SQRT(pos_x^2+pos_z^2)</f>
        <v>50.584149214416627</v>
      </c>
      <c r="M132" s="306">
        <f t="shared" ca="1" si="45"/>
        <v>1.4608835617620304</v>
      </c>
      <c r="N132" s="304">
        <f t="shared" ca="1" si="46"/>
        <v>83.702462449003676</v>
      </c>
      <c r="P132" s="310">
        <f t="shared" ca="1" si="47"/>
        <v>13</v>
      </c>
      <c r="Q132" s="304">
        <f t="shared" ca="1" si="48"/>
        <v>0</v>
      </c>
      <c r="R132" s="306">
        <f t="shared" ca="1" si="49"/>
        <v>0</v>
      </c>
      <c r="S132" s="307">
        <f t="shared" ca="1" si="50"/>
        <v>2.0843000000000003</v>
      </c>
      <c r="T132" s="304">
        <f t="shared" ref="T132:T195" ca="1" si="59">m*g</f>
        <v>20.446983000000003</v>
      </c>
      <c r="U132" s="311">
        <f t="shared" ref="U132:U195" ca="1" si="60">IF(pos_xz&lt;L_rampe,Poids*COS(Beta),0)</f>
        <v>0</v>
      </c>
      <c r="V132" s="306">
        <f t="shared" ref="V132:V195" ca="1" si="61">Rho_moyen*(20000-Alt_rampe-pos_z)/(20000+Alt_rampe+pos_z)</f>
        <v>1.2188500410604779</v>
      </c>
      <c r="W132" s="304">
        <f t="shared" ref="W132:W195" ca="1" si="62">1/2*Rho*Sref*Cx*vit_xz^2</f>
        <v>7.1106309361309954</v>
      </c>
      <c r="Y132" s="314" t="str">
        <f t="shared" ca="1" si="51"/>
        <v/>
      </c>
      <c r="Z132" s="315" t="str">
        <f t="shared" ca="1" si="52"/>
        <v/>
      </c>
      <c r="AA132" s="316" t="str">
        <f t="shared" ca="1" si="53"/>
        <v/>
      </c>
      <c r="AC132" s="310" t="e">
        <f t="shared" ca="1" si="54"/>
        <v>#N/A</v>
      </c>
      <c r="AD132" s="323" t="e">
        <f t="shared" ca="1" si="55"/>
        <v>#N/A</v>
      </c>
      <c r="AE132" s="324">
        <f t="shared" ref="AE132:AE195" ca="1" si="63">IF(t&lt;T_para, pos_z, NA())</f>
        <v>50.330084384830265</v>
      </c>
      <c r="AG132" s="306">
        <f t="shared" ca="1" si="56"/>
        <v>-13.180170982532646</v>
      </c>
      <c r="AH132" s="304">
        <f t="shared" ca="1" si="57"/>
        <v>-3.4291440093910839</v>
      </c>
    </row>
    <row r="133" spans="1:34" x14ac:dyDescent="0.2">
      <c r="A133" s="347">
        <f t="shared" ref="A133:A196" ca="1" si="64">IF(B132+0.01&lt;=T_ini+ROUNDUP(Temps_fin_propu,0), 0.01, IF(K132&gt;0, 0.1, 0.0001))</f>
        <v>0.01</v>
      </c>
      <c r="B133" s="304">
        <f t="shared" ref="B133:B196" ca="1" si="65">B132+pas</f>
        <v>1.2900000000000009</v>
      </c>
      <c r="D133" s="306">
        <f t="shared" ref="D133:D196" ca="1" si="66">IF(AND(L132&lt;L_rampe,Poussee&lt;Poids*SIN(M132)),0,(-W132+Poussee)/m*COS(M132)-U132/m*SIN(M132))</f>
        <v>-0.37421505178214681</v>
      </c>
      <c r="E133" s="307">
        <f t="shared" ref="E133:E196" ca="1" si="67">IF(AND(L132&lt;L_rampe,Poussee&lt;Poids*SIN(M132)),0,(-W132+Poussee)/m*SIN(M132)+U132/m*COS(M132)-Poids/m)</f>
        <v>-13.20093366952827</v>
      </c>
      <c r="F133" s="304">
        <f t="shared" ref="F133:F196" ca="1" si="68">SQRT(acc_x^2+acc_z^2)</f>
        <v>13.206236657438236</v>
      </c>
      <c r="G133" s="306">
        <f t="shared" ref="G133:G196" ca="1" si="69">G132+acc_x*pas</f>
        <v>5.6570549402311228</v>
      </c>
      <c r="H133" s="307">
        <f t="shared" ref="H133:H196" ca="1" si="70">H132+acc_z*pas</f>
        <v>51.163061131403012</v>
      </c>
      <c r="I133" s="304">
        <f t="shared" ref="I133:I196" ca="1" si="71">SQRT(vit_x^2+vit_z^2)</f>
        <v>51.474858862676598</v>
      </c>
      <c r="J133" s="306">
        <f t="shared" ref="J133:J196" ca="1" si="72">J132+0.5*(vit_x+G132)*pas*(K132&gt;=0)</f>
        <v>5.1200621357839511</v>
      </c>
      <c r="K133" s="307">
        <f t="shared" ref="K133:K196" ca="1" si="73">K132+0.5*(vit_z+H132)*pas</f>
        <v>50.842375042827769</v>
      </c>
      <c r="L133" s="304">
        <f t="shared" ca="1" si="58"/>
        <v>51.099531663899278</v>
      </c>
      <c r="M133" s="306">
        <f t="shared" ref="M133:M196" ca="1" si="74">IF(AND(L132&gt;L_rampe,G133&gt;0),ATAN2(G133,H133),$M$4)</f>
        <v>1.4606745131981447</v>
      </c>
      <c r="N133" s="304">
        <f t="shared" ref="N133:N196" ca="1" si="75">DEGREES(Beta)</f>
        <v>83.690484848579757</v>
      </c>
      <c r="P133" s="310">
        <f t="shared" ref="P133:P196" ca="1" si="76">MATCH(t-pas/2-T_ini,CdP_t)</f>
        <v>13</v>
      </c>
      <c r="Q133" s="304">
        <f t="shared" ref="Q133:Q196" ca="1" si="77">(INDEX(CdP,2,i_P+1)-INDEX(CdP,2,i_P+0))/(INDEX(CdP,1,i_P+1)-INDEX(CdP,1,i_P+0))*(t-pas/2-T_ini-INDEX(CdP,1,i_P+0))+INDEX(CdP,2,i_P+0)</f>
        <v>0</v>
      </c>
      <c r="R133" s="306">
        <f t="shared" ref="R133:R196" ca="1" si="78">Poussee/(g*ISP)</f>
        <v>0</v>
      </c>
      <c r="S133" s="307">
        <f t="shared" ref="S133:S196" ca="1" si="79">S132-Débit*pas</f>
        <v>2.0843000000000003</v>
      </c>
      <c r="T133" s="304">
        <f t="shared" ca="1" si="59"/>
        <v>20.446983000000003</v>
      </c>
      <c r="U133" s="311">
        <f t="shared" ca="1" si="60"/>
        <v>0</v>
      </c>
      <c r="V133" s="306">
        <f t="shared" ca="1" si="61"/>
        <v>1.218787601711439</v>
      </c>
      <c r="W133" s="304">
        <f t="shared" ca="1" si="62"/>
        <v>7.0740435158283939</v>
      </c>
      <c r="Y133" s="314" t="str">
        <f t="shared" ref="Y133:Y196" ca="1" si="80">IF(AND(pos_z&lt;=0,K132&gt;0),"Impact balistique","") &amp; IF(AND(H134&lt;0,vit_z&gt;=0),"Apogée","") &amp; IF(AND(Poussee=0,Q132&gt;0),"Fin de propulsion","") &amp; IF(AND(L134&gt;L_rampe,pos_xz&lt;=L_rampe),"Sortie de rampe","")</f>
        <v/>
      </c>
      <c r="Z133" s="315" t="str">
        <f t="shared" ref="Z133:Z196" ca="1" si="81">IF(ABS(t-T_para)&lt;pas/2,"Para","")</f>
        <v/>
      </c>
      <c r="AA133" s="316" t="str">
        <f t="shared" ref="AA133:AA196" ca="1" si="82">IF(ABS(t-T_satellite)&lt;pas/2,"Satellite","")</f>
        <v/>
      </c>
      <c r="AC133" s="310" t="e">
        <f t="shared" ref="AC133:AC196" ca="1" si="83">IF(ABS(t-ROUND(t,0))&lt;0.001,t,NA())</f>
        <v>#N/A</v>
      </c>
      <c r="AD133" s="323" t="e">
        <f t="shared" ref="AD133:AD196" ca="1" si="84">IF(ABS(t-ROUND(t,0))&lt;0.001,pos_x,NA())</f>
        <v>#N/A</v>
      </c>
      <c r="AE133" s="324">
        <f t="shared" ca="1" si="63"/>
        <v>50.842375042827769</v>
      </c>
      <c r="AG133" s="306">
        <f t="shared" ref="AG133:AG196" ca="1" si="85">IF(AND(L132&lt;L_rampe,Poussee&lt;Poids*SIN(M132)),0,(-W132+Poussee)/m-Poids*SIN(M132)/m)</f>
        <v>-13.162323133489721</v>
      </c>
      <c r="AH133" s="304">
        <f t="shared" ref="AH133:AH196" ca="1" si="86">IF(AND(L132&lt;L_rampe,Poussee&lt;Poids*SIN(M132)), g*SIN(M132), (-W132+Poussee)/m)</f>
        <v>-3.4115199041073714</v>
      </c>
    </row>
    <row r="134" spans="1:34" x14ac:dyDescent="0.2">
      <c r="A134" s="347">
        <f t="shared" ca="1" si="64"/>
        <v>0.01</v>
      </c>
      <c r="B134" s="304">
        <f t="shared" ca="1" si="65"/>
        <v>1.3000000000000009</v>
      </c>
      <c r="D134" s="306">
        <f t="shared" ca="1" si="66"/>
        <v>-0.37299475987968306</v>
      </c>
      <c r="E134" s="307">
        <f t="shared" ca="1" si="67"/>
        <v>-13.183407877958059</v>
      </c>
      <c r="F134" s="304">
        <f t="shared" ca="1" si="68"/>
        <v>13.188683344727945</v>
      </c>
      <c r="G134" s="306">
        <f t="shared" ca="1" si="69"/>
        <v>5.6533249926323261</v>
      </c>
      <c r="H134" s="307">
        <f t="shared" ca="1" si="70"/>
        <v>51.031227052623429</v>
      </c>
      <c r="I134" s="304">
        <f t="shared" ca="1" si="71"/>
        <v>51.343414553073181</v>
      </c>
      <c r="J134" s="306">
        <f t="shared" ca="1" si="72"/>
        <v>5.1766140354482681</v>
      </c>
      <c r="K134" s="307">
        <f t="shared" ca="1" si="73"/>
        <v>51.353346483747899</v>
      </c>
      <c r="L134" s="304">
        <f t="shared" ca="1" si="58"/>
        <v>51.613598285256785</v>
      </c>
      <c r="M134" s="306">
        <f t="shared" ca="1" si="74"/>
        <v>1.4604645324421899</v>
      </c>
      <c r="N134" s="304">
        <f t="shared" ca="1" si="75"/>
        <v>83.678453837484582</v>
      </c>
      <c r="P134" s="310">
        <f t="shared" ca="1" si="76"/>
        <v>13</v>
      </c>
      <c r="Q134" s="304">
        <f t="shared" ca="1" si="77"/>
        <v>0</v>
      </c>
      <c r="R134" s="306">
        <f t="shared" ca="1" si="78"/>
        <v>0</v>
      </c>
      <c r="S134" s="307">
        <f t="shared" ca="1" si="79"/>
        <v>2.0843000000000003</v>
      </c>
      <c r="T134" s="304">
        <f t="shared" ca="1" si="59"/>
        <v>20.446983000000003</v>
      </c>
      <c r="U134" s="311">
        <f t="shared" ca="1" si="60"/>
        <v>0</v>
      </c>
      <c r="V134" s="306">
        <f t="shared" ca="1" si="61"/>
        <v>1.2187253263302924</v>
      </c>
      <c r="W134" s="304">
        <f t="shared" ca="1" si="62"/>
        <v>7.0376019949702613</v>
      </c>
      <c r="Y134" s="314" t="str">
        <f t="shared" ca="1" si="80"/>
        <v/>
      </c>
      <c r="Z134" s="315" t="str">
        <f t="shared" ca="1" si="81"/>
        <v/>
      </c>
      <c r="AA134" s="316" t="str">
        <f t="shared" ca="1" si="82"/>
        <v/>
      </c>
      <c r="AC134" s="310" t="e">
        <f t="shared" ca="1" si="83"/>
        <v>#N/A</v>
      </c>
      <c r="AD134" s="323" t="e">
        <f t="shared" ca="1" si="84"/>
        <v>#N/A</v>
      </c>
      <c r="AE134" s="324">
        <f t="shared" ca="1" si="63"/>
        <v>51.353346483747899</v>
      </c>
      <c r="AG134" s="306">
        <f t="shared" ca="1" si="85"/>
        <v>-13.144544151821755</v>
      </c>
      <c r="AH134" s="304">
        <f t="shared" ca="1" si="86"/>
        <v>-3.3939660873331059</v>
      </c>
    </row>
    <row r="135" spans="1:34" x14ac:dyDescent="0.2">
      <c r="A135" s="347">
        <f t="shared" ca="1" si="64"/>
        <v>0.01</v>
      </c>
      <c r="B135" s="304">
        <f t="shared" ca="1" si="65"/>
        <v>1.3100000000000009</v>
      </c>
      <c r="D135" s="306">
        <f t="shared" ca="1" si="66"/>
        <v>-0.37177799274295742</v>
      </c>
      <c r="E135" s="307">
        <f t="shared" ca="1" si="67"/>
        <v>-13.165951972610813</v>
      </c>
      <c r="F135" s="304">
        <f t="shared" ca="1" si="68"/>
        <v>13.171200029647357</v>
      </c>
      <c r="G135" s="306">
        <f t="shared" ca="1" si="69"/>
        <v>5.6496072127048969</v>
      </c>
      <c r="H135" s="307">
        <f t="shared" ca="1" si="70"/>
        <v>50.899567532897322</v>
      </c>
      <c r="I135" s="304">
        <f t="shared" ca="1" si="71"/>
        <v>51.212147354839779</v>
      </c>
      <c r="J135" s="306">
        <f t="shared" ca="1" si="72"/>
        <v>5.2331286964749539</v>
      </c>
      <c r="K135" s="307">
        <f t="shared" ca="1" si="73"/>
        <v>51.863000456675501</v>
      </c>
      <c r="L135" s="304">
        <f t="shared" ca="1" si="58"/>
        <v>52.126350844107556</v>
      </c>
      <c r="M135" s="306">
        <f t="shared" ca="1" si="74"/>
        <v>1.4602536136727253</v>
      </c>
      <c r="N135" s="304">
        <f t="shared" ca="1" si="75"/>
        <v>83.666369082174171</v>
      </c>
      <c r="P135" s="310">
        <f t="shared" ca="1" si="76"/>
        <v>13</v>
      </c>
      <c r="Q135" s="304">
        <f t="shared" ca="1" si="77"/>
        <v>0</v>
      </c>
      <c r="R135" s="306">
        <f t="shared" ca="1" si="78"/>
        <v>0</v>
      </c>
      <c r="S135" s="307">
        <f t="shared" ca="1" si="79"/>
        <v>2.0843000000000003</v>
      </c>
      <c r="T135" s="304">
        <f t="shared" ca="1" si="59"/>
        <v>20.446983000000003</v>
      </c>
      <c r="U135" s="311">
        <f t="shared" ca="1" si="60"/>
        <v>0</v>
      </c>
      <c r="V135" s="306">
        <f t="shared" ca="1" si="61"/>
        <v>1.2186632146790568</v>
      </c>
      <c r="W135" s="304">
        <f t="shared" ca="1" si="62"/>
        <v>7.0013057741886486</v>
      </c>
      <c r="Y135" s="314" t="str">
        <f t="shared" ca="1" si="80"/>
        <v/>
      </c>
      <c r="Z135" s="315" t="str">
        <f t="shared" ca="1" si="81"/>
        <v/>
      </c>
      <c r="AA135" s="316" t="str">
        <f t="shared" ca="1" si="82"/>
        <v/>
      </c>
      <c r="AC135" s="310" t="e">
        <f t="shared" ca="1" si="83"/>
        <v>#N/A</v>
      </c>
      <c r="AD135" s="323" t="e">
        <f t="shared" ca="1" si="84"/>
        <v>#N/A</v>
      </c>
      <c r="AE135" s="324">
        <f t="shared" ca="1" si="63"/>
        <v>51.863000456675501</v>
      </c>
      <c r="AG135" s="306">
        <f t="shared" ca="1" si="85"/>
        <v>-13.126833736381895</v>
      </c>
      <c r="AH135" s="304">
        <f t="shared" ca="1" si="86"/>
        <v>-3.3764822698125321</v>
      </c>
    </row>
    <row r="136" spans="1:34" x14ac:dyDescent="0.2">
      <c r="A136" s="347">
        <f t="shared" ca="1" si="64"/>
        <v>0.01</v>
      </c>
      <c r="B136" s="304">
        <f t="shared" ca="1" si="65"/>
        <v>1.320000000000001</v>
      </c>
      <c r="D136" s="306">
        <f t="shared" ca="1" si="66"/>
        <v>-0.37056473331828099</v>
      </c>
      <c r="E136" s="307">
        <f t="shared" ca="1" si="67"/>
        <v>-13.148565666375497</v>
      </c>
      <c r="F136" s="304">
        <f t="shared" ca="1" si="68"/>
        <v>13.153786424621913</v>
      </c>
      <c r="G136" s="306">
        <f t="shared" ca="1" si="69"/>
        <v>5.6459015653717142</v>
      </c>
      <c r="H136" s="307">
        <f t="shared" ca="1" si="70"/>
        <v>50.768081876233566</v>
      </c>
      <c r="I136" s="304">
        <f t="shared" ca="1" si="71"/>
        <v>51.08105658537049</v>
      </c>
      <c r="J136" s="306">
        <f t="shared" ca="1" si="72"/>
        <v>5.2896062403653366</v>
      </c>
      <c r="K136" s="307">
        <f t="shared" ca="1" si="73"/>
        <v>52.371338703721158</v>
      </c>
      <c r="L136" s="304">
        <f t="shared" ca="1" si="58"/>
        <v>52.637791099152267</v>
      </c>
      <c r="M136" s="306">
        <f t="shared" ca="1" si="74"/>
        <v>1.4600417510193868</v>
      </c>
      <c r="N136" s="304">
        <f t="shared" ca="1" si="75"/>
        <v>83.654230246301424</v>
      </c>
      <c r="P136" s="310">
        <f t="shared" ca="1" si="76"/>
        <v>13</v>
      </c>
      <c r="Q136" s="304">
        <f t="shared" ca="1" si="77"/>
        <v>0</v>
      </c>
      <c r="R136" s="306">
        <f t="shared" ca="1" si="78"/>
        <v>0</v>
      </c>
      <c r="S136" s="307">
        <f t="shared" ca="1" si="79"/>
        <v>2.0843000000000003</v>
      </c>
      <c r="T136" s="304">
        <f t="shared" ca="1" si="59"/>
        <v>20.446983000000003</v>
      </c>
      <c r="U136" s="311">
        <f t="shared" ca="1" si="60"/>
        <v>0</v>
      </c>
      <c r="V136" s="306">
        <f t="shared" ca="1" si="61"/>
        <v>1.2186012665207102</v>
      </c>
      <c r="W136" s="304">
        <f t="shared" ca="1" si="62"/>
        <v>6.9651542576200445</v>
      </c>
      <c r="Y136" s="314" t="str">
        <f t="shared" ca="1" si="80"/>
        <v/>
      </c>
      <c r="Z136" s="315" t="str">
        <f t="shared" ca="1" si="81"/>
        <v/>
      </c>
      <c r="AA136" s="316" t="str">
        <f t="shared" ca="1" si="82"/>
        <v/>
      </c>
      <c r="AC136" s="310" t="e">
        <f t="shared" ca="1" si="83"/>
        <v>#N/A</v>
      </c>
      <c r="AD136" s="323" t="e">
        <f t="shared" ca="1" si="84"/>
        <v>#N/A</v>
      </c>
      <c r="AE136" s="324">
        <f t="shared" ca="1" si="63"/>
        <v>52.371338703721158</v>
      </c>
      <c r="AG136" s="306">
        <f t="shared" ca="1" si="85"/>
        <v>-13.109191587591145</v>
      </c>
      <c r="AH136" s="304">
        <f t="shared" ca="1" si="86"/>
        <v>-3.3590681639824629</v>
      </c>
    </row>
    <row r="137" spans="1:34" x14ac:dyDescent="0.2">
      <c r="A137" s="347">
        <f t="shared" ca="1" si="64"/>
        <v>0.01</v>
      </c>
      <c r="B137" s="304">
        <f t="shared" ca="1" si="65"/>
        <v>1.330000000000001</v>
      </c>
      <c r="D137" s="306">
        <f t="shared" ca="1" si="66"/>
        <v>-0.36935496464532175</v>
      </c>
      <c r="E137" s="307">
        <f t="shared" ca="1" si="67"/>
        <v>-13.131248673819641</v>
      </c>
      <c r="F137" s="304">
        <f t="shared" ca="1" si="68"/>
        <v>13.136442243758323</v>
      </c>
      <c r="G137" s="306">
        <f t="shared" ca="1" si="69"/>
        <v>5.6422080157252612</v>
      </c>
      <c r="H137" s="307">
        <f t="shared" ca="1" si="70"/>
        <v>50.63676938949537</v>
      </c>
      <c r="I137" s="304">
        <f t="shared" ca="1" si="71"/>
        <v>50.950141565040326</v>
      </c>
      <c r="J137" s="306">
        <f t="shared" ca="1" si="72"/>
        <v>5.3460467882708214</v>
      </c>
      <c r="K137" s="307">
        <f t="shared" ca="1" si="73"/>
        <v>52.878362960049799</v>
      </c>
      <c r="L137" s="304">
        <f t="shared" ca="1" si="58"/>
        <v>53.147920802202108</v>
      </c>
      <c r="M137" s="306">
        <f t="shared" ca="1" si="74"/>
        <v>1.4598289385623753</v>
      </c>
      <c r="N137" s="304">
        <f t="shared" ca="1" si="75"/>
        <v>83.642036990686861</v>
      </c>
      <c r="P137" s="310">
        <f t="shared" ca="1" si="76"/>
        <v>13</v>
      </c>
      <c r="Q137" s="304">
        <f t="shared" ca="1" si="77"/>
        <v>0</v>
      </c>
      <c r="R137" s="306">
        <f t="shared" ca="1" si="78"/>
        <v>0</v>
      </c>
      <c r="S137" s="307">
        <f t="shared" ca="1" si="79"/>
        <v>2.0843000000000003</v>
      </c>
      <c r="T137" s="304">
        <f t="shared" ca="1" si="59"/>
        <v>20.446983000000003</v>
      </c>
      <c r="U137" s="311">
        <f t="shared" ca="1" si="60"/>
        <v>0</v>
      </c>
      <c r="V137" s="306">
        <f t="shared" ca="1" si="61"/>
        <v>1.2185394816191863</v>
      </c>
      <c r="W137" s="304">
        <f t="shared" ca="1" si="62"/>
        <v>6.9291468528822087</v>
      </c>
      <c r="Y137" s="314" t="str">
        <f t="shared" ca="1" si="80"/>
        <v/>
      </c>
      <c r="Z137" s="315" t="str">
        <f t="shared" ca="1" si="81"/>
        <v/>
      </c>
      <c r="AA137" s="316" t="str">
        <f t="shared" ca="1" si="82"/>
        <v/>
      </c>
      <c r="AC137" s="310" t="e">
        <f t="shared" ca="1" si="83"/>
        <v>#N/A</v>
      </c>
      <c r="AD137" s="323" t="e">
        <f t="shared" ca="1" si="84"/>
        <v>#N/A</v>
      </c>
      <c r="AE137" s="324">
        <f t="shared" ca="1" si="63"/>
        <v>52.878362960049799</v>
      </c>
      <c r="AG137" s="306">
        <f t="shared" ca="1" si="85"/>
        <v>-13.091617407425588</v>
      </c>
      <c r="AH137" s="304">
        <f t="shared" ca="1" si="86"/>
        <v>-3.3417234839610628</v>
      </c>
    </row>
    <row r="138" spans="1:34" x14ac:dyDescent="0.2">
      <c r="A138" s="347">
        <f t="shared" ca="1" si="64"/>
        <v>0.01</v>
      </c>
      <c r="B138" s="304">
        <f t="shared" ca="1" si="65"/>
        <v>1.340000000000001</v>
      </c>
      <c r="D138" s="306">
        <f t="shared" ca="1" si="66"/>
        <v>-0.36814866985647576</v>
      </c>
      <c r="E138" s="307">
        <f t="shared" ca="1" si="67"/>
        <v>-13.114000711178239</v>
      </c>
      <c r="F138" s="304">
        <f t="shared" ca="1" si="68"/>
        <v>13.119167202833435</v>
      </c>
      <c r="G138" s="306">
        <f t="shared" ca="1" si="69"/>
        <v>5.6385265290266968</v>
      </c>
      <c r="H138" s="307">
        <f t="shared" ca="1" si="70"/>
        <v>50.505629382383589</v>
      </c>
      <c r="I138" s="304">
        <f t="shared" ca="1" si="71"/>
        <v>50.819401617189733</v>
      </c>
      <c r="J138" s="306">
        <f t="shared" ca="1" si="72"/>
        <v>5.4024504609945811</v>
      </c>
      <c r="K138" s="307">
        <f t="shared" ca="1" si="73"/>
        <v>53.384074953909192</v>
      </c>
      <c r="L138" s="304">
        <f t="shared" ca="1" si="58"/>
        <v>53.656741698206901</v>
      </c>
      <c r="M138" s="306">
        <f t="shared" ca="1" si="74"/>
        <v>1.4596151703319387</v>
      </c>
      <c r="N138" s="304">
        <f t="shared" ca="1" si="75"/>
        <v>83.629788973288854</v>
      </c>
      <c r="P138" s="310">
        <f t="shared" ca="1" si="76"/>
        <v>13</v>
      </c>
      <c r="Q138" s="304">
        <f t="shared" ca="1" si="77"/>
        <v>0</v>
      </c>
      <c r="R138" s="306">
        <f t="shared" ca="1" si="78"/>
        <v>0</v>
      </c>
      <c r="S138" s="307">
        <f t="shared" ca="1" si="79"/>
        <v>2.0843000000000003</v>
      </c>
      <c r="T138" s="304">
        <f t="shared" ca="1" si="59"/>
        <v>20.446983000000003</v>
      </c>
      <c r="U138" s="311">
        <f t="shared" ca="1" si="60"/>
        <v>0</v>
      </c>
      <c r="V138" s="306">
        <f t="shared" ca="1" si="61"/>
        <v>1.2184778597393728</v>
      </c>
      <c r="W138" s="304">
        <f t="shared" ca="1" si="62"/>
        <v>6.8932829710511703</v>
      </c>
      <c r="Y138" s="314" t="str">
        <f t="shared" ca="1" si="80"/>
        <v/>
      </c>
      <c r="Z138" s="315" t="str">
        <f t="shared" ca="1" si="81"/>
        <v/>
      </c>
      <c r="AA138" s="316" t="str">
        <f t="shared" ca="1" si="82"/>
        <v/>
      </c>
      <c r="AC138" s="310" t="e">
        <f t="shared" ca="1" si="83"/>
        <v>#N/A</v>
      </c>
      <c r="AD138" s="323" t="e">
        <f t="shared" ca="1" si="84"/>
        <v>#N/A</v>
      </c>
      <c r="AE138" s="324">
        <f t="shared" ca="1" si="63"/>
        <v>53.384074953909192</v>
      </c>
      <c r="AG138" s="306">
        <f t="shared" ca="1" si="85"/>
        <v>-13.074110899403665</v>
      </c>
      <c r="AH138" s="304">
        <f t="shared" ca="1" si="86"/>
        <v>-3.3244479455367308</v>
      </c>
    </row>
    <row r="139" spans="1:34" x14ac:dyDescent="0.2">
      <c r="A139" s="347">
        <f t="shared" ca="1" si="64"/>
        <v>0.01</v>
      </c>
      <c r="B139" s="304">
        <f t="shared" ca="1" si="65"/>
        <v>1.350000000000001</v>
      </c>
      <c r="D139" s="306">
        <f t="shared" ca="1" si="66"/>
        <v>-0.36694583217624377</v>
      </c>
      <c r="E139" s="307">
        <f t="shared" ca="1" si="67"/>
        <v>-13.096821496342731</v>
      </c>
      <c r="F139" s="304">
        <f t="shared" ca="1" si="68"/>
        <v>13.101961019283204</v>
      </c>
      <c r="G139" s="306">
        <f t="shared" ca="1" si="69"/>
        <v>5.6348570707049346</v>
      </c>
      <c r="H139" s="307">
        <f t="shared" ca="1" si="70"/>
        <v>50.374661167420165</v>
      </c>
      <c r="I139" s="304">
        <f t="shared" ca="1" si="71"/>
        <v>50.688836068109339</v>
      </c>
      <c r="J139" s="306">
        <f t="shared" ca="1" si="72"/>
        <v>5.4588173789932393</v>
      </c>
      <c r="K139" s="307">
        <f t="shared" ca="1" si="73"/>
        <v>53.888476406658214</v>
      </c>
      <c r="L139" s="304">
        <f t="shared" ca="1" si="58"/>
        <v>54.164255525283075</v>
      </c>
      <c r="M139" s="306">
        <f t="shared" ca="1" si="74"/>
        <v>1.4594004403078473</v>
      </c>
      <c r="N139" s="304">
        <f t="shared" ca="1" si="75"/>
        <v>83.617485849173676</v>
      </c>
      <c r="P139" s="310">
        <f t="shared" ca="1" si="76"/>
        <v>13</v>
      </c>
      <c r="Q139" s="304">
        <f t="shared" ca="1" si="77"/>
        <v>0</v>
      </c>
      <c r="R139" s="306">
        <f t="shared" ca="1" si="78"/>
        <v>0</v>
      </c>
      <c r="S139" s="307">
        <f t="shared" ca="1" si="79"/>
        <v>2.0843000000000003</v>
      </c>
      <c r="T139" s="304">
        <f t="shared" ca="1" si="59"/>
        <v>20.446983000000003</v>
      </c>
      <c r="U139" s="311">
        <f t="shared" ca="1" si="60"/>
        <v>0</v>
      </c>
      <c r="V139" s="306">
        <f t="shared" ca="1" si="61"/>
        <v>1.2184164006471045</v>
      </c>
      <c r="W139" s="304">
        <f t="shared" ca="1" si="62"/>
        <v>6.8575620266384067</v>
      </c>
      <c r="Y139" s="314" t="str">
        <f t="shared" ca="1" si="80"/>
        <v/>
      </c>
      <c r="Z139" s="315" t="str">
        <f t="shared" ca="1" si="81"/>
        <v/>
      </c>
      <c r="AA139" s="316" t="str">
        <f t="shared" ca="1" si="82"/>
        <v/>
      </c>
      <c r="AC139" s="310" t="e">
        <f t="shared" ca="1" si="83"/>
        <v>#N/A</v>
      </c>
      <c r="AD139" s="323" t="e">
        <f t="shared" ca="1" si="84"/>
        <v>#N/A</v>
      </c>
      <c r="AE139" s="324">
        <f t="shared" ca="1" si="63"/>
        <v>53.888476406658214</v>
      </c>
      <c r="AG139" s="306">
        <f t="shared" ca="1" si="85"/>
        <v>-13.056671768573546</v>
      </c>
      <c r="AH139" s="304">
        <f t="shared" ca="1" si="86"/>
        <v>-3.3072412661570643</v>
      </c>
    </row>
    <row r="140" spans="1:34" x14ac:dyDescent="0.2">
      <c r="A140" s="347">
        <f t="shared" ca="1" si="64"/>
        <v>0.01</v>
      </c>
      <c r="B140" s="304">
        <f t="shared" ca="1" si="65"/>
        <v>1.360000000000001</v>
      </c>
      <c r="D140" s="306">
        <f t="shared" ca="1" si="66"/>
        <v>-0.36574643492061298</v>
      </c>
      <c r="E140" s="307">
        <f t="shared" ca="1" si="67"/>
        <v>-13.079710748850077</v>
      </c>
      <c r="F140" s="304">
        <f t="shared" ca="1" si="68"/>
        <v>13.084823412191751</v>
      </c>
      <c r="G140" s="306">
        <f t="shared" ca="1" si="69"/>
        <v>5.6311996063557288</v>
      </c>
      <c r="H140" s="307">
        <f t="shared" ca="1" si="70"/>
        <v>50.243864059931667</v>
      </c>
      <c r="I140" s="304">
        <f t="shared" ca="1" si="71"/>
        <v>50.558444247024788</v>
      </c>
      <c r="J140" s="306">
        <f t="shared" ca="1" si="72"/>
        <v>5.5151476623785429</v>
      </c>
      <c r="K140" s="307">
        <f t="shared" ca="1" si="73"/>
        <v>54.391569032794976</v>
      </c>
      <c r="L140" s="304">
        <f t="shared" ca="1" si="58"/>
        <v>54.670464014741462</v>
      </c>
      <c r="M140" s="306">
        <f t="shared" ca="1" si="74"/>
        <v>1.4591847424188642</v>
      </c>
      <c r="N140" s="304">
        <f t="shared" ca="1" si="75"/>
        <v>83.60512727048507</v>
      </c>
      <c r="P140" s="310">
        <f t="shared" ca="1" si="76"/>
        <v>13</v>
      </c>
      <c r="Q140" s="304">
        <f t="shared" ca="1" si="77"/>
        <v>0</v>
      </c>
      <c r="R140" s="306">
        <f t="shared" ca="1" si="78"/>
        <v>0</v>
      </c>
      <c r="S140" s="307">
        <f t="shared" ca="1" si="79"/>
        <v>2.0843000000000003</v>
      </c>
      <c r="T140" s="304">
        <f t="shared" ca="1" si="59"/>
        <v>20.446983000000003</v>
      </c>
      <c r="U140" s="311">
        <f t="shared" ca="1" si="60"/>
        <v>0</v>
      </c>
      <c r="V140" s="306">
        <f t="shared" ca="1" si="61"/>
        <v>1.2183551041091607</v>
      </c>
      <c r="W140" s="304">
        <f t="shared" ca="1" si="62"/>
        <v>6.8219834375682149</v>
      </c>
      <c r="Y140" s="314" t="str">
        <f t="shared" ca="1" si="80"/>
        <v/>
      </c>
      <c r="Z140" s="315" t="str">
        <f t="shared" ca="1" si="81"/>
        <v/>
      </c>
      <c r="AA140" s="316" t="str">
        <f t="shared" ca="1" si="82"/>
        <v/>
      </c>
      <c r="AC140" s="310" t="e">
        <f t="shared" ca="1" si="83"/>
        <v>#N/A</v>
      </c>
      <c r="AD140" s="323" t="e">
        <f t="shared" ca="1" si="84"/>
        <v>#N/A</v>
      </c>
      <c r="AE140" s="324">
        <f t="shared" ca="1" si="63"/>
        <v>54.391569032794976</v>
      </c>
      <c r="AG140" s="306">
        <f t="shared" ca="1" si="85"/>
        <v>-13.03929972150052</v>
      </c>
      <c r="AH140" s="304">
        <f t="shared" ca="1" si="86"/>
        <v>-3.2901031649179129</v>
      </c>
    </row>
    <row r="141" spans="1:34" x14ac:dyDescent="0.2">
      <c r="A141" s="347">
        <f t="shared" ca="1" si="64"/>
        <v>0.01</v>
      </c>
      <c r="B141" s="304">
        <f t="shared" ca="1" si="65"/>
        <v>1.370000000000001</v>
      </c>
      <c r="D141" s="306">
        <f t="shared" ca="1" si="66"/>
        <v>-0.36455046149643955</v>
      </c>
      <c r="E141" s="307">
        <f t="shared" ca="1" si="67"/>
        <v>-13.062668189871907</v>
      </c>
      <c r="F141" s="304">
        <f t="shared" ca="1" si="68"/>
        <v>13.067754102280492</v>
      </c>
      <c r="G141" s="306">
        <f t="shared" ca="1" si="69"/>
        <v>5.6275541017407642</v>
      </c>
      <c r="H141" s="307">
        <f t="shared" ca="1" si="70"/>
        <v>50.113237378032949</v>
      </c>
      <c r="I141" s="304">
        <f t="shared" ca="1" si="71"/>
        <v>50.428225486081679</v>
      </c>
      <c r="J141" s="306">
        <f t="shared" ca="1" si="72"/>
        <v>5.571441430919025</v>
      </c>
      <c r="K141" s="307">
        <f t="shared" ca="1" si="73"/>
        <v>54.893354539984799</v>
      </c>
      <c r="L141" s="304">
        <f t="shared" ca="1" si="58"/>
        <v>55.175368891115092</v>
      </c>
      <c r="M141" s="306">
        <f t="shared" ca="1" si="74"/>
        <v>1.4589680705422061</v>
      </c>
      <c r="N141" s="304">
        <f t="shared" ca="1" si="75"/>
        <v>83.592712886413381</v>
      </c>
      <c r="P141" s="310">
        <f t="shared" ca="1" si="76"/>
        <v>13</v>
      </c>
      <c r="Q141" s="304">
        <f t="shared" ca="1" si="77"/>
        <v>0</v>
      </c>
      <c r="R141" s="306">
        <f t="shared" ca="1" si="78"/>
        <v>0</v>
      </c>
      <c r="S141" s="307">
        <f t="shared" ca="1" si="79"/>
        <v>2.0843000000000003</v>
      </c>
      <c r="T141" s="304">
        <f t="shared" ca="1" si="59"/>
        <v>20.446983000000003</v>
      </c>
      <c r="U141" s="311">
        <f t="shared" ca="1" si="60"/>
        <v>0</v>
      </c>
      <c r="V141" s="306">
        <f t="shared" ca="1" si="61"/>
        <v>1.2182939698932622</v>
      </c>
      <c r="W141" s="304">
        <f t="shared" ca="1" si="62"/>
        <v>6.7865466251552613</v>
      </c>
      <c r="Y141" s="314" t="str">
        <f t="shared" ca="1" si="80"/>
        <v/>
      </c>
      <c r="Z141" s="315" t="str">
        <f t="shared" ca="1" si="81"/>
        <v/>
      </c>
      <c r="AA141" s="316" t="str">
        <f t="shared" ca="1" si="82"/>
        <v/>
      </c>
      <c r="AC141" s="310" t="e">
        <f t="shared" ca="1" si="83"/>
        <v>#N/A</v>
      </c>
      <c r="AD141" s="323" t="e">
        <f t="shared" ca="1" si="84"/>
        <v>#N/A</v>
      </c>
      <c r="AE141" s="324">
        <f t="shared" ca="1" si="63"/>
        <v>54.893354539984799</v>
      </c>
      <c r="AG141" s="306">
        <f t="shared" ca="1" si="85"/>
        <v>-13.021994466254494</v>
      </c>
      <c r="AH141" s="304">
        <f t="shared" ca="1" si="86"/>
        <v>-3.2730333625525185</v>
      </c>
    </row>
    <row r="142" spans="1:34" x14ac:dyDescent="0.2">
      <c r="A142" s="347">
        <f t="shared" ca="1" si="64"/>
        <v>0.01</v>
      </c>
      <c r="B142" s="304">
        <f t="shared" ca="1" si="65"/>
        <v>1.380000000000001</v>
      </c>
      <c r="D142" s="306">
        <f t="shared" ca="1" si="66"/>
        <v>-0.36335789540084312</v>
      </c>
      <c r="E142" s="307">
        <f t="shared" ca="1" si="67"/>
        <v>-13.045693542203766</v>
      </c>
      <c r="F142" s="304">
        <f t="shared" ca="1" si="68"/>
        <v>13.050752811897373</v>
      </c>
      <c r="G142" s="306">
        <f t="shared" ca="1" si="69"/>
        <v>5.6239205227867561</v>
      </c>
      <c r="H142" s="307">
        <f t="shared" ca="1" si="70"/>
        <v>49.98278044261091</v>
      </c>
      <c r="I142" s="304">
        <f t="shared" ca="1" si="71"/>
        <v>50.298179120330687</v>
      </c>
      <c r="J142" s="306">
        <f t="shared" ca="1" si="72"/>
        <v>5.6276988040416622</v>
      </c>
      <c r="K142" s="307">
        <f t="shared" ca="1" si="73"/>
        <v>55.393834629088019</v>
      </c>
      <c r="L142" s="304">
        <f t="shared" ca="1" si="58"/>
        <v>55.678971872186743</v>
      </c>
      <c r="M142" s="306">
        <f t="shared" ca="1" si="74"/>
        <v>1.4587504185030005</v>
      </c>
      <c r="N142" s="304">
        <f t="shared" ca="1" si="75"/>
        <v>83.580242343164485</v>
      </c>
      <c r="P142" s="310">
        <f t="shared" ca="1" si="76"/>
        <v>13</v>
      </c>
      <c r="Q142" s="304">
        <f t="shared" ca="1" si="77"/>
        <v>0</v>
      </c>
      <c r="R142" s="306">
        <f t="shared" ca="1" si="78"/>
        <v>0</v>
      </c>
      <c r="S142" s="307">
        <f t="shared" ca="1" si="79"/>
        <v>2.0843000000000003</v>
      </c>
      <c r="T142" s="304">
        <f t="shared" ca="1" si="59"/>
        <v>20.446983000000003</v>
      </c>
      <c r="U142" s="311">
        <f t="shared" ca="1" si="60"/>
        <v>0</v>
      </c>
      <c r="V142" s="306">
        <f t="shared" ca="1" si="61"/>
        <v>1.2182329977680653</v>
      </c>
      <c r="W142" s="304">
        <f t="shared" ca="1" si="62"/>
        <v>6.7512510140822917</v>
      </c>
      <c r="Y142" s="314" t="str">
        <f t="shared" ca="1" si="80"/>
        <v/>
      </c>
      <c r="Z142" s="315" t="str">
        <f t="shared" ca="1" si="81"/>
        <v/>
      </c>
      <c r="AA142" s="316" t="str">
        <f t="shared" ca="1" si="82"/>
        <v/>
      </c>
      <c r="AC142" s="310" t="e">
        <f t="shared" ca="1" si="83"/>
        <v>#N/A</v>
      </c>
      <c r="AD142" s="323" t="e">
        <f t="shared" ca="1" si="84"/>
        <v>#N/A</v>
      </c>
      <c r="AE142" s="324">
        <f t="shared" ca="1" si="63"/>
        <v>55.393834629088019</v>
      </c>
      <c r="AG142" s="306">
        <f t="shared" ca="1" si="85"/>
        <v>-13.004755712397536</v>
      </c>
      <c r="AH142" s="304">
        <f t="shared" ca="1" si="86"/>
        <v>-3.2560315814207459</v>
      </c>
    </row>
    <row r="143" spans="1:34" x14ac:dyDescent="0.2">
      <c r="A143" s="347">
        <f t="shared" ca="1" si="64"/>
        <v>0.01</v>
      </c>
      <c r="B143" s="304">
        <f t="shared" ca="1" si="65"/>
        <v>1.390000000000001</v>
      </c>
      <c r="D143" s="306">
        <f t="shared" ca="1" si="66"/>
        <v>-0.36216872022059859</v>
      </c>
      <c r="E143" s="307">
        <f t="shared" ca="1" si="67"/>
        <v>-13.028786530254447</v>
      </c>
      <c r="F143" s="304">
        <f t="shared" ca="1" si="68"/>
        <v>13.033819265006167</v>
      </c>
      <c r="G143" s="306">
        <f t="shared" ca="1" si="69"/>
        <v>5.62029883558455</v>
      </c>
      <c r="H143" s="307">
        <f t="shared" ca="1" si="70"/>
        <v>49.852492577308368</v>
      </c>
      <c r="I143" s="304">
        <f t="shared" ca="1" si="71"/>
        <v>50.168304487712746</v>
      </c>
      <c r="J143" s="306">
        <f t="shared" ca="1" si="72"/>
        <v>5.6839199008335184</v>
      </c>
      <c r="K143" s="307">
        <f t="shared" ca="1" si="73"/>
        <v>55.893010994187613</v>
      </c>
      <c r="L143" s="304">
        <f t="shared" ca="1" si="58"/>
        <v>56.181274669016439</v>
      </c>
      <c r="M143" s="306">
        <f t="shared" ca="1" si="74"/>
        <v>1.4585317800737327</v>
      </c>
      <c r="N143" s="304">
        <f t="shared" ca="1" si="75"/>
        <v>83.567715283928067</v>
      </c>
      <c r="P143" s="310">
        <f t="shared" ca="1" si="76"/>
        <v>13</v>
      </c>
      <c r="Q143" s="304">
        <f t="shared" ca="1" si="77"/>
        <v>0</v>
      </c>
      <c r="R143" s="306">
        <f t="shared" ca="1" si="78"/>
        <v>0</v>
      </c>
      <c r="S143" s="307">
        <f t="shared" ca="1" si="79"/>
        <v>2.0843000000000003</v>
      </c>
      <c r="T143" s="304">
        <f t="shared" ca="1" si="59"/>
        <v>20.446983000000003</v>
      </c>
      <c r="U143" s="311">
        <f t="shared" ca="1" si="60"/>
        <v>0</v>
      </c>
      <c r="V143" s="306">
        <f t="shared" ca="1" si="61"/>
        <v>1.2181721875031597</v>
      </c>
      <c r="W143" s="304">
        <f t="shared" ca="1" si="62"/>
        <v>6.716096032378041</v>
      </c>
      <c r="Y143" s="314" t="str">
        <f t="shared" ca="1" si="80"/>
        <v/>
      </c>
      <c r="Z143" s="315" t="str">
        <f t="shared" ca="1" si="81"/>
        <v/>
      </c>
      <c r="AA143" s="316" t="str">
        <f t="shared" ca="1" si="82"/>
        <v/>
      </c>
      <c r="AC143" s="310" t="e">
        <f t="shared" ca="1" si="83"/>
        <v>#N/A</v>
      </c>
      <c r="AD143" s="323" t="e">
        <f t="shared" ca="1" si="84"/>
        <v>#N/A</v>
      </c>
      <c r="AE143" s="324">
        <f t="shared" ca="1" si="63"/>
        <v>55.893010994187613</v>
      </c>
      <c r="AG143" s="306">
        <f t="shared" ca="1" si="85"/>
        <v>-12.987583170971453</v>
      </c>
      <c r="AH143" s="304">
        <f t="shared" ca="1" si="86"/>
        <v>-3.2390975454983884</v>
      </c>
    </row>
    <row r="144" spans="1:34" x14ac:dyDescent="0.2">
      <c r="A144" s="347">
        <f t="shared" ca="1" si="64"/>
        <v>0.01</v>
      </c>
      <c r="B144" s="304">
        <f t="shared" ca="1" si="65"/>
        <v>1.400000000000001</v>
      </c>
      <c r="D144" s="306">
        <f t="shared" ca="1" si="66"/>
        <v>-0.36098291963154078</v>
      </c>
      <c r="E144" s="307">
        <f t="shared" ca="1" si="67"/>
        <v>-13.011946880035394</v>
      </c>
      <c r="F144" s="304">
        <f t="shared" ca="1" si="68"/>
        <v>13.01695318717589</v>
      </c>
      <c r="G144" s="306">
        <f t="shared" ca="1" si="69"/>
        <v>5.6166890063882349</v>
      </c>
      <c r="H144" s="307">
        <f t="shared" ca="1" si="70"/>
        <v>49.722373108508016</v>
      </c>
      <c r="I144" s="304">
        <f t="shared" ca="1" si="71"/>
        <v>50.038600929044406</v>
      </c>
      <c r="J144" s="306">
        <f t="shared" ca="1" si="72"/>
        <v>5.7401048400433821</v>
      </c>
      <c r="K144" s="307">
        <f t="shared" ca="1" si="73"/>
        <v>56.390885322616697</v>
      </c>
      <c r="L144" s="304">
        <f t="shared" ca="1" si="58"/>
        <v>56.682278985968765</v>
      </c>
      <c r="M144" s="306">
        <f t="shared" ca="1" si="74"/>
        <v>1.4583121489736888</v>
      </c>
      <c r="N144" s="304">
        <f t="shared" ca="1" si="75"/>
        <v>83.555131348845734</v>
      </c>
      <c r="P144" s="310">
        <f t="shared" ca="1" si="76"/>
        <v>13</v>
      </c>
      <c r="Q144" s="304">
        <f t="shared" ca="1" si="77"/>
        <v>0</v>
      </c>
      <c r="R144" s="306">
        <f t="shared" ca="1" si="78"/>
        <v>0</v>
      </c>
      <c r="S144" s="307">
        <f t="shared" ca="1" si="79"/>
        <v>2.0843000000000003</v>
      </c>
      <c r="T144" s="304">
        <f t="shared" ca="1" si="59"/>
        <v>20.446983000000003</v>
      </c>
      <c r="U144" s="311">
        <f t="shared" ca="1" si="60"/>
        <v>0</v>
      </c>
      <c r="V144" s="306">
        <f t="shared" ca="1" si="61"/>
        <v>1.2181115388690638</v>
      </c>
      <c r="W144" s="304">
        <f t="shared" ca="1" si="62"/>
        <v>6.681081111395307</v>
      </c>
      <c r="Y144" s="314" t="str">
        <f t="shared" ca="1" si="80"/>
        <v/>
      </c>
      <c r="Z144" s="315" t="str">
        <f t="shared" ca="1" si="81"/>
        <v/>
      </c>
      <c r="AA144" s="316" t="str">
        <f t="shared" ca="1" si="82"/>
        <v/>
      </c>
      <c r="AC144" s="310" t="e">
        <f t="shared" ca="1" si="83"/>
        <v>#N/A</v>
      </c>
      <c r="AD144" s="323" t="e">
        <f t="shared" ca="1" si="84"/>
        <v>#N/A</v>
      </c>
      <c r="AE144" s="324">
        <f t="shared" ca="1" si="63"/>
        <v>56.390885322616697</v>
      </c>
      <c r="AG144" s="306">
        <f t="shared" ca="1" si="85"/>
        <v>-12.970476554485469</v>
      </c>
      <c r="AH144" s="304">
        <f t="shared" ca="1" si="86"/>
        <v>-3.222230980366569</v>
      </c>
    </row>
    <row r="145" spans="1:34" x14ac:dyDescent="0.2">
      <c r="A145" s="347">
        <f t="shared" ca="1" si="64"/>
        <v>0.01</v>
      </c>
      <c r="B145" s="304">
        <f t="shared" ca="1" si="65"/>
        <v>1.410000000000001</v>
      </c>
      <c r="D145" s="306">
        <f t="shared" ca="1" si="66"/>
        <v>-0.35980047739796855</v>
      </c>
      <c r="E145" s="307">
        <f t="shared" ca="1" si="67"/>
        <v>-12.995174319150207</v>
      </c>
      <c r="F145" s="304">
        <f t="shared" ca="1" si="68"/>
        <v>13.000154305570256</v>
      </c>
      <c r="G145" s="306">
        <f t="shared" ca="1" si="69"/>
        <v>5.6130910016142552</v>
      </c>
      <c r="H145" s="307">
        <f t="shared" ca="1" si="70"/>
        <v>49.592421365316511</v>
      </c>
      <c r="I145" s="304">
        <f t="shared" ca="1" si="71"/>
        <v>49.909067788003256</v>
      </c>
      <c r="J145" s="306">
        <f t="shared" ca="1" si="72"/>
        <v>5.7962537400833947</v>
      </c>
      <c r="K145" s="307">
        <f t="shared" ca="1" si="73"/>
        <v>56.887459294985817</v>
      </c>
      <c r="L145" s="304">
        <f t="shared" ca="1" si="58"/>
        <v>57.181986520740068</v>
      </c>
      <c r="M145" s="306">
        <f t="shared" ca="1" si="74"/>
        <v>1.4580915188683901</v>
      </c>
      <c r="N145" s="304">
        <f t="shared" ca="1" si="75"/>
        <v>83.542490174978596</v>
      </c>
      <c r="P145" s="310">
        <f t="shared" ca="1" si="76"/>
        <v>13</v>
      </c>
      <c r="Q145" s="304">
        <f t="shared" ca="1" si="77"/>
        <v>0</v>
      </c>
      <c r="R145" s="306">
        <f t="shared" ca="1" si="78"/>
        <v>0</v>
      </c>
      <c r="S145" s="307">
        <f t="shared" ca="1" si="79"/>
        <v>2.0843000000000003</v>
      </c>
      <c r="T145" s="304">
        <f t="shared" ca="1" si="59"/>
        <v>20.446983000000003</v>
      </c>
      <c r="U145" s="311">
        <f t="shared" ca="1" si="60"/>
        <v>0</v>
      </c>
      <c r="V145" s="306">
        <f t="shared" ca="1" si="61"/>
        <v>1.2180510516372207</v>
      </c>
      <c r="W145" s="304">
        <f t="shared" ca="1" si="62"/>
        <v>6.6462056857891882</v>
      </c>
      <c r="Y145" s="314" t="str">
        <f t="shared" ca="1" si="80"/>
        <v/>
      </c>
      <c r="Z145" s="315" t="str">
        <f t="shared" ca="1" si="81"/>
        <v/>
      </c>
      <c r="AA145" s="316" t="str">
        <f t="shared" ca="1" si="82"/>
        <v/>
      </c>
      <c r="AC145" s="310" t="e">
        <f t="shared" ca="1" si="83"/>
        <v>#N/A</v>
      </c>
      <c r="AD145" s="323" t="e">
        <f t="shared" ca="1" si="84"/>
        <v>#N/A</v>
      </c>
      <c r="AE145" s="324">
        <f t="shared" ca="1" si="63"/>
        <v>56.887459294985817</v>
      </c>
      <c r="AG145" s="306">
        <f t="shared" ca="1" si="85"/>
        <v>-12.953435576903946</v>
      </c>
      <c r="AH145" s="304">
        <f t="shared" ca="1" si="86"/>
        <v>-3.2054316132012217</v>
      </c>
    </row>
    <row r="146" spans="1:34" x14ac:dyDescent="0.2">
      <c r="A146" s="347">
        <f t="shared" ca="1" si="64"/>
        <v>0.01</v>
      </c>
      <c r="B146" s="304">
        <f t="shared" ca="1" si="65"/>
        <v>1.420000000000001</v>
      </c>
      <c r="D146" s="306">
        <f t="shared" ca="1" si="66"/>
        <v>-0.3586213773720518</v>
      </c>
      <c r="E146" s="307">
        <f t="shared" ca="1" si="67"/>
        <v>-12.978468576784213</v>
      </c>
      <c r="F146" s="304">
        <f t="shared" ca="1" si="68"/>
        <v>12.983422348937257</v>
      </c>
      <c r="G146" s="306">
        <f t="shared" ca="1" si="69"/>
        <v>5.6095047878405344</v>
      </c>
      <c r="H146" s="307">
        <f t="shared" ca="1" si="70"/>
        <v>49.462636679548666</v>
      </c>
      <c r="I146" s="304">
        <f t="shared" ca="1" si="71"/>
        <v>49.779704411113563</v>
      </c>
      <c r="J146" s="306">
        <f t="shared" ca="1" si="72"/>
        <v>5.8523667190306687</v>
      </c>
      <c r="K146" s="307">
        <f t="shared" ca="1" si="73"/>
        <v>57.382734585210144</v>
      </c>
      <c r="L146" s="304">
        <f t="shared" ca="1" si="58"/>
        <v>57.680398964385553</v>
      </c>
      <c r="M146" s="306">
        <f t="shared" ca="1" si="74"/>
        <v>1.45786988336902</v>
      </c>
      <c r="N146" s="304">
        <f t="shared" ca="1" si="75"/>
        <v>83.529791396274419</v>
      </c>
      <c r="P146" s="310">
        <f t="shared" ca="1" si="76"/>
        <v>13</v>
      </c>
      <c r="Q146" s="304">
        <f t="shared" ca="1" si="77"/>
        <v>0</v>
      </c>
      <c r="R146" s="306">
        <f t="shared" ca="1" si="78"/>
        <v>0</v>
      </c>
      <c r="S146" s="307">
        <f t="shared" ca="1" si="79"/>
        <v>2.0843000000000003</v>
      </c>
      <c r="T146" s="304">
        <f t="shared" ca="1" si="59"/>
        <v>20.446983000000003</v>
      </c>
      <c r="U146" s="311">
        <f t="shared" ca="1" si="60"/>
        <v>0</v>
      </c>
      <c r="V146" s="306">
        <f t="shared" ca="1" si="61"/>
        <v>1.2179907255799955</v>
      </c>
      <c r="W146" s="304">
        <f t="shared" ca="1" si="62"/>
        <v>6.611469193495517</v>
      </c>
      <c r="Y146" s="314" t="str">
        <f t="shared" ca="1" si="80"/>
        <v/>
      </c>
      <c r="Z146" s="315" t="str">
        <f t="shared" ca="1" si="81"/>
        <v/>
      </c>
      <c r="AA146" s="316" t="str">
        <f t="shared" ca="1" si="82"/>
        <v/>
      </c>
      <c r="AC146" s="310" t="e">
        <f t="shared" ca="1" si="83"/>
        <v>#N/A</v>
      </c>
      <c r="AD146" s="323" t="e">
        <f t="shared" ca="1" si="84"/>
        <v>#N/A</v>
      </c>
      <c r="AE146" s="324">
        <f t="shared" ca="1" si="63"/>
        <v>57.382734585210144</v>
      </c>
      <c r="AG146" s="306">
        <f t="shared" ca="1" si="85"/>
        <v>-12.936459953634143</v>
      </c>
      <c r="AH146" s="304">
        <f t="shared" ca="1" si="86"/>
        <v>-3.1886991727626479</v>
      </c>
    </row>
    <row r="147" spans="1:34" x14ac:dyDescent="0.2">
      <c r="A147" s="347">
        <f t="shared" ca="1" si="64"/>
        <v>0.01</v>
      </c>
      <c r="B147" s="304">
        <f t="shared" ca="1" si="65"/>
        <v>1.430000000000001</v>
      </c>
      <c r="D147" s="306">
        <f t="shared" ca="1" si="66"/>
        <v>-0.35744560349325127</v>
      </c>
      <c r="E147" s="307">
        <f t="shared" ca="1" si="67"/>
        <v>-12.961829383694132</v>
      </c>
      <c r="F147" s="304">
        <f t="shared" ca="1" si="68"/>
        <v>12.966757047598804</v>
      </c>
      <c r="G147" s="306">
        <f t="shared" ca="1" si="69"/>
        <v>5.6059303318056015</v>
      </c>
      <c r="H147" s="307">
        <f t="shared" ca="1" si="70"/>
        <v>49.333018385711725</v>
      </c>
      <c r="I147" s="304">
        <f t="shared" ca="1" si="71"/>
        <v>49.650510147731907</v>
      </c>
      <c r="J147" s="306">
        <f t="shared" ca="1" si="72"/>
        <v>5.9084438946288991</v>
      </c>
      <c r="K147" s="307">
        <f t="shared" ca="1" si="73"/>
        <v>57.876712860536443</v>
      </c>
      <c r="L147" s="304">
        <f t="shared" ca="1" si="58"/>
        <v>58.177518001346208</v>
      </c>
      <c r="M147" s="306">
        <f t="shared" ca="1" si="74"/>
        <v>1.4576472360318447</v>
      </c>
      <c r="N147" s="304">
        <f t="shared" ca="1" si="75"/>
        <v>83.517034643534444</v>
      </c>
      <c r="P147" s="310">
        <f t="shared" ca="1" si="76"/>
        <v>13</v>
      </c>
      <c r="Q147" s="304">
        <f t="shared" ca="1" si="77"/>
        <v>0</v>
      </c>
      <c r="R147" s="306">
        <f t="shared" ca="1" si="78"/>
        <v>0</v>
      </c>
      <c r="S147" s="307">
        <f t="shared" ca="1" si="79"/>
        <v>2.0843000000000003</v>
      </c>
      <c r="T147" s="304">
        <f t="shared" ca="1" si="59"/>
        <v>20.446983000000003</v>
      </c>
      <c r="U147" s="311">
        <f t="shared" ca="1" si="60"/>
        <v>0</v>
      </c>
      <c r="V147" s="306">
        <f t="shared" ca="1" si="61"/>
        <v>1.2179305604706705</v>
      </c>
      <c r="W147" s="304">
        <f t="shared" ca="1" si="62"/>
        <v>6.5768710757094366</v>
      </c>
      <c r="Y147" s="314" t="str">
        <f t="shared" ca="1" si="80"/>
        <v/>
      </c>
      <c r="Z147" s="315" t="str">
        <f t="shared" ca="1" si="81"/>
        <v/>
      </c>
      <c r="AA147" s="316" t="str">
        <f t="shared" ca="1" si="82"/>
        <v/>
      </c>
      <c r="AC147" s="310" t="e">
        <f t="shared" ca="1" si="83"/>
        <v>#N/A</v>
      </c>
      <c r="AD147" s="323" t="e">
        <f t="shared" ca="1" si="84"/>
        <v>#N/A</v>
      </c>
      <c r="AE147" s="324">
        <f t="shared" ca="1" si="63"/>
        <v>57.876712860536443</v>
      </c>
      <c r="AG147" s="306">
        <f t="shared" ca="1" si="85"/>
        <v>-12.919549401514058</v>
      </c>
      <c r="AH147" s="304">
        <f t="shared" ca="1" si="86"/>
        <v>-3.1720333893851729</v>
      </c>
    </row>
    <row r="148" spans="1:34" x14ac:dyDescent="0.2">
      <c r="A148" s="347">
        <f t="shared" ca="1" si="64"/>
        <v>0.01</v>
      </c>
      <c r="B148" s="304">
        <f t="shared" ca="1" si="65"/>
        <v>1.4400000000000011</v>
      </c>
      <c r="D148" s="306">
        <f t="shared" ca="1" si="66"/>
        <v>-0.35627313978773567</v>
      </c>
      <c r="E148" s="307">
        <f t="shared" ca="1" si="67"/>
        <v>-12.945256472197823</v>
      </c>
      <c r="F148" s="304">
        <f t="shared" ca="1" si="68"/>
        <v>12.950158133440448</v>
      </c>
      <c r="G148" s="306">
        <f t="shared" ca="1" si="69"/>
        <v>5.6023676004077245</v>
      </c>
      <c r="H148" s="307">
        <f t="shared" ca="1" si="70"/>
        <v>49.203565820989745</v>
      </c>
      <c r="I148" s="304">
        <f t="shared" ca="1" si="71"/>
        <v>49.521484350033049</v>
      </c>
      <c r="J148" s="306">
        <f t="shared" ca="1" si="72"/>
        <v>5.9644853842899659</v>
      </c>
      <c r="K148" s="307">
        <f t="shared" ca="1" si="73"/>
        <v>58.369395781569949</v>
      </c>
      <c r="L148" s="304">
        <f t="shared" ca="1" si="58"/>
        <v>58.673345309475614</v>
      </c>
      <c r="M148" s="306">
        <f t="shared" ca="1" si="74"/>
        <v>1.4574235703576259</v>
      </c>
      <c r="N148" s="304">
        <f t="shared" ca="1" si="75"/>
        <v>83.504219544379751</v>
      </c>
      <c r="P148" s="310">
        <f t="shared" ca="1" si="76"/>
        <v>13</v>
      </c>
      <c r="Q148" s="304">
        <f t="shared" ca="1" si="77"/>
        <v>0</v>
      </c>
      <c r="R148" s="306">
        <f t="shared" ca="1" si="78"/>
        <v>0</v>
      </c>
      <c r="S148" s="307">
        <f t="shared" ca="1" si="79"/>
        <v>2.0843000000000003</v>
      </c>
      <c r="T148" s="304">
        <f t="shared" ca="1" si="59"/>
        <v>20.446983000000003</v>
      </c>
      <c r="U148" s="311">
        <f t="shared" ca="1" si="60"/>
        <v>0</v>
      </c>
      <c r="V148" s="306">
        <f t="shared" ca="1" si="61"/>
        <v>1.2178705560834411</v>
      </c>
      <c r="W148" s="304">
        <f t="shared" ca="1" si="62"/>
        <v>6.5424107768641599</v>
      </c>
      <c r="Y148" s="314" t="str">
        <f t="shared" ca="1" si="80"/>
        <v/>
      </c>
      <c r="Z148" s="315" t="str">
        <f t="shared" ca="1" si="81"/>
        <v/>
      </c>
      <c r="AA148" s="316" t="str">
        <f t="shared" ca="1" si="82"/>
        <v/>
      </c>
      <c r="AC148" s="310" t="e">
        <f t="shared" ca="1" si="83"/>
        <v>#N/A</v>
      </c>
      <c r="AD148" s="323" t="e">
        <f t="shared" ca="1" si="84"/>
        <v>#N/A</v>
      </c>
      <c r="AE148" s="324">
        <f t="shared" ca="1" si="63"/>
        <v>58.369395781569949</v>
      </c>
      <c r="AG148" s="306">
        <f t="shared" ca="1" si="85"/>
        <v>-12.902703638800318</v>
      </c>
      <c r="AH148" s="304">
        <f t="shared" ca="1" si="86"/>
        <v>-3.1554339949668644</v>
      </c>
    </row>
    <row r="149" spans="1:34" x14ac:dyDescent="0.2">
      <c r="A149" s="347">
        <f t="shared" ca="1" si="64"/>
        <v>0.01</v>
      </c>
      <c r="B149" s="304">
        <f t="shared" ca="1" si="65"/>
        <v>1.4500000000000011</v>
      </c>
      <c r="D149" s="306">
        <f t="shared" ca="1" si="66"/>
        <v>-0.35510397036780389</v>
      </c>
      <c r="E149" s="307">
        <f t="shared" ca="1" si="67"/>
        <v>-12.928749576164094</v>
      </c>
      <c r="F149" s="304">
        <f t="shared" ca="1" si="68"/>
        <v>12.933625339901193</v>
      </c>
      <c r="G149" s="306">
        <f t="shared" ca="1" si="69"/>
        <v>5.5988165607040461</v>
      </c>
      <c r="H149" s="307">
        <f t="shared" ca="1" si="70"/>
        <v>49.074278325228107</v>
      </c>
      <c r="I149" s="304">
        <f t="shared" ca="1" si="71"/>
        <v>49.392626372995871</v>
      </c>
      <c r="J149" s="306">
        <f t="shared" ca="1" si="72"/>
        <v>6.0204913050955247</v>
      </c>
      <c r="K149" s="307">
        <f t="shared" ca="1" si="73"/>
        <v>58.860785002301036</v>
      </c>
      <c r="L149" s="304">
        <f t="shared" ca="1" si="58"/>
        <v>59.16788256006663</v>
      </c>
      <c r="M149" s="306">
        <f t="shared" ca="1" si="74"/>
        <v>1.4571988797910256</v>
      </c>
      <c r="N149" s="304">
        <f t="shared" ca="1" si="75"/>
        <v>83.491345723217151</v>
      </c>
      <c r="P149" s="310">
        <f t="shared" ca="1" si="76"/>
        <v>13</v>
      </c>
      <c r="Q149" s="304">
        <f t="shared" ca="1" si="77"/>
        <v>0</v>
      </c>
      <c r="R149" s="306">
        <f t="shared" ca="1" si="78"/>
        <v>0</v>
      </c>
      <c r="S149" s="307">
        <f t="shared" ca="1" si="79"/>
        <v>2.0843000000000003</v>
      </c>
      <c r="T149" s="304">
        <f t="shared" ca="1" si="59"/>
        <v>20.446983000000003</v>
      </c>
      <c r="U149" s="311">
        <f t="shared" ca="1" si="60"/>
        <v>0</v>
      </c>
      <c r="V149" s="306">
        <f t="shared" ca="1" si="61"/>
        <v>1.2178107121934134</v>
      </c>
      <c r="W149" s="304">
        <f t="shared" ca="1" si="62"/>
        <v>6.5080877446098997</v>
      </c>
      <c r="Y149" s="314" t="str">
        <f t="shared" ca="1" si="80"/>
        <v/>
      </c>
      <c r="Z149" s="315" t="str">
        <f t="shared" ca="1" si="81"/>
        <v/>
      </c>
      <c r="AA149" s="316" t="str">
        <f t="shared" ca="1" si="82"/>
        <v/>
      </c>
      <c r="AC149" s="310" t="e">
        <f t="shared" ca="1" si="83"/>
        <v>#N/A</v>
      </c>
      <c r="AD149" s="323" t="e">
        <f t="shared" ca="1" si="84"/>
        <v>#N/A</v>
      </c>
      <c r="AE149" s="324">
        <f t="shared" ca="1" si="63"/>
        <v>58.860785002301036</v>
      </c>
      <c r="AG149" s="306">
        <f t="shared" ca="1" si="85"/>
        <v>-12.885922385156091</v>
      </c>
      <c r="AH149" s="304">
        <f t="shared" ca="1" si="86"/>
        <v>-3.1389007229593431</v>
      </c>
    </row>
    <row r="150" spans="1:34" x14ac:dyDescent="0.2">
      <c r="A150" s="347">
        <f t="shared" ca="1" si="64"/>
        <v>0.01</v>
      </c>
      <c r="B150" s="304">
        <f t="shared" ca="1" si="65"/>
        <v>1.4600000000000011</v>
      </c>
      <c r="D150" s="306">
        <f t="shared" ca="1" si="66"/>
        <v>-0.35393807943131855</v>
      </c>
      <c r="E150" s="307">
        <f t="shared" ca="1" si="67"/>
        <v>-12.912308431002618</v>
      </c>
      <c r="F150" s="304">
        <f t="shared" ca="1" si="68"/>
        <v>12.917158401963368</v>
      </c>
      <c r="G150" s="306">
        <f t="shared" ca="1" si="69"/>
        <v>5.5952771799097327</v>
      </c>
      <c r="H150" s="307">
        <f t="shared" ca="1" si="70"/>
        <v>48.945155240918083</v>
      </c>
      <c r="I150" s="304">
        <f t="shared" ca="1" si="71"/>
        <v>49.2639355743894</v>
      </c>
      <c r="J150" s="306">
        <f t="shared" ca="1" si="72"/>
        <v>6.0764617737985933</v>
      </c>
      <c r="K150" s="307">
        <f t="shared" ca="1" si="73"/>
        <v>59.350882170131769</v>
      </c>
      <c r="L150" s="304">
        <f t="shared" ca="1" si="58"/>
        <v>59.661131417877925</v>
      </c>
      <c r="M150" s="306">
        <f t="shared" ca="1" si="74"/>
        <v>1.4569731577200036</v>
      </c>
      <c r="N150" s="304">
        <f t="shared" ca="1" si="75"/>
        <v>83.478412801204641</v>
      </c>
      <c r="P150" s="310">
        <f t="shared" ca="1" si="76"/>
        <v>13</v>
      </c>
      <c r="Q150" s="304">
        <f t="shared" ca="1" si="77"/>
        <v>0</v>
      </c>
      <c r="R150" s="306">
        <f t="shared" ca="1" si="78"/>
        <v>0</v>
      </c>
      <c r="S150" s="307">
        <f t="shared" ca="1" si="79"/>
        <v>2.0843000000000003</v>
      </c>
      <c r="T150" s="304">
        <f t="shared" ca="1" si="59"/>
        <v>20.446983000000003</v>
      </c>
      <c r="U150" s="311">
        <f t="shared" ca="1" si="60"/>
        <v>0</v>
      </c>
      <c r="V150" s="306">
        <f t="shared" ca="1" si="61"/>
        <v>1.2177510285765991</v>
      </c>
      <c r="W150" s="304">
        <f t="shared" ca="1" si="62"/>
        <v>6.4739014297929494</v>
      </c>
      <c r="Y150" s="314" t="str">
        <f t="shared" ca="1" si="80"/>
        <v/>
      </c>
      <c r="Z150" s="315" t="str">
        <f t="shared" ca="1" si="81"/>
        <v/>
      </c>
      <c r="AA150" s="316" t="str">
        <f t="shared" ca="1" si="82"/>
        <v/>
      </c>
      <c r="AC150" s="310" t="e">
        <f t="shared" ca="1" si="83"/>
        <v>#N/A</v>
      </c>
      <c r="AD150" s="323" t="e">
        <f t="shared" ca="1" si="84"/>
        <v>#N/A</v>
      </c>
      <c r="AE150" s="324">
        <f t="shared" ca="1" si="63"/>
        <v>59.350882170131769</v>
      </c>
      <c r="AG150" s="306">
        <f t="shared" ca="1" si="85"/>
        <v>-12.869205361639111</v>
      </c>
      <c r="AH150" s="304">
        <f t="shared" ca="1" si="86"/>
        <v>-3.1224333083576736</v>
      </c>
    </row>
    <row r="151" spans="1:34" x14ac:dyDescent="0.2">
      <c r="A151" s="347">
        <f t="shared" ca="1" si="64"/>
        <v>0.01</v>
      </c>
      <c r="B151" s="304">
        <f t="shared" ca="1" si="65"/>
        <v>1.4700000000000011</v>
      </c>
      <c r="D151" s="306">
        <f t="shared" ca="1" si="66"/>
        <v>-0.35277545126113607</v>
      </c>
      <c r="E151" s="307">
        <f t="shared" ca="1" si="67"/>
        <v>-12.895932773653906</v>
      </c>
      <c r="F151" s="304">
        <f t="shared" ca="1" si="68"/>
        <v>12.900757056142613</v>
      </c>
      <c r="G151" s="306">
        <f t="shared" ca="1" si="69"/>
        <v>5.5917494253971212</v>
      </c>
      <c r="H151" s="307">
        <f t="shared" ca="1" si="70"/>
        <v>48.816195913181545</v>
      </c>
      <c r="I151" s="304">
        <f t="shared" ca="1" si="71"/>
        <v>49.135411314759054</v>
      </c>
      <c r="J151" s="306">
        <f t="shared" ca="1" si="72"/>
        <v>6.1323969068251278</v>
      </c>
      <c r="K151" s="307">
        <f t="shared" ca="1" si="73"/>
        <v>59.839688925902266</v>
      </c>
      <c r="L151" s="304">
        <f t="shared" ca="1" si="58"/>
        <v>60.153093541160366</v>
      </c>
      <c r="M151" s="306">
        <f t="shared" ca="1" si="74"/>
        <v>1.456746397475208</v>
      </c>
      <c r="N151" s="304">
        <f t="shared" ca="1" si="75"/>
        <v>83.465420396216501</v>
      </c>
      <c r="P151" s="310">
        <f t="shared" ca="1" si="76"/>
        <v>13</v>
      </c>
      <c r="Q151" s="304">
        <f t="shared" ca="1" si="77"/>
        <v>0</v>
      </c>
      <c r="R151" s="306">
        <f t="shared" ca="1" si="78"/>
        <v>0</v>
      </c>
      <c r="S151" s="307">
        <f t="shared" ca="1" si="79"/>
        <v>2.0843000000000003</v>
      </c>
      <c r="T151" s="304">
        <f t="shared" ca="1" si="59"/>
        <v>20.446983000000003</v>
      </c>
      <c r="U151" s="311">
        <f t="shared" ca="1" si="60"/>
        <v>0</v>
      </c>
      <c r="V151" s="306">
        <f t="shared" ca="1" si="61"/>
        <v>1.2176915050099133</v>
      </c>
      <c r="W151" s="304">
        <f t="shared" ca="1" si="62"/>
        <v>6.4398512864349451</v>
      </c>
      <c r="Y151" s="314" t="str">
        <f t="shared" ca="1" si="80"/>
        <v/>
      </c>
      <c r="Z151" s="315" t="str">
        <f t="shared" ca="1" si="81"/>
        <v/>
      </c>
      <c r="AA151" s="316" t="str">
        <f t="shared" ca="1" si="82"/>
        <v/>
      </c>
      <c r="AC151" s="310" t="e">
        <f t="shared" ca="1" si="83"/>
        <v>#N/A</v>
      </c>
      <c r="AD151" s="323" t="e">
        <f t="shared" ca="1" si="84"/>
        <v>#N/A</v>
      </c>
      <c r="AE151" s="324">
        <f t="shared" ca="1" si="63"/>
        <v>59.839688925902266</v>
      </c>
      <c r="AG151" s="306">
        <f t="shared" ca="1" si="85"/>
        <v>-12.852552290689685</v>
      </c>
      <c r="AH151" s="304">
        <f t="shared" ca="1" si="86"/>
        <v>-3.106031487690327</v>
      </c>
    </row>
    <row r="152" spans="1:34" x14ac:dyDescent="0.2">
      <c r="A152" s="347">
        <f t="shared" ca="1" si="64"/>
        <v>0.01</v>
      </c>
      <c r="B152" s="304">
        <f t="shared" ca="1" si="65"/>
        <v>1.4800000000000011</v>
      </c>
      <c r="D152" s="306">
        <f t="shared" ca="1" si="66"/>
        <v>-0.35161607022454505</v>
      </c>
      <c r="E152" s="307">
        <f t="shared" ca="1" si="67"/>
        <v>-12.879622342579379</v>
      </c>
      <c r="F152" s="304">
        <f t="shared" ca="1" si="68"/>
        <v>12.884421040477919</v>
      </c>
      <c r="G152" s="306">
        <f t="shared" ca="1" si="69"/>
        <v>5.5882332646948756</v>
      </c>
      <c r="H152" s="307">
        <f t="shared" ca="1" si="70"/>
        <v>48.68739968975575</v>
      </c>
      <c r="I152" s="304">
        <f t="shared" ca="1" si="71"/>
        <v>49.007052957412881</v>
      </c>
      <c r="J152" s="306">
        <f t="shared" ca="1" si="72"/>
        <v>6.1882968202755881</v>
      </c>
      <c r="K152" s="307">
        <f t="shared" ca="1" si="73"/>
        <v>60.327206903916952</v>
      </c>
      <c r="L152" s="304">
        <f t="shared" ca="1" si="58"/>
        <v>60.643770581683306</v>
      </c>
      <c r="M152" s="306">
        <f t="shared" ca="1" si="74"/>
        <v>1.4565185923293562</v>
      </c>
      <c r="N152" s="304">
        <f t="shared" ca="1" si="75"/>
        <v>83.452368122807826</v>
      </c>
      <c r="P152" s="310">
        <f t="shared" ca="1" si="76"/>
        <v>13</v>
      </c>
      <c r="Q152" s="304">
        <f t="shared" ca="1" si="77"/>
        <v>0</v>
      </c>
      <c r="R152" s="306">
        <f t="shared" ca="1" si="78"/>
        <v>0</v>
      </c>
      <c r="S152" s="307">
        <f t="shared" ca="1" si="79"/>
        <v>2.0843000000000003</v>
      </c>
      <c r="T152" s="304">
        <f t="shared" ca="1" si="59"/>
        <v>20.446983000000003</v>
      </c>
      <c r="U152" s="311">
        <f t="shared" ca="1" si="60"/>
        <v>0</v>
      </c>
      <c r="V152" s="306">
        <f t="shared" ca="1" si="61"/>
        <v>1.217632141271169</v>
      </c>
      <c r="W152" s="304">
        <f t="shared" ca="1" si="62"/>
        <v>6.4059367717122724</v>
      </c>
      <c r="Y152" s="314" t="str">
        <f t="shared" ca="1" si="80"/>
        <v/>
      </c>
      <c r="Z152" s="315" t="str">
        <f t="shared" ca="1" si="81"/>
        <v/>
      </c>
      <c r="AA152" s="316" t="str">
        <f t="shared" ca="1" si="82"/>
        <v/>
      </c>
      <c r="AC152" s="310" t="e">
        <f t="shared" ca="1" si="83"/>
        <v>#N/A</v>
      </c>
      <c r="AD152" s="323" t="e">
        <f t="shared" ca="1" si="84"/>
        <v>#N/A</v>
      </c>
      <c r="AE152" s="324">
        <f t="shared" ca="1" si="63"/>
        <v>60.327206903916952</v>
      </c>
      <c r="AG152" s="306">
        <f t="shared" ca="1" si="85"/>
        <v>-12.835962896118811</v>
      </c>
      <c r="AH152" s="304">
        <f t="shared" ca="1" si="86"/>
        <v>-3.0896949990092328</v>
      </c>
    </row>
    <row r="153" spans="1:34" x14ac:dyDescent="0.2">
      <c r="A153" s="347">
        <f t="shared" ca="1" si="64"/>
        <v>0.01</v>
      </c>
      <c r="B153" s="304">
        <f t="shared" ca="1" si="65"/>
        <v>1.4900000000000011</v>
      </c>
      <c r="D153" s="306">
        <f t="shared" ca="1" si="66"/>
        <v>-0.35045992077270999</v>
      </c>
      <c r="E153" s="307">
        <f t="shared" ca="1" si="67"/>
        <v>-12.863376877751492</v>
      </c>
      <c r="F153" s="304">
        <f t="shared" ca="1" si="68"/>
        <v>12.868150094521734</v>
      </c>
      <c r="G153" s="306">
        <f t="shared" ca="1" si="69"/>
        <v>5.5847286654871482</v>
      </c>
      <c r="H153" s="307">
        <f t="shared" ca="1" si="70"/>
        <v>48.558765920978239</v>
      </c>
      <c r="I153" s="304">
        <f t="shared" ca="1" si="71"/>
        <v>48.878859868408057</v>
      </c>
      <c r="J153" s="306">
        <f t="shared" ca="1" si="72"/>
        <v>6.2441616299264986</v>
      </c>
      <c r="K153" s="307">
        <f t="shared" ca="1" si="73"/>
        <v>60.813437731970623</v>
      </c>
      <c r="L153" s="304">
        <f t="shared" ca="1" si="58"/>
        <v>61.133164184760751</v>
      </c>
      <c r="M153" s="306">
        <f t="shared" ca="1" si="74"/>
        <v>1.4562897354966098</v>
      </c>
      <c r="N153" s="304">
        <f t="shared" ca="1" si="75"/>
        <v>83.439255592178725</v>
      </c>
      <c r="P153" s="310">
        <f t="shared" ca="1" si="76"/>
        <v>13</v>
      </c>
      <c r="Q153" s="304">
        <f t="shared" ca="1" si="77"/>
        <v>0</v>
      </c>
      <c r="R153" s="306">
        <f t="shared" ca="1" si="78"/>
        <v>0</v>
      </c>
      <c r="S153" s="307">
        <f t="shared" ca="1" si="79"/>
        <v>2.0843000000000003</v>
      </c>
      <c r="T153" s="304">
        <f t="shared" ca="1" si="59"/>
        <v>20.446983000000003</v>
      </c>
      <c r="U153" s="311">
        <f t="shared" ca="1" si="60"/>
        <v>0</v>
      </c>
      <c r="V153" s="306">
        <f t="shared" ca="1" si="61"/>
        <v>1.2175729371390751</v>
      </c>
      <c r="W153" s="304">
        <f t="shared" ca="1" si="62"/>
        <v>6.3721573459356629</v>
      </c>
      <c r="Y153" s="314" t="str">
        <f t="shared" ca="1" si="80"/>
        <v/>
      </c>
      <c r="Z153" s="315" t="str">
        <f t="shared" ca="1" si="81"/>
        <v/>
      </c>
      <c r="AA153" s="316" t="str">
        <f t="shared" ca="1" si="82"/>
        <v/>
      </c>
      <c r="AC153" s="310" t="e">
        <f t="shared" ca="1" si="83"/>
        <v>#N/A</v>
      </c>
      <c r="AD153" s="323" t="e">
        <f t="shared" ca="1" si="84"/>
        <v>#N/A</v>
      </c>
      <c r="AE153" s="324">
        <f t="shared" ca="1" si="63"/>
        <v>60.813437731970623</v>
      </c>
      <c r="AG153" s="306">
        <f t="shared" ca="1" si="85"/>
        <v>-12.819436903096307</v>
      </c>
      <c r="AH153" s="304">
        <f t="shared" ca="1" si="86"/>
        <v>-3.0734235818798981</v>
      </c>
    </row>
    <row r="154" spans="1:34" x14ac:dyDescent="0.2">
      <c r="A154" s="347">
        <f t="shared" ca="1" si="64"/>
        <v>0.01</v>
      </c>
      <c r="B154" s="304">
        <f t="shared" ca="1" si="65"/>
        <v>1.5000000000000011</v>
      </c>
      <c r="D154" s="306">
        <f t="shared" ca="1" si="66"/>
        <v>-0.34930698744011707</v>
      </c>
      <c r="E154" s="307">
        <f t="shared" ca="1" si="67"/>
        <v>-12.847196120643966</v>
      </c>
      <c r="F154" s="304">
        <f t="shared" ca="1" si="68"/>
        <v>12.851943959330194</v>
      </c>
      <c r="G154" s="306">
        <f t="shared" ca="1" si="69"/>
        <v>5.5812355956127471</v>
      </c>
      <c r="H154" s="307">
        <f t="shared" ca="1" si="70"/>
        <v>48.430293959771802</v>
      </c>
      <c r="I154" s="304">
        <f t="shared" ca="1" si="71"/>
        <v>48.750831416537338</v>
      </c>
      <c r="J154" s="306">
        <f t="shared" ca="1" si="72"/>
        <v>6.2999914512319979</v>
      </c>
      <c r="K154" s="307">
        <f t="shared" ca="1" si="73"/>
        <v>61.298383031374371</v>
      </c>
      <c r="L154" s="304">
        <f t="shared" ca="1" si="58"/>
        <v>61.621275989277287</v>
      </c>
      <c r="M154" s="306">
        <f t="shared" ca="1" si="74"/>
        <v>1.4560598201319397</v>
      </c>
      <c r="N154" s="304">
        <f t="shared" ca="1" si="75"/>
        <v>83.426082412137916</v>
      </c>
      <c r="P154" s="310">
        <f t="shared" ca="1" si="76"/>
        <v>13</v>
      </c>
      <c r="Q154" s="304">
        <f t="shared" ca="1" si="77"/>
        <v>0</v>
      </c>
      <c r="R154" s="306">
        <f t="shared" ca="1" si="78"/>
        <v>0</v>
      </c>
      <c r="S154" s="307">
        <f t="shared" ca="1" si="79"/>
        <v>2.0843000000000003</v>
      </c>
      <c r="T154" s="304">
        <f t="shared" ca="1" si="59"/>
        <v>20.446983000000003</v>
      </c>
      <c r="U154" s="311">
        <f t="shared" ca="1" si="60"/>
        <v>0</v>
      </c>
      <c r="V154" s="306">
        <f t="shared" ca="1" si="61"/>
        <v>1.2175138923932312</v>
      </c>
      <c r="W154" s="304">
        <f t="shared" ca="1" si="62"/>
        <v>6.338512472529902</v>
      </c>
      <c r="Y154" s="314" t="str">
        <f t="shared" ca="1" si="80"/>
        <v/>
      </c>
      <c r="Z154" s="315" t="str">
        <f t="shared" ca="1" si="81"/>
        <v/>
      </c>
      <c r="AA154" s="316" t="str">
        <f t="shared" ca="1" si="82"/>
        <v/>
      </c>
      <c r="AC154" s="310" t="e">
        <f t="shared" ca="1" si="83"/>
        <v>#N/A</v>
      </c>
      <c r="AD154" s="323" t="e">
        <f t="shared" ca="1" si="84"/>
        <v>#N/A</v>
      </c>
      <c r="AE154" s="324">
        <f t="shared" ca="1" si="63"/>
        <v>61.298383031374371</v>
      </c>
      <c r="AG154" s="306">
        <f t="shared" ca="1" si="85"/>
        <v>-12.802974038138986</v>
      </c>
      <c r="AH154" s="304">
        <f t="shared" ca="1" si="86"/>
        <v>-3.0572169773716174</v>
      </c>
    </row>
    <row r="155" spans="1:34" x14ac:dyDescent="0.2">
      <c r="A155" s="347">
        <f t="shared" ca="1" si="64"/>
        <v>0.01</v>
      </c>
      <c r="B155" s="304">
        <f t="shared" ca="1" si="65"/>
        <v>1.5100000000000011</v>
      </c>
      <c r="D155" s="306">
        <f t="shared" ca="1" si="66"/>
        <v>-0.34815725484402538</v>
      </c>
      <c r="E155" s="307">
        <f t="shared" ca="1" si="67"/>
        <v>-12.831079814222065</v>
      </c>
      <c r="F155" s="304">
        <f t="shared" ca="1" si="68"/>
        <v>12.835802377453366</v>
      </c>
      <c r="G155" s="306">
        <f t="shared" ca="1" si="69"/>
        <v>5.5777540230643066</v>
      </c>
      <c r="H155" s="307">
        <f t="shared" ca="1" si="70"/>
        <v>48.301983161629579</v>
      </c>
      <c r="I155" s="304">
        <f t="shared" ca="1" si="71"/>
        <v>48.622966973315783</v>
      </c>
      <c r="J155" s="306">
        <f t="shared" ca="1" si="72"/>
        <v>6.3557863993253836</v>
      </c>
      <c r="K155" s="307">
        <f t="shared" ca="1" si="73"/>
        <v>61.782044416981378</v>
      </c>
      <c r="L155" s="304">
        <f t="shared" ca="1" si="58"/>
        <v>62.108107627714027</v>
      </c>
      <c r="M155" s="306">
        <f t="shared" ca="1" si="74"/>
        <v>1.4558288393304837</v>
      </c>
      <c r="N155" s="304">
        <f t="shared" ca="1" si="75"/>
        <v>83.412848187065947</v>
      </c>
      <c r="P155" s="310">
        <f t="shared" ca="1" si="76"/>
        <v>13</v>
      </c>
      <c r="Q155" s="304">
        <f t="shared" ca="1" si="77"/>
        <v>0</v>
      </c>
      <c r="R155" s="306">
        <f t="shared" ca="1" si="78"/>
        <v>0</v>
      </c>
      <c r="S155" s="307">
        <f t="shared" ca="1" si="79"/>
        <v>2.0843000000000003</v>
      </c>
      <c r="T155" s="304">
        <f t="shared" ca="1" si="59"/>
        <v>20.446983000000003</v>
      </c>
      <c r="U155" s="311">
        <f t="shared" ca="1" si="60"/>
        <v>0</v>
      </c>
      <c r="V155" s="306">
        <f t="shared" ca="1" si="61"/>
        <v>1.2174550068141268</v>
      </c>
      <c r="W155" s="304">
        <f t="shared" ca="1" si="62"/>
        <v>6.3050016180137591</v>
      </c>
      <c r="Y155" s="314" t="str">
        <f t="shared" ca="1" si="80"/>
        <v/>
      </c>
      <c r="Z155" s="315" t="str">
        <f t="shared" ca="1" si="81"/>
        <v/>
      </c>
      <c r="AA155" s="316" t="str">
        <f t="shared" ca="1" si="82"/>
        <v/>
      </c>
      <c r="AC155" s="310" t="e">
        <f t="shared" ca="1" si="83"/>
        <v>#N/A</v>
      </c>
      <c r="AD155" s="323" t="e">
        <f t="shared" ca="1" si="84"/>
        <v>#N/A</v>
      </c>
      <c r="AE155" s="324">
        <f t="shared" ca="1" si="63"/>
        <v>61.782044416981378</v>
      </c>
      <c r="AG155" s="306">
        <f t="shared" ca="1" si="85"/>
        <v>-12.786574029098901</v>
      </c>
      <c r="AH155" s="304">
        <f t="shared" ca="1" si="86"/>
        <v>-3.0410749280477383</v>
      </c>
    </row>
    <row r="156" spans="1:34" x14ac:dyDescent="0.2">
      <c r="A156" s="347">
        <f t="shared" ca="1" si="64"/>
        <v>0.01</v>
      </c>
      <c r="B156" s="304">
        <f t="shared" ca="1" si="65"/>
        <v>1.5200000000000011</v>
      </c>
      <c r="D156" s="306">
        <f t="shared" ca="1" si="66"/>
        <v>-0.34701070768392522</v>
      </c>
      <c r="E156" s="307">
        <f t="shared" ca="1" si="67"/>
        <v>-12.81502770293298</v>
      </c>
      <c r="F156" s="304">
        <f t="shared" ca="1" si="68"/>
        <v>12.819725092925628</v>
      </c>
      <c r="G156" s="306">
        <f t="shared" ca="1" si="69"/>
        <v>5.5742839159874675</v>
      </c>
      <c r="H156" s="307">
        <f t="shared" ca="1" si="70"/>
        <v>48.173832884600252</v>
      </c>
      <c r="I156" s="304">
        <f t="shared" ca="1" si="71"/>
        <v>48.495265912967518</v>
      </c>
      <c r="J156" s="306">
        <f t="shared" ca="1" si="72"/>
        <v>6.4115465890206425</v>
      </c>
      <c r="K156" s="307">
        <f t="shared" ca="1" si="73"/>
        <v>62.264423497212526</v>
      </c>
      <c r="L156" s="304">
        <f t="shared" ca="1" si="58"/>
        <v>62.593660726174292</v>
      </c>
      <c r="M156" s="306">
        <f t="shared" ca="1" si="74"/>
        <v>1.4555967861268964</v>
      </c>
      <c r="N156" s="304">
        <f t="shared" ca="1" si="75"/>
        <v>83.399552517877893</v>
      </c>
      <c r="P156" s="310">
        <f t="shared" ca="1" si="76"/>
        <v>13</v>
      </c>
      <c r="Q156" s="304">
        <f t="shared" ca="1" si="77"/>
        <v>0</v>
      </c>
      <c r="R156" s="306">
        <f t="shared" ca="1" si="78"/>
        <v>0</v>
      </c>
      <c r="S156" s="307">
        <f t="shared" ca="1" si="79"/>
        <v>2.0843000000000003</v>
      </c>
      <c r="T156" s="304">
        <f t="shared" ca="1" si="59"/>
        <v>20.446983000000003</v>
      </c>
      <c r="U156" s="311">
        <f t="shared" ca="1" si="60"/>
        <v>0</v>
      </c>
      <c r="V156" s="306">
        <f t="shared" ca="1" si="61"/>
        <v>1.2173962801831331</v>
      </c>
      <c r="W156" s="304">
        <f t="shared" ca="1" si="62"/>
        <v>6.2716242519800129</v>
      </c>
      <c r="Y156" s="314" t="str">
        <f t="shared" ca="1" si="80"/>
        <v/>
      </c>
      <c r="Z156" s="315" t="str">
        <f t="shared" ca="1" si="81"/>
        <v/>
      </c>
      <c r="AA156" s="316" t="str">
        <f t="shared" ca="1" si="82"/>
        <v/>
      </c>
      <c r="AC156" s="310" t="e">
        <f t="shared" ca="1" si="83"/>
        <v>#N/A</v>
      </c>
      <c r="AD156" s="323" t="e">
        <f t="shared" ca="1" si="84"/>
        <v>#N/A</v>
      </c>
      <c r="AE156" s="324">
        <f t="shared" ca="1" si="63"/>
        <v>62.264423497212526</v>
      </c>
      <c r="AG156" s="306">
        <f t="shared" ca="1" si="85"/>
        <v>-12.770236605151625</v>
      </c>
      <c r="AH156" s="304">
        <f t="shared" ca="1" si="86"/>
        <v>-3.0249971779560325</v>
      </c>
    </row>
    <row r="157" spans="1:34" x14ac:dyDescent="0.2">
      <c r="A157" s="347">
        <f t="shared" ca="1" si="64"/>
        <v>0.01</v>
      </c>
      <c r="B157" s="304">
        <f t="shared" ca="1" si="65"/>
        <v>1.5300000000000011</v>
      </c>
      <c r="D157" s="306">
        <f t="shared" ca="1" si="66"/>
        <v>-0.34586733074099441</v>
      </c>
      <c r="E157" s="307">
        <f t="shared" ca="1" si="67"/>
        <v>-12.799039532696259</v>
      </c>
      <c r="F157" s="304">
        <f t="shared" ca="1" si="68"/>
        <v>12.803711851256086</v>
      </c>
      <c r="G157" s="306">
        <f t="shared" ca="1" si="69"/>
        <v>5.5708252426800575</v>
      </c>
      <c r="H157" s="307">
        <f t="shared" ca="1" si="70"/>
        <v>48.045842489273291</v>
      </c>
      <c r="I157" s="304">
        <f t="shared" ca="1" si="71"/>
        <v>48.367727612412601</v>
      </c>
      <c r="J157" s="306">
        <f t="shared" ca="1" si="72"/>
        <v>6.4672721348139799</v>
      </c>
      <c r="K157" s="307">
        <f t="shared" ca="1" si="73"/>
        <v>62.745521874081895</v>
      </c>
      <c r="L157" s="304">
        <f t="shared" ca="1" si="58"/>
        <v>63.077936904409221</v>
      </c>
      <c r="M157" s="306">
        <f t="shared" ca="1" si="74"/>
        <v>1.455363653494689</v>
      </c>
      <c r="N157" s="304">
        <f t="shared" ca="1" si="75"/>
        <v>83.386195001985641</v>
      </c>
      <c r="P157" s="310">
        <f t="shared" ca="1" si="76"/>
        <v>13</v>
      </c>
      <c r="Q157" s="304">
        <f t="shared" ca="1" si="77"/>
        <v>0</v>
      </c>
      <c r="R157" s="306">
        <f t="shared" ca="1" si="78"/>
        <v>0</v>
      </c>
      <c r="S157" s="307">
        <f t="shared" ca="1" si="79"/>
        <v>2.0843000000000003</v>
      </c>
      <c r="T157" s="304">
        <f t="shared" ca="1" si="59"/>
        <v>20.446983000000003</v>
      </c>
      <c r="U157" s="311">
        <f t="shared" ca="1" si="60"/>
        <v>0</v>
      </c>
      <c r="V157" s="306">
        <f t="shared" ca="1" si="61"/>
        <v>1.2173377122825042</v>
      </c>
      <c r="W157" s="304">
        <f t="shared" ca="1" si="62"/>
        <v>6.2383798470756675</v>
      </c>
      <c r="Y157" s="314" t="str">
        <f t="shared" ca="1" si="80"/>
        <v/>
      </c>
      <c r="Z157" s="315" t="str">
        <f t="shared" ca="1" si="81"/>
        <v/>
      </c>
      <c r="AA157" s="316" t="str">
        <f t="shared" ca="1" si="82"/>
        <v/>
      </c>
      <c r="AC157" s="310" t="e">
        <f t="shared" ca="1" si="83"/>
        <v>#N/A</v>
      </c>
      <c r="AD157" s="323" t="e">
        <f t="shared" ca="1" si="84"/>
        <v>#N/A</v>
      </c>
      <c r="AE157" s="324">
        <f t="shared" ca="1" si="63"/>
        <v>62.745521874081895</v>
      </c>
      <c r="AG157" s="306">
        <f t="shared" ca="1" si="85"/>
        <v>-12.753961496784566</v>
      </c>
      <c r="AH157" s="304">
        <f t="shared" ca="1" si="86"/>
        <v>-3.0089834726191107</v>
      </c>
    </row>
    <row r="158" spans="1:34" x14ac:dyDescent="0.2">
      <c r="A158" s="347">
        <f t="shared" ca="1" si="64"/>
        <v>0.01</v>
      </c>
      <c r="B158" s="304">
        <f t="shared" ca="1" si="65"/>
        <v>1.5400000000000011</v>
      </c>
      <c r="D158" s="306">
        <f t="shared" ca="1" si="66"/>
        <v>-0.34472710887756625</v>
      </c>
      <c r="E158" s="307">
        <f t="shared" ca="1" si="67"/>
        <v>-12.783115050894327</v>
      </c>
      <c r="F158" s="304">
        <f t="shared" ca="1" si="68"/>
        <v>12.787762399419069</v>
      </c>
      <c r="G158" s="306">
        <f t="shared" ca="1" si="69"/>
        <v>5.5673779715912817</v>
      </c>
      <c r="H158" s="307">
        <f t="shared" ca="1" si="70"/>
        <v>47.918011338764344</v>
      </c>
      <c r="I158" s="304">
        <f t="shared" ca="1" si="71"/>
        <v>48.240351451254043</v>
      </c>
      <c r="J158" s="306">
        <f t="shared" ca="1" si="72"/>
        <v>6.522963150885337</v>
      </c>
      <c r="K158" s="307">
        <f t="shared" ca="1" si="73"/>
        <v>63.225341143222082</v>
      </c>
      <c r="L158" s="304">
        <f t="shared" ca="1" si="58"/>
        <v>63.560937775843257</v>
      </c>
      <c r="M158" s="306">
        <f t="shared" ca="1" si="74"/>
        <v>1.4551294343455627</v>
      </c>
      <c r="N158" s="304">
        <f t="shared" ca="1" si="75"/>
        <v>83.37277523325956</v>
      </c>
      <c r="P158" s="310">
        <f t="shared" ca="1" si="76"/>
        <v>13</v>
      </c>
      <c r="Q158" s="304">
        <f t="shared" ca="1" si="77"/>
        <v>0</v>
      </c>
      <c r="R158" s="306">
        <f t="shared" ca="1" si="78"/>
        <v>0</v>
      </c>
      <c r="S158" s="307">
        <f t="shared" ca="1" si="79"/>
        <v>2.0843000000000003</v>
      </c>
      <c r="T158" s="304">
        <f t="shared" ca="1" si="59"/>
        <v>20.446983000000003</v>
      </c>
      <c r="U158" s="311">
        <f t="shared" ca="1" si="60"/>
        <v>0</v>
      </c>
      <c r="V158" s="306">
        <f t="shared" ca="1" si="61"/>
        <v>1.2172793028953708</v>
      </c>
      <c r="W158" s="304">
        <f t="shared" ca="1" si="62"/>
        <v>6.2052678789823252</v>
      </c>
      <c r="Y158" s="314" t="str">
        <f t="shared" ca="1" si="80"/>
        <v/>
      </c>
      <c r="Z158" s="315" t="str">
        <f t="shared" ca="1" si="81"/>
        <v/>
      </c>
      <c r="AA158" s="316" t="str">
        <f t="shared" ca="1" si="82"/>
        <v/>
      </c>
      <c r="AC158" s="310" t="e">
        <f t="shared" ca="1" si="83"/>
        <v>#N/A</v>
      </c>
      <c r="AD158" s="323" t="e">
        <f t="shared" ca="1" si="84"/>
        <v>#N/A</v>
      </c>
      <c r="AE158" s="324">
        <f t="shared" ca="1" si="63"/>
        <v>63.225341143222082</v>
      </c>
      <c r="AG158" s="306">
        <f t="shared" ca="1" si="85"/>
        <v>-12.737748435785313</v>
      </c>
      <c r="AH158" s="304">
        <f t="shared" ca="1" si="86"/>
        <v>-2.9930335590249326</v>
      </c>
    </row>
    <row r="159" spans="1:34" x14ac:dyDescent="0.2">
      <c r="A159" s="347">
        <f t="shared" ca="1" si="64"/>
        <v>0.01</v>
      </c>
      <c r="B159" s="304">
        <f t="shared" ca="1" si="65"/>
        <v>1.5500000000000012</v>
      </c>
      <c r="D159" s="306">
        <f t="shared" ca="1" si="66"/>
        <v>-0.34359002703659508</v>
      </c>
      <c r="E159" s="307">
        <f t="shared" ca="1" si="67"/>
        <v>-12.767254006363089</v>
      </c>
      <c r="F159" s="304">
        <f t="shared" ca="1" si="68"/>
        <v>12.771876485844723</v>
      </c>
      <c r="G159" s="306">
        <f t="shared" ca="1" si="69"/>
        <v>5.5639420713209153</v>
      </c>
      <c r="H159" s="307">
        <f t="shared" ca="1" si="70"/>
        <v>47.790338798700716</v>
      </c>
      <c r="I159" s="304">
        <f t="shared" ca="1" si="71"/>
        <v>48.113136811764974</v>
      </c>
      <c r="J159" s="306">
        <f t="shared" ca="1" si="72"/>
        <v>6.5786197510998976</v>
      </c>
      <c r="K159" s="307">
        <f t="shared" ca="1" si="73"/>
        <v>63.703882893909409</v>
      </c>
      <c r="L159" s="304">
        <f t="shared" ca="1" si="58"/>
        <v>64.042664947599462</v>
      </c>
      <c r="M159" s="306">
        <f t="shared" ca="1" si="74"/>
        <v>1.454894121528731</v>
      </c>
      <c r="N159" s="304">
        <f t="shared" ca="1" si="75"/>
        <v>83.359292801989767</v>
      </c>
      <c r="P159" s="310">
        <f t="shared" ca="1" si="76"/>
        <v>13</v>
      </c>
      <c r="Q159" s="304">
        <f t="shared" ca="1" si="77"/>
        <v>0</v>
      </c>
      <c r="R159" s="306">
        <f t="shared" ca="1" si="78"/>
        <v>0</v>
      </c>
      <c r="S159" s="307">
        <f t="shared" ca="1" si="79"/>
        <v>2.0843000000000003</v>
      </c>
      <c r="T159" s="304">
        <f t="shared" ca="1" si="59"/>
        <v>20.446983000000003</v>
      </c>
      <c r="U159" s="311">
        <f t="shared" ca="1" si="60"/>
        <v>0</v>
      </c>
      <c r="V159" s="306">
        <f t="shared" ca="1" si="61"/>
        <v>1.2172210518057363</v>
      </c>
      <c r="W159" s="304">
        <f t="shared" ca="1" si="62"/>
        <v>6.1722878263966887</v>
      </c>
      <c r="Y159" s="314" t="str">
        <f t="shared" ca="1" si="80"/>
        <v/>
      </c>
      <c r="Z159" s="315" t="str">
        <f t="shared" ca="1" si="81"/>
        <v/>
      </c>
      <c r="AA159" s="316" t="str">
        <f t="shared" ca="1" si="82"/>
        <v/>
      </c>
      <c r="AC159" s="310" t="e">
        <f t="shared" ca="1" si="83"/>
        <v>#N/A</v>
      </c>
      <c r="AD159" s="323" t="e">
        <f t="shared" ca="1" si="84"/>
        <v>#N/A</v>
      </c>
      <c r="AE159" s="324">
        <f t="shared" ca="1" si="63"/>
        <v>63.703882893909409</v>
      </c>
      <c r="AG159" s="306">
        <f t="shared" ca="1" si="85"/>
        <v>-12.721597155230086</v>
      </c>
      <c r="AH159" s="304">
        <f t="shared" ca="1" si="86"/>
        <v>-2.9771471856173894</v>
      </c>
    </row>
    <row r="160" spans="1:34" x14ac:dyDescent="0.2">
      <c r="A160" s="347">
        <f t="shared" ca="1" si="64"/>
        <v>0.01</v>
      </c>
      <c r="B160" s="304">
        <f t="shared" ca="1" si="65"/>
        <v>1.5600000000000012</v>
      </c>
      <c r="D160" s="306">
        <f t="shared" ca="1" si="66"/>
        <v>-0.34245607024113239</v>
      </c>
      <c r="E160" s="307">
        <f t="shared" ca="1" si="67"/>
        <v>-12.751456149382582</v>
      </c>
      <c r="F160" s="304">
        <f t="shared" ca="1" si="68"/>
        <v>12.756053860409647</v>
      </c>
      <c r="G160" s="306">
        <f t="shared" ca="1" si="69"/>
        <v>5.5605175106185039</v>
      </c>
      <c r="H160" s="307">
        <f t="shared" ca="1" si="70"/>
        <v>47.662824237206891</v>
      </c>
      <c r="I160" s="304">
        <f t="shared" ca="1" si="71"/>
        <v>47.986083078875815</v>
      </c>
      <c r="J160" s="306">
        <f t="shared" ca="1" si="72"/>
        <v>6.634242049009595</v>
      </c>
      <c r="K160" s="307">
        <f t="shared" ca="1" si="73"/>
        <v>64.181148709088944</v>
      </c>
      <c r="L160" s="304">
        <f t="shared" ca="1" si="58"/>
        <v>64.523120020524701</v>
      </c>
      <c r="M160" s="306">
        <f t="shared" ca="1" si="74"/>
        <v>1.4546577078302347</v>
      </c>
      <c r="N160" s="304">
        <f t="shared" ca="1" si="75"/>
        <v>83.345747294846859</v>
      </c>
      <c r="P160" s="310">
        <f t="shared" ca="1" si="76"/>
        <v>13</v>
      </c>
      <c r="Q160" s="304">
        <f t="shared" ca="1" si="77"/>
        <v>0</v>
      </c>
      <c r="R160" s="306">
        <f t="shared" ca="1" si="78"/>
        <v>0</v>
      </c>
      <c r="S160" s="307">
        <f t="shared" ca="1" si="79"/>
        <v>2.0843000000000003</v>
      </c>
      <c r="T160" s="304">
        <f t="shared" ca="1" si="59"/>
        <v>20.446983000000003</v>
      </c>
      <c r="U160" s="311">
        <f t="shared" ca="1" si="60"/>
        <v>0</v>
      </c>
      <c r="V160" s="306">
        <f t="shared" ca="1" si="61"/>
        <v>1.2171629587984765</v>
      </c>
      <c r="W160" s="304">
        <f t="shared" ca="1" si="62"/>
        <v>6.1394391710112428</v>
      </c>
      <c r="Y160" s="314" t="str">
        <f t="shared" ca="1" si="80"/>
        <v/>
      </c>
      <c r="Z160" s="315" t="str">
        <f t="shared" ca="1" si="81"/>
        <v/>
      </c>
      <c r="AA160" s="316" t="str">
        <f t="shared" ca="1" si="82"/>
        <v/>
      </c>
      <c r="AC160" s="310" t="e">
        <f t="shared" ca="1" si="83"/>
        <v>#N/A</v>
      </c>
      <c r="AD160" s="323" t="e">
        <f t="shared" ca="1" si="84"/>
        <v>#N/A</v>
      </c>
      <c r="AE160" s="324">
        <f t="shared" ca="1" si="63"/>
        <v>64.181148709088944</v>
      </c>
      <c r="AG160" s="306">
        <f t="shared" ca="1" si="85"/>
        <v>-12.705507389472125</v>
      </c>
      <c r="AH160" s="304">
        <f t="shared" ca="1" si="86"/>
        <v>-2.961324102286949</v>
      </c>
    </row>
    <row r="161" spans="1:34" x14ac:dyDescent="0.2">
      <c r="A161" s="347">
        <f t="shared" ca="1" si="64"/>
        <v>0.01</v>
      </c>
      <c r="B161" s="304">
        <f t="shared" ca="1" si="65"/>
        <v>1.5700000000000012</v>
      </c>
      <c r="D161" s="306">
        <f t="shared" ca="1" si="66"/>
        <v>-0.34132522359380196</v>
      </c>
      <c r="E161" s="307">
        <f t="shared" ca="1" si="67"/>
        <v>-12.735721231667725</v>
      </c>
      <c r="F161" s="304">
        <f t="shared" ca="1" si="68"/>
        <v>12.74029427442763</v>
      </c>
      <c r="G161" s="306">
        <f t="shared" ca="1" si="69"/>
        <v>5.5571042583825658</v>
      </c>
      <c r="H161" s="307">
        <f t="shared" ca="1" si="70"/>
        <v>47.535467024890217</v>
      </c>
      <c r="I161" s="304">
        <f t="shared" ca="1" si="71"/>
        <v>47.859189640161674</v>
      </c>
      <c r="J161" s="306">
        <f t="shared" ca="1" si="72"/>
        <v>6.6898301578546002</v>
      </c>
      <c r="K161" s="307">
        <f t="shared" ca="1" si="73"/>
        <v>64.657140165399426</v>
      </c>
      <c r="L161" s="304">
        <f t="shared" ca="1" si="58"/>
        <v>65.002304589214745</v>
      </c>
      <c r="M161" s="306">
        <f t="shared" ca="1" si="74"/>
        <v>1.4544201859722479</v>
      </c>
      <c r="N161" s="304">
        <f t="shared" ca="1" si="75"/>
        <v>83.332138294842096</v>
      </c>
      <c r="P161" s="310">
        <f t="shared" ca="1" si="76"/>
        <v>13</v>
      </c>
      <c r="Q161" s="304">
        <f t="shared" ca="1" si="77"/>
        <v>0</v>
      </c>
      <c r="R161" s="306">
        <f t="shared" ca="1" si="78"/>
        <v>0</v>
      </c>
      <c r="S161" s="307">
        <f t="shared" ca="1" si="79"/>
        <v>2.0843000000000003</v>
      </c>
      <c r="T161" s="304">
        <f t="shared" ca="1" si="59"/>
        <v>20.446983000000003</v>
      </c>
      <c r="U161" s="311">
        <f t="shared" ca="1" si="60"/>
        <v>0</v>
      </c>
      <c r="V161" s="306">
        <f t="shared" ca="1" si="61"/>
        <v>1.2171050236593315</v>
      </c>
      <c r="W161" s="304">
        <f t="shared" ca="1" si="62"/>
        <v>6.1067213974950461</v>
      </c>
      <c r="Y161" s="314" t="str">
        <f t="shared" ca="1" si="80"/>
        <v/>
      </c>
      <c r="Z161" s="315" t="str">
        <f t="shared" ca="1" si="81"/>
        <v/>
      </c>
      <c r="AA161" s="316" t="str">
        <f t="shared" ca="1" si="82"/>
        <v/>
      </c>
      <c r="AC161" s="310" t="e">
        <f t="shared" ca="1" si="83"/>
        <v>#N/A</v>
      </c>
      <c r="AD161" s="323" t="e">
        <f t="shared" ca="1" si="84"/>
        <v>#N/A</v>
      </c>
      <c r="AE161" s="324">
        <f t="shared" ca="1" si="63"/>
        <v>64.657140165399426</v>
      </c>
      <c r="AG161" s="306">
        <f t="shared" ca="1" si="85"/>
        <v>-12.689478874130213</v>
      </c>
      <c r="AH161" s="304">
        <f t="shared" ca="1" si="86"/>
        <v>-2.9455640603613884</v>
      </c>
    </row>
    <row r="162" spans="1:34" x14ac:dyDescent="0.2">
      <c r="A162" s="347">
        <f t="shared" ca="1" si="64"/>
        <v>0.01</v>
      </c>
      <c r="B162" s="304">
        <f t="shared" ca="1" si="65"/>
        <v>1.5800000000000012</v>
      </c>
      <c r="D162" s="306">
        <f t="shared" ca="1" si="66"/>
        <v>-0.34019747227628094</v>
      </c>
      <c r="E162" s="307">
        <f t="shared" ca="1" si="67"/>
        <v>-12.720049006359112</v>
      </c>
      <c r="F162" s="304">
        <f t="shared" ca="1" si="68"/>
        <v>12.724597480640423</v>
      </c>
      <c r="G162" s="306">
        <f t="shared" ca="1" si="69"/>
        <v>5.5537022836598027</v>
      </c>
      <c r="H162" s="307">
        <f t="shared" ca="1" si="70"/>
        <v>47.408266534826623</v>
      </c>
      <c r="I162" s="304">
        <f t="shared" ca="1" si="71"/>
        <v>47.732455885829822</v>
      </c>
      <c r="J162" s="306">
        <f t="shared" ca="1" si="72"/>
        <v>6.7453841905648124</v>
      </c>
      <c r="K162" s="307">
        <f t="shared" ca="1" si="73"/>
        <v>65.13185883319801</v>
      </c>
      <c r="L162" s="304">
        <f t="shared" ca="1" si="58"/>
        <v>65.480220242039167</v>
      </c>
      <c r="M162" s="306">
        <f t="shared" ca="1" si="74"/>
        <v>1.4541815486123728</v>
      </c>
      <c r="N162" s="304">
        <f t="shared" ca="1" si="75"/>
        <v>83.318465381287112</v>
      </c>
      <c r="P162" s="310">
        <f t="shared" ca="1" si="76"/>
        <v>13</v>
      </c>
      <c r="Q162" s="304">
        <f t="shared" ca="1" si="77"/>
        <v>0</v>
      </c>
      <c r="R162" s="306">
        <f t="shared" ca="1" si="78"/>
        <v>0</v>
      </c>
      <c r="S162" s="307">
        <f t="shared" ca="1" si="79"/>
        <v>2.0843000000000003</v>
      </c>
      <c r="T162" s="304">
        <f t="shared" ca="1" si="59"/>
        <v>20.446983000000003</v>
      </c>
      <c r="U162" s="311">
        <f t="shared" ca="1" si="60"/>
        <v>0</v>
      </c>
      <c r="V162" s="306">
        <f t="shared" ca="1" si="61"/>
        <v>1.2170472461749067</v>
      </c>
      <c r="W162" s="304">
        <f t="shared" ca="1" si="62"/>
        <v>6.0741339934747334</v>
      </c>
      <c r="Y162" s="314" t="str">
        <f t="shared" ca="1" si="80"/>
        <v/>
      </c>
      <c r="Z162" s="315" t="str">
        <f t="shared" ca="1" si="81"/>
        <v/>
      </c>
      <c r="AA162" s="316" t="str">
        <f t="shared" ca="1" si="82"/>
        <v/>
      </c>
      <c r="AC162" s="310" t="e">
        <f t="shared" ca="1" si="83"/>
        <v>#N/A</v>
      </c>
      <c r="AD162" s="323" t="e">
        <f t="shared" ca="1" si="84"/>
        <v>#N/A</v>
      </c>
      <c r="AE162" s="324">
        <f t="shared" ca="1" si="63"/>
        <v>65.13185883319801</v>
      </c>
      <c r="AG162" s="306">
        <f t="shared" ca="1" si="85"/>
        <v>-12.673511346077184</v>
      </c>
      <c r="AH162" s="304">
        <f t="shared" ca="1" si="86"/>
        <v>-2.9298668125965768</v>
      </c>
    </row>
    <row r="163" spans="1:34" x14ac:dyDescent="0.2">
      <c r="A163" s="347">
        <f t="shared" ca="1" si="64"/>
        <v>0.01</v>
      </c>
      <c r="B163" s="304">
        <f t="shared" ca="1" si="65"/>
        <v>1.5900000000000012</v>
      </c>
      <c r="D163" s="306">
        <f t="shared" ca="1" si="66"/>
        <v>-0.33907280154878938</v>
      </c>
      <c r="E163" s="307">
        <f t="shared" ca="1" si="67"/>
        <v>-12.704439228013911</v>
      </c>
      <c r="F163" s="304">
        <f t="shared" ca="1" si="68"/>
        <v>12.708963233208634</v>
      </c>
      <c r="G163" s="306">
        <f t="shared" ca="1" si="69"/>
        <v>5.5503115556443152</v>
      </c>
      <c r="H163" s="307">
        <f t="shared" ca="1" si="70"/>
        <v>47.281222142546483</v>
      </c>
      <c r="I163" s="304">
        <f t="shared" ca="1" si="71"/>
        <v>47.605881208707252</v>
      </c>
      <c r="J163" s="306">
        <f t="shared" ca="1" si="72"/>
        <v>6.8009042597613334</v>
      </c>
      <c r="K163" s="307">
        <f t="shared" ca="1" si="73"/>
        <v>65.605306276584869</v>
      </c>
      <c r="L163" s="304">
        <f t="shared" ca="1" si="58"/>
        <v>65.956868561166132</v>
      </c>
      <c r="M163" s="306">
        <f t="shared" ca="1" si="74"/>
        <v>1.4539417883429295</v>
      </c>
      <c r="N163" s="304">
        <f t="shared" ca="1" si="75"/>
        <v>83.304728129753101</v>
      </c>
      <c r="P163" s="310">
        <f t="shared" ca="1" si="76"/>
        <v>13</v>
      </c>
      <c r="Q163" s="304">
        <f t="shared" ca="1" si="77"/>
        <v>0</v>
      </c>
      <c r="R163" s="306">
        <f t="shared" ca="1" si="78"/>
        <v>0</v>
      </c>
      <c r="S163" s="307">
        <f t="shared" ca="1" si="79"/>
        <v>2.0843000000000003</v>
      </c>
      <c r="T163" s="304">
        <f t="shared" ca="1" si="59"/>
        <v>20.446983000000003</v>
      </c>
      <c r="U163" s="311">
        <f t="shared" ca="1" si="60"/>
        <v>0</v>
      </c>
      <c r="V163" s="306">
        <f t="shared" ca="1" si="61"/>
        <v>1.2169896261326663</v>
      </c>
      <c r="W163" s="304">
        <f t="shared" ca="1" si="62"/>
        <v>6.0416764495155979</v>
      </c>
      <c r="Y163" s="314" t="str">
        <f t="shared" ca="1" si="80"/>
        <v/>
      </c>
      <c r="Z163" s="315" t="str">
        <f t="shared" ca="1" si="81"/>
        <v/>
      </c>
      <c r="AA163" s="316" t="str">
        <f t="shared" ca="1" si="82"/>
        <v/>
      </c>
      <c r="AC163" s="310" t="e">
        <f t="shared" ca="1" si="83"/>
        <v>#N/A</v>
      </c>
      <c r="AD163" s="323" t="e">
        <f t="shared" ca="1" si="84"/>
        <v>#N/A</v>
      </c>
      <c r="AE163" s="324">
        <f t="shared" ca="1" si="63"/>
        <v>65.605306276584869</v>
      </c>
      <c r="AG163" s="306">
        <f t="shared" ca="1" si="85"/>
        <v>-12.657604543428477</v>
      </c>
      <c r="AH163" s="304">
        <f t="shared" ca="1" si="86"/>
        <v>-2.9142321131673619</v>
      </c>
    </row>
    <row r="164" spans="1:34" x14ac:dyDescent="0.2">
      <c r="A164" s="347">
        <f t="shared" ca="1" si="64"/>
        <v>0.01</v>
      </c>
      <c r="B164" s="304">
        <f t="shared" ca="1" si="65"/>
        <v>1.6000000000000012</v>
      </c>
      <c r="D164" s="306">
        <f t="shared" ca="1" si="66"/>
        <v>-0.33795119674957264</v>
      </c>
      <c r="E164" s="307">
        <f t="shared" ca="1" si="67"/>
        <v>-12.688891652596801</v>
      </c>
      <c r="F164" s="304">
        <f t="shared" ca="1" si="68"/>
        <v>12.693391287702639</v>
      </c>
      <c r="G164" s="306">
        <f t="shared" ca="1" si="69"/>
        <v>5.5469320436768195</v>
      </c>
      <c r="H164" s="307">
        <f t="shared" ca="1" si="70"/>
        <v>47.154333226020512</v>
      </c>
      <c r="I164" s="304">
        <f t="shared" ca="1" si="71"/>
        <v>47.479465004228409</v>
      </c>
      <c r="J164" s="306">
        <f t="shared" ca="1" si="72"/>
        <v>6.8563904777579392</v>
      </c>
      <c r="K164" s="307">
        <f t="shared" ca="1" si="73"/>
        <v>66.07748405342771</v>
      </c>
      <c r="L164" s="304">
        <f t="shared" ca="1" si="58"/>
        <v>66.432251122587161</v>
      </c>
      <c r="M164" s="306">
        <f t="shared" ca="1" si="74"/>
        <v>1.4537008976902308</v>
      </c>
      <c r="N164" s="304">
        <f t="shared" ca="1" si="75"/>
        <v>83.290926112029311</v>
      </c>
      <c r="P164" s="310">
        <f t="shared" ca="1" si="76"/>
        <v>13</v>
      </c>
      <c r="Q164" s="304">
        <f t="shared" ca="1" si="77"/>
        <v>0</v>
      </c>
      <c r="R164" s="306">
        <f t="shared" ca="1" si="78"/>
        <v>0</v>
      </c>
      <c r="S164" s="307">
        <f t="shared" ca="1" si="79"/>
        <v>2.0843000000000003</v>
      </c>
      <c r="T164" s="304">
        <f t="shared" ca="1" si="59"/>
        <v>20.446983000000003</v>
      </c>
      <c r="U164" s="311">
        <f t="shared" ca="1" si="60"/>
        <v>0</v>
      </c>
      <c r="V164" s="306">
        <f t="shared" ca="1" si="61"/>
        <v>1.2169321633209305</v>
      </c>
      <c r="W164" s="304">
        <f t="shared" ca="1" si="62"/>
        <v>6.00934825910287</v>
      </c>
      <c r="Y164" s="314" t="str">
        <f t="shared" ca="1" si="80"/>
        <v/>
      </c>
      <c r="Z164" s="315" t="str">
        <f t="shared" ca="1" si="81"/>
        <v/>
      </c>
      <c r="AA164" s="316" t="str">
        <f t="shared" ca="1" si="82"/>
        <v/>
      </c>
      <c r="AC164" s="310" t="e">
        <f t="shared" ca="1" si="83"/>
        <v>#N/A</v>
      </c>
      <c r="AD164" s="323" t="e">
        <f t="shared" ca="1" si="84"/>
        <v>#N/A</v>
      </c>
      <c r="AE164" s="324">
        <f t="shared" ca="1" si="63"/>
        <v>66.07748405342771</v>
      </c>
      <c r="AG164" s="306">
        <f t="shared" ca="1" si="85"/>
        <v>-12.64175820553073</v>
      </c>
      <c r="AH164" s="304">
        <f t="shared" ca="1" si="86"/>
        <v>-2.898659717658493</v>
      </c>
    </row>
    <row r="165" spans="1:34" x14ac:dyDescent="0.2">
      <c r="A165" s="347">
        <f t="shared" ca="1" si="64"/>
        <v>0.01</v>
      </c>
      <c r="B165" s="304">
        <f t="shared" ca="1" si="65"/>
        <v>1.6100000000000012</v>
      </c>
      <c r="D165" s="306">
        <f t="shared" ca="1" si="66"/>
        <v>-0.33683264329440327</v>
      </c>
      <c r="E165" s="307">
        <f t="shared" ca="1" si="67"/>
        <v>-12.673406037471008</v>
      </c>
      <c r="F165" s="304">
        <f t="shared" ca="1" si="68"/>
        <v>12.677881401093611</v>
      </c>
      <c r="G165" s="306">
        <f t="shared" ca="1" si="69"/>
        <v>5.5435637172438756</v>
      </c>
      <c r="H165" s="307">
        <f t="shared" ca="1" si="70"/>
        <v>47.027599165645803</v>
      </c>
      <c r="I165" s="304">
        <f t="shared" ca="1" si="71"/>
        <v>47.353206670422992</v>
      </c>
      <c r="J165" s="306">
        <f t="shared" ca="1" si="72"/>
        <v>6.911842956562543</v>
      </c>
      <c r="K165" s="307">
        <f t="shared" ca="1" si="73"/>
        <v>66.548393715386041</v>
      </c>
      <c r="L165" s="304">
        <f t="shared" ca="1" si="58"/>
        <v>66.906369496141522</v>
      </c>
      <c r="M165" s="306">
        <f t="shared" ca="1" si="74"/>
        <v>1.4534588691138524</v>
      </c>
      <c r="N165" s="304">
        <f t="shared" ca="1" si="75"/>
        <v>83.277058896081257</v>
      </c>
      <c r="P165" s="310">
        <f t="shared" ca="1" si="76"/>
        <v>13</v>
      </c>
      <c r="Q165" s="304">
        <f t="shared" ca="1" si="77"/>
        <v>0</v>
      </c>
      <c r="R165" s="306">
        <f t="shared" ca="1" si="78"/>
        <v>0</v>
      </c>
      <c r="S165" s="307">
        <f t="shared" ca="1" si="79"/>
        <v>2.0843000000000003</v>
      </c>
      <c r="T165" s="304">
        <f t="shared" ca="1" si="59"/>
        <v>20.446983000000003</v>
      </c>
      <c r="U165" s="311">
        <f t="shared" ca="1" si="60"/>
        <v>0</v>
      </c>
      <c r="V165" s="306">
        <f t="shared" ca="1" si="61"/>
        <v>1.2168748575288733</v>
      </c>
      <c r="W165" s="304">
        <f t="shared" ca="1" si="62"/>
        <v>5.9771489186231204</v>
      </c>
      <c r="Y165" s="314" t="str">
        <f t="shared" ca="1" si="80"/>
        <v/>
      </c>
      <c r="Z165" s="315" t="str">
        <f t="shared" ca="1" si="81"/>
        <v/>
      </c>
      <c r="AA165" s="316" t="str">
        <f t="shared" ca="1" si="82"/>
        <v/>
      </c>
      <c r="AC165" s="310" t="e">
        <f t="shared" ca="1" si="83"/>
        <v>#N/A</v>
      </c>
      <c r="AD165" s="323" t="e">
        <f t="shared" ca="1" si="84"/>
        <v>#N/A</v>
      </c>
      <c r="AE165" s="324">
        <f t="shared" ca="1" si="63"/>
        <v>66.548393715386041</v>
      </c>
      <c r="AG165" s="306">
        <f t="shared" ca="1" si="85"/>
        <v>-12.625972072950409</v>
      </c>
      <c r="AH165" s="304">
        <f t="shared" ca="1" si="86"/>
        <v>-2.8831493830556396</v>
      </c>
    </row>
    <row r="166" spans="1:34" x14ac:dyDescent="0.2">
      <c r="A166" s="347">
        <f t="shared" ca="1" si="64"/>
        <v>0.01</v>
      </c>
      <c r="B166" s="304">
        <f t="shared" ca="1" si="65"/>
        <v>1.6200000000000012</v>
      </c>
      <c r="D166" s="306">
        <f t="shared" ca="1" si="66"/>
        <v>-0.33571712667607284</v>
      </c>
      <c r="E166" s="307">
        <f t="shared" ca="1" si="67"/>
        <v>-12.657982141389382</v>
      </c>
      <c r="F166" s="304">
        <f t="shared" ca="1" si="68"/>
        <v>12.662433331744582</v>
      </c>
      <c r="G166" s="306">
        <f t="shared" ca="1" si="69"/>
        <v>5.5402065459771146</v>
      </c>
      <c r="H166" s="307">
        <f t="shared" ca="1" si="70"/>
        <v>46.901019344231912</v>
      </c>
      <c r="I166" s="304">
        <f t="shared" ca="1" si="71"/>
        <v>47.227105607903859</v>
      </c>
      <c r="J166" s="306">
        <f t="shared" ca="1" si="72"/>
        <v>6.9672618078786481</v>
      </c>
      <c r="K166" s="307">
        <f t="shared" ca="1" si="73"/>
        <v>67.018036807935431</v>
      </c>
      <c r="L166" s="304">
        <f t="shared" ca="1" si="58"/>
        <v>67.379225245540724</v>
      </c>
      <c r="M166" s="306">
        <f t="shared" ca="1" si="74"/>
        <v>1.4532156950058901</v>
      </c>
      <c r="N166" s="304">
        <f t="shared" ca="1" si="75"/>
        <v>83.263126046008168</v>
      </c>
      <c r="P166" s="310">
        <f t="shared" ca="1" si="76"/>
        <v>13</v>
      </c>
      <c r="Q166" s="304">
        <f t="shared" ca="1" si="77"/>
        <v>0</v>
      </c>
      <c r="R166" s="306">
        <f t="shared" ca="1" si="78"/>
        <v>0</v>
      </c>
      <c r="S166" s="307">
        <f t="shared" ca="1" si="79"/>
        <v>2.0843000000000003</v>
      </c>
      <c r="T166" s="304">
        <f t="shared" ca="1" si="59"/>
        <v>20.446983000000003</v>
      </c>
      <c r="U166" s="311">
        <f t="shared" ca="1" si="60"/>
        <v>0</v>
      </c>
      <c r="V166" s="306">
        <f t="shared" ca="1" si="61"/>
        <v>1.2168177085465184</v>
      </c>
      <c r="W166" s="304">
        <f t="shared" ca="1" si="62"/>
        <v>5.9450779273457952</v>
      </c>
      <c r="Y166" s="314" t="str">
        <f t="shared" ca="1" si="80"/>
        <v/>
      </c>
      <c r="Z166" s="315" t="str">
        <f t="shared" ca="1" si="81"/>
        <v/>
      </c>
      <c r="AA166" s="316" t="str">
        <f t="shared" ca="1" si="82"/>
        <v/>
      </c>
      <c r="AC166" s="310" t="e">
        <f t="shared" ca="1" si="83"/>
        <v>#N/A</v>
      </c>
      <c r="AD166" s="323" t="e">
        <f t="shared" ca="1" si="84"/>
        <v>#N/A</v>
      </c>
      <c r="AE166" s="324">
        <f t="shared" ca="1" si="63"/>
        <v>67.018036807935431</v>
      </c>
      <c r="AG166" s="306">
        <f t="shared" ca="1" si="85"/>
        <v>-12.610245887462462</v>
      </c>
      <c r="AH166" s="304">
        <f t="shared" ca="1" si="86"/>
        <v>-2.8677008677364677</v>
      </c>
    </row>
    <row r="167" spans="1:34" x14ac:dyDescent="0.2">
      <c r="A167" s="347">
        <f t="shared" ca="1" si="64"/>
        <v>0.01</v>
      </c>
      <c r="B167" s="304">
        <f t="shared" ca="1" si="65"/>
        <v>1.6300000000000012</v>
      </c>
      <c r="D167" s="306">
        <f t="shared" ca="1" si="66"/>
        <v>-0.33460463246389627</v>
      </c>
      <c r="E167" s="307">
        <f t="shared" ca="1" si="67"/>
        <v>-12.642619724485565</v>
      </c>
      <c r="F167" s="304">
        <f t="shared" ca="1" si="68"/>
        <v>12.64704683940159</v>
      </c>
      <c r="G167" s="306">
        <f t="shared" ca="1" si="69"/>
        <v>5.5368604996524757</v>
      </c>
      <c r="H167" s="307">
        <f t="shared" ca="1" si="70"/>
        <v>46.774593146987058</v>
      </c>
      <c r="I167" s="304">
        <f t="shared" ca="1" si="71"/>
        <v>47.101161219855086</v>
      </c>
      <c r="J167" s="306">
        <f t="shared" ca="1" si="72"/>
        <v>7.0226471431067958</v>
      </c>
      <c r="K167" s="307">
        <f t="shared" ca="1" si="73"/>
        <v>67.486414870391528</v>
      </c>
      <c r="L167" s="304">
        <f t="shared" ca="1" si="58"/>
        <v>67.850819928392823</v>
      </c>
      <c r="M167" s="306">
        <f t="shared" ca="1" si="74"/>
        <v>1.452971367690209</v>
      </c>
      <c r="N167" s="304">
        <f t="shared" ca="1" si="75"/>
        <v>83.249127121999877</v>
      </c>
      <c r="P167" s="310">
        <f t="shared" ca="1" si="76"/>
        <v>13</v>
      </c>
      <c r="Q167" s="304">
        <f t="shared" ca="1" si="77"/>
        <v>0</v>
      </c>
      <c r="R167" s="306">
        <f t="shared" ca="1" si="78"/>
        <v>0</v>
      </c>
      <c r="S167" s="307">
        <f t="shared" ca="1" si="79"/>
        <v>2.0843000000000003</v>
      </c>
      <c r="T167" s="304">
        <f t="shared" ca="1" si="59"/>
        <v>20.446983000000003</v>
      </c>
      <c r="U167" s="311">
        <f t="shared" ca="1" si="60"/>
        <v>0</v>
      </c>
      <c r="V167" s="306">
        <f t="shared" ca="1" si="61"/>
        <v>1.216760716164734</v>
      </c>
      <c r="W167" s="304">
        <f t="shared" ca="1" si="62"/>
        <v>5.913134787404922</v>
      </c>
      <c r="Y167" s="314" t="str">
        <f t="shared" ca="1" si="80"/>
        <v/>
      </c>
      <c r="Z167" s="315" t="str">
        <f t="shared" ca="1" si="81"/>
        <v/>
      </c>
      <c r="AA167" s="316" t="str">
        <f t="shared" ca="1" si="82"/>
        <v/>
      </c>
      <c r="AC167" s="310" t="e">
        <f t="shared" ca="1" si="83"/>
        <v>#N/A</v>
      </c>
      <c r="AD167" s="323" t="e">
        <f t="shared" ca="1" si="84"/>
        <v>#N/A</v>
      </c>
      <c r="AE167" s="324">
        <f t="shared" ca="1" si="63"/>
        <v>67.486414870391528</v>
      </c>
      <c r="AG167" s="306">
        <f t="shared" ca="1" si="85"/>
        <v>-12.594579392039016</v>
      </c>
      <c r="AH167" s="304">
        <f t="shared" ca="1" si="86"/>
        <v>-2.8523139314617829</v>
      </c>
    </row>
    <row r="168" spans="1:34" x14ac:dyDescent="0.2">
      <c r="A168" s="347">
        <f t="shared" ca="1" si="64"/>
        <v>0.01</v>
      </c>
      <c r="B168" s="304">
        <f t="shared" ca="1" si="65"/>
        <v>1.6400000000000012</v>
      </c>
      <c r="D168" s="306">
        <f t="shared" ca="1" si="66"/>
        <v>-0.33349514630321758</v>
      </c>
      <c r="E168" s="307">
        <f t="shared" ca="1" si="67"/>
        <v>-12.627318548265213</v>
      </c>
      <c r="F168" s="304">
        <f t="shared" ca="1" si="68"/>
        <v>12.631721685184901</v>
      </c>
      <c r="G168" s="306">
        <f t="shared" ca="1" si="69"/>
        <v>5.5335255481894432</v>
      </c>
      <c r="H168" s="307">
        <f t="shared" ca="1" si="70"/>
        <v>46.648319961504406</v>
      </c>
      <c r="I168" s="304">
        <f t="shared" ca="1" si="71"/>
        <v>46.975372912020141</v>
      </c>
      <c r="J168" s="306">
        <f t="shared" ca="1" si="72"/>
        <v>7.077999073346005</v>
      </c>
      <c r="K168" s="307">
        <f t="shared" ca="1" si="73"/>
        <v>67.953529435933987</v>
      </c>
      <c r="L168" s="304">
        <f t="shared" ca="1" si="58"/>
        <v>68.321155096226491</v>
      </c>
      <c r="M168" s="306">
        <f t="shared" ca="1" si="74"/>
        <v>1.4527258794216817</v>
      </c>
      <c r="N168" s="304">
        <f t="shared" ca="1" si="75"/>
        <v>83.235061680293299</v>
      </c>
      <c r="P168" s="310">
        <f t="shared" ca="1" si="76"/>
        <v>13</v>
      </c>
      <c r="Q168" s="304">
        <f t="shared" ca="1" si="77"/>
        <v>0</v>
      </c>
      <c r="R168" s="306">
        <f t="shared" ca="1" si="78"/>
        <v>0</v>
      </c>
      <c r="S168" s="307">
        <f t="shared" ca="1" si="79"/>
        <v>2.0843000000000003</v>
      </c>
      <c r="T168" s="304">
        <f t="shared" ca="1" si="59"/>
        <v>20.446983000000003</v>
      </c>
      <c r="U168" s="311">
        <f t="shared" ca="1" si="60"/>
        <v>0</v>
      </c>
      <c r="V168" s="306">
        <f t="shared" ca="1" si="61"/>
        <v>1.2167038801752341</v>
      </c>
      <c r="W168" s="304">
        <f t="shared" ca="1" si="62"/>
        <v>5.8813190037809493</v>
      </c>
      <c r="Y168" s="314" t="str">
        <f t="shared" ca="1" si="80"/>
        <v/>
      </c>
      <c r="Z168" s="315" t="str">
        <f t="shared" ca="1" si="81"/>
        <v/>
      </c>
      <c r="AA168" s="316" t="str">
        <f t="shared" ca="1" si="82"/>
        <v/>
      </c>
      <c r="AC168" s="310" t="e">
        <f t="shared" ca="1" si="83"/>
        <v>#N/A</v>
      </c>
      <c r="AD168" s="323" t="e">
        <f t="shared" ca="1" si="84"/>
        <v>#N/A</v>
      </c>
      <c r="AE168" s="324">
        <f t="shared" ca="1" si="63"/>
        <v>67.953529435933987</v>
      </c>
      <c r="AG168" s="306">
        <f t="shared" ca="1" si="85"/>
        <v>-12.578972330838081</v>
      </c>
      <c r="AH168" s="304">
        <f t="shared" ca="1" si="86"/>
        <v>-2.836988335366752</v>
      </c>
    </row>
    <row r="169" spans="1:34" x14ac:dyDescent="0.2">
      <c r="A169" s="347">
        <f t="shared" ca="1" si="64"/>
        <v>0.01</v>
      </c>
      <c r="B169" s="304">
        <f t="shared" ca="1" si="65"/>
        <v>1.6500000000000012</v>
      </c>
      <c r="D169" s="306">
        <f t="shared" ca="1" si="66"/>
        <v>-0.3323886539149189</v>
      </c>
      <c r="E169" s="307">
        <f t="shared" ca="1" si="67"/>
        <v>-12.61207837559731</v>
      </c>
      <c r="F169" s="304">
        <f t="shared" ca="1" si="68"/>
        <v>12.616457631580294</v>
      </c>
      <c r="G169" s="306">
        <f t="shared" ca="1" si="69"/>
        <v>5.5302016616502936</v>
      </c>
      <c r="H169" s="307">
        <f t="shared" ca="1" si="70"/>
        <v>46.522199177748433</v>
      </c>
      <c r="I169" s="304">
        <f t="shared" ca="1" si="71"/>
        <v>46.849740092690126</v>
      </c>
      <c r="J169" s="306">
        <f t="shared" ca="1" si="72"/>
        <v>7.1333177093952038</v>
      </c>
      <c r="K169" s="307">
        <f t="shared" ca="1" si="73"/>
        <v>68.419382031630249</v>
      </c>
      <c r="L169" s="304">
        <f t="shared" ca="1" si="58"/>
        <v>68.790232294515036</v>
      </c>
      <c r="M169" s="306">
        <f t="shared" ca="1" si="74"/>
        <v>1.4524792223854168</v>
      </c>
      <c r="N169" s="304">
        <f t="shared" ca="1" si="75"/>
        <v>83.220929273128107</v>
      </c>
      <c r="P169" s="310">
        <f t="shared" ca="1" si="76"/>
        <v>13</v>
      </c>
      <c r="Q169" s="304">
        <f t="shared" ca="1" si="77"/>
        <v>0</v>
      </c>
      <c r="R169" s="306">
        <f t="shared" ca="1" si="78"/>
        <v>0</v>
      </c>
      <c r="S169" s="307">
        <f t="shared" ca="1" si="79"/>
        <v>2.0843000000000003</v>
      </c>
      <c r="T169" s="304">
        <f t="shared" ca="1" si="59"/>
        <v>20.446983000000003</v>
      </c>
      <c r="U169" s="311">
        <f t="shared" ca="1" si="60"/>
        <v>0</v>
      </c>
      <c r="V169" s="306">
        <f t="shared" ca="1" si="61"/>
        <v>1.2166472003705695</v>
      </c>
      <c r="W169" s="304">
        <f t="shared" ca="1" si="62"/>
        <v>5.8496300842826994</v>
      </c>
      <c r="Y169" s="314" t="str">
        <f t="shared" ca="1" si="80"/>
        <v/>
      </c>
      <c r="Z169" s="315" t="str">
        <f t="shared" ca="1" si="81"/>
        <v/>
      </c>
      <c r="AA169" s="316" t="str">
        <f t="shared" ca="1" si="82"/>
        <v/>
      </c>
      <c r="AC169" s="310" t="e">
        <f t="shared" ca="1" si="83"/>
        <v>#N/A</v>
      </c>
      <c r="AD169" s="323" t="e">
        <f t="shared" ca="1" si="84"/>
        <v>#N/A</v>
      </c>
      <c r="AE169" s="324">
        <f t="shared" ca="1" si="63"/>
        <v>68.419382031630249</v>
      </c>
      <c r="AG169" s="306">
        <f t="shared" ca="1" si="85"/>
        <v>-12.563424449192318</v>
      </c>
      <c r="AH169" s="304">
        <f t="shared" ca="1" si="86"/>
        <v>-2.8217238419521893</v>
      </c>
    </row>
    <row r="170" spans="1:34" x14ac:dyDescent="0.2">
      <c r="A170" s="347">
        <f t="shared" ca="1" si="64"/>
        <v>0.01</v>
      </c>
      <c r="B170" s="304">
        <f t="shared" ca="1" si="65"/>
        <v>1.6600000000000013</v>
      </c>
      <c r="D170" s="306">
        <f t="shared" ca="1" si="66"/>
        <v>-0.3312851410949349</v>
      </c>
      <c r="E170" s="307">
        <f t="shared" ca="1" si="67"/>
        <v>-12.596898970705503</v>
      </c>
      <c r="F170" s="304">
        <f t="shared" ca="1" si="68"/>
        <v>12.60125444243039</v>
      </c>
      <c r="G170" s="306">
        <f t="shared" ca="1" si="69"/>
        <v>5.5268888102393445</v>
      </c>
      <c r="H170" s="307">
        <f t="shared" ca="1" si="70"/>
        <v>46.396230188041379</v>
      </c>
      <c r="I170" s="304">
        <f t="shared" ca="1" si="71"/>
        <v>46.724262172692157</v>
      </c>
      <c r="J170" s="306">
        <f t="shared" ca="1" si="72"/>
        <v>7.188603161754652</v>
      </c>
      <c r="K170" s="307">
        <f t="shared" ca="1" si="73"/>
        <v>68.883974178459198</v>
      </c>
      <c r="L170" s="304">
        <f t="shared" ca="1" si="58"/>
        <v>69.258053062700384</v>
      </c>
      <c r="M170" s="306">
        <f t="shared" ca="1" si="74"/>
        <v>1.4522313886959763</v>
      </c>
      <c r="N170" s="304">
        <f t="shared" ca="1" si="75"/>
        <v>83.206729448702006</v>
      </c>
      <c r="P170" s="310">
        <f t="shared" ca="1" si="76"/>
        <v>13</v>
      </c>
      <c r="Q170" s="304">
        <f t="shared" ca="1" si="77"/>
        <v>0</v>
      </c>
      <c r="R170" s="306">
        <f t="shared" ca="1" si="78"/>
        <v>0</v>
      </c>
      <c r="S170" s="307">
        <f t="shared" ca="1" si="79"/>
        <v>2.0843000000000003</v>
      </c>
      <c r="T170" s="304">
        <f t="shared" ca="1" si="59"/>
        <v>20.446983000000003</v>
      </c>
      <c r="U170" s="311">
        <f t="shared" ca="1" si="60"/>
        <v>0</v>
      </c>
      <c r="V170" s="306">
        <f t="shared" ca="1" si="61"/>
        <v>1.2165906765441288</v>
      </c>
      <c r="W170" s="304">
        <f t="shared" ca="1" si="62"/>
        <v>5.818067539529495</v>
      </c>
      <c r="Y170" s="314" t="str">
        <f t="shared" ca="1" si="80"/>
        <v/>
      </c>
      <c r="Z170" s="315" t="str">
        <f t="shared" ca="1" si="81"/>
        <v/>
      </c>
      <c r="AA170" s="316" t="str">
        <f t="shared" ca="1" si="82"/>
        <v/>
      </c>
      <c r="AC170" s="310" t="e">
        <f t="shared" ca="1" si="83"/>
        <v>#N/A</v>
      </c>
      <c r="AD170" s="323" t="e">
        <f t="shared" ca="1" si="84"/>
        <v>#N/A</v>
      </c>
      <c r="AE170" s="324">
        <f t="shared" ca="1" si="63"/>
        <v>68.883974178459198</v>
      </c>
      <c r="AG170" s="306">
        <f t="shared" ca="1" si="85"/>
        <v>-12.547935493597812</v>
      </c>
      <c r="AH170" s="304">
        <f t="shared" ca="1" si="86"/>
        <v>-2.8065202150759001</v>
      </c>
    </row>
    <row r="171" spans="1:34" x14ac:dyDescent="0.2">
      <c r="A171" s="347">
        <f t="shared" ca="1" si="64"/>
        <v>0.01</v>
      </c>
      <c r="B171" s="304">
        <f t="shared" ca="1" si="65"/>
        <v>1.6700000000000013</v>
      </c>
      <c r="D171" s="306">
        <f t="shared" ca="1" si="66"/>
        <v>-0.33018459371377062</v>
      </c>
      <c r="E171" s="307">
        <f t="shared" ca="1" si="67"/>
        <v>-12.581780099159554</v>
      </c>
      <c r="F171" s="304">
        <f t="shared" ca="1" si="68"/>
        <v>12.58611188292609</v>
      </c>
      <c r="G171" s="306">
        <f t="shared" ca="1" si="69"/>
        <v>5.5235869643022069</v>
      </c>
      <c r="H171" s="307">
        <f t="shared" ca="1" si="70"/>
        <v>46.270412387049781</v>
      </c>
      <c r="I171" s="304">
        <f t="shared" ca="1" si="71"/>
        <v>46.59893856537785</v>
      </c>
      <c r="J171" s="306">
        <f t="shared" ca="1" si="72"/>
        <v>7.2438555406273597</v>
      </c>
      <c r="K171" s="307">
        <f t="shared" ca="1" si="73"/>
        <v>69.347307391334652</v>
      </c>
      <c r="L171" s="304">
        <f t="shared" ca="1" si="58"/>
        <v>69.724618934216736</v>
      </c>
      <c r="M171" s="306">
        <f t="shared" ca="1" si="74"/>
        <v>1.4519823703965837</v>
      </c>
      <c r="N171" s="304">
        <f t="shared" ca="1" si="75"/>
        <v>83.192461751125293</v>
      </c>
      <c r="P171" s="310">
        <f t="shared" ca="1" si="76"/>
        <v>13</v>
      </c>
      <c r="Q171" s="304">
        <f t="shared" ca="1" si="77"/>
        <v>0</v>
      </c>
      <c r="R171" s="306">
        <f t="shared" ca="1" si="78"/>
        <v>0</v>
      </c>
      <c r="S171" s="307">
        <f t="shared" ca="1" si="79"/>
        <v>2.0843000000000003</v>
      </c>
      <c r="T171" s="304">
        <f t="shared" ca="1" si="59"/>
        <v>20.446983000000003</v>
      </c>
      <c r="U171" s="311">
        <f t="shared" ca="1" si="60"/>
        <v>0</v>
      </c>
      <c r="V171" s="306">
        <f t="shared" ca="1" si="61"/>
        <v>1.2165343084901326</v>
      </c>
      <c r="W171" s="304">
        <f t="shared" ca="1" si="62"/>
        <v>5.7866308829334034</v>
      </c>
      <c r="Y171" s="314" t="str">
        <f t="shared" ca="1" si="80"/>
        <v/>
      </c>
      <c r="Z171" s="315" t="str">
        <f t="shared" ca="1" si="81"/>
        <v/>
      </c>
      <c r="AA171" s="316" t="str">
        <f t="shared" ca="1" si="82"/>
        <v/>
      </c>
      <c r="AC171" s="310" t="e">
        <f t="shared" ca="1" si="83"/>
        <v>#N/A</v>
      </c>
      <c r="AD171" s="323" t="e">
        <f t="shared" ca="1" si="84"/>
        <v>#N/A</v>
      </c>
      <c r="AE171" s="324">
        <f t="shared" ca="1" si="63"/>
        <v>69.347307391334652</v>
      </c>
      <c r="AG171" s="306">
        <f t="shared" ca="1" si="85"/>
        <v>-12.532505211702849</v>
      </c>
      <c r="AH171" s="304">
        <f t="shared" ca="1" si="86"/>
        <v>-2.7913772199441031</v>
      </c>
    </row>
    <row r="172" spans="1:34" x14ac:dyDescent="0.2">
      <c r="A172" s="347">
        <f t="shared" ca="1" si="64"/>
        <v>0.01</v>
      </c>
      <c r="B172" s="304">
        <f t="shared" ca="1" si="65"/>
        <v>1.6800000000000013</v>
      </c>
      <c r="D172" s="306">
        <f t="shared" ca="1" si="66"/>
        <v>-0.32908699771602223</v>
      </c>
      <c r="E172" s="307">
        <f t="shared" ca="1" si="67"/>
        <v>-12.566721527866825</v>
      </c>
      <c r="F172" s="304">
        <f t="shared" ca="1" si="68"/>
        <v>12.571029719598043</v>
      </c>
      <c r="G172" s="306">
        <f t="shared" ca="1" si="69"/>
        <v>5.5202960943250465</v>
      </c>
      <c r="H172" s="307">
        <f t="shared" ca="1" si="70"/>
        <v>46.144745171771113</v>
      </c>
      <c r="I172" s="304">
        <f t="shared" ca="1" si="71"/>
        <v>46.473768686611955</v>
      </c>
      <c r="J172" s="306">
        <f t="shared" ca="1" si="72"/>
        <v>7.2990749559204957</v>
      </c>
      <c r="K172" s="307">
        <f t="shared" ca="1" si="73"/>
        <v>69.809383179128758</v>
      </c>
      <c r="L172" s="304">
        <f t="shared" ca="1" si="58"/>
        <v>70.189931436514257</v>
      </c>
      <c r="M172" s="306">
        <f t="shared" ca="1" si="74"/>
        <v>1.451732159458321</v>
      </c>
      <c r="N172" s="304">
        <f t="shared" ca="1" si="75"/>
        <v>83.178125720374823</v>
      </c>
      <c r="P172" s="310">
        <f t="shared" ca="1" si="76"/>
        <v>13</v>
      </c>
      <c r="Q172" s="304">
        <f t="shared" ca="1" si="77"/>
        <v>0</v>
      </c>
      <c r="R172" s="306">
        <f t="shared" ca="1" si="78"/>
        <v>0</v>
      </c>
      <c r="S172" s="307">
        <f t="shared" ca="1" si="79"/>
        <v>2.0843000000000003</v>
      </c>
      <c r="T172" s="304">
        <f t="shared" ca="1" si="59"/>
        <v>20.446983000000003</v>
      </c>
      <c r="U172" s="311">
        <f t="shared" ca="1" si="60"/>
        <v>0</v>
      </c>
      <c r="V172" s="306">
        <f t="shared" ca="1" si="61"/>
        <v>1.2164780960036314</v>
      </c>
      <c r="W172" s="304">
        <f t="shared" ca="1" si="62"/>
        <v>5.7553196306816332</v>
      </c>
      <c r="Y172" s="314" t="str">
        <f t="shared" ca="1" si="80"/>
        <v/>
      </c>
      <c r="Z172" s="315" t="str">
        <f t="shared" ca="1" si="81"/>
        <v/>
      </c>
      <c r="AA172" s="316" t="str">
        <f t="shared" ca="1" si="82"/>
        <v/>
      </c>
      <c r="AC172" s="310" t="e">
        <f t="shared" ca="1" si="83"/>
        <v>#N/A</v>
      </c>
      <c r="AD172" s="323" t="e">
        <f t="shared" ca="1" si="84"/>
        <v>#N/A</v>
      </c>
      <c r="AE172" s="324">
        <f t="shared" ca="1" si="63"/>
        <v>69.809383179128758</v>
      </c>
      <c r="AG172" s="306">
        <f t="shared" ca="1" si="85"/>
        <v>-12.517133352296781</v>
      </c>
      <c r="AH172" s="304">
        <f t="shared" ca="1" si="86"/>
        <v>-2.7762946231029138</v>
      </c>
    </row>
    <row r="173" spans="1:34" x14ac:dyDescent="0.2">
      <c r="A173" s="347">
        <f t="shared" ca="1" si="64"/>
        <v>0.01</v>
      </c>
      <c r="B173" s="304">
        <f t="shared" ca="1" si="65"/>
        <v>1.6900000000000013</v>
      </c>
      <c r="D173" s="306">
        <f t="shared" ca="1" si="66"/>
        <v>-0.32799233911990189</v>
      </c>
      <c r="E173" s="307">
        <f t="shared" ca="1" si="67"/>
        <v>-12.551723025063849</v>
      </c>
      <c r="F173" s="304">
        <f t="shared" ca="1" si="68"/>
        <v>12.556007720308207</v>
      </c>
      <c r="G173" s="306">
        <f t="shared" ca="1" si="69"/>
        <v>5.5170161709338474</v>
      </c>
      <c r="H173" s="307">
        <f t="shared" ca="1" si="70"/>
        <v>46.019227941520477</v>
      </c>
      <c r="I173" s="304">
        <f t="shared" ca="1" si="71"/>
        <v>46.348751954761028</v>
      </c>
      <c r="J173" s="306">
        <f t="shared" ca="1" si="72"/>
        <v>7.3542615172467904</v>
      </c>
      <c r="K173" s="307">
        <f t="shared" ca="1" si="73"/>
        <v>70.270203044695222</v>
      </c>
      <c r="L173" s="304">
        <f t="shared" ca="1" si="58"/>
        <v>70.653992091082515</v>
      </c>
      <c r="M173" s="306">
        <f t="shared" ca="1" si="74"/>
        <v>1.4514807477793137</v>
      </c>
      <c r="N173" s="304">
        <f t="shared" ca="1" si="75"/>
        <v>83.163720892247412</v>
      </c>
      <c r="P173" s="310">
        <f t="shared" ca="1" si="76"/>
        <v>13</v>
      </c>
      <c r="Q173" s="304">
        <f t="shared" ca="1" si="77"/>
        <v>0</v>
      </c>
      <c r="R173" s="306">
        <f t="shared" ca="1" si="78"/>
        <v>0</v>
      </c>
      <c r="S173" s="307">
        <f t="shared" ca="1" si="79"/>
        <v>2.0843000000000003</v>
      </c>
      <c r="T173" s="304">
        <f t="shared" ca="1" si="59"/>
        <v>20.446983000000003</v>
      </c>
      <c r="U173" s="311">
        <f t="shared" ca="1" si="60"/>
        <v>0</v>
      </c>
      <c r="V173" s="306">
        <f t="shared" ca="1" si="61"/>
        <v>1.2164220388805036</v>
      </c>
      <c r="W173" s="304">
        <f t="shared" ca="1" si="62"/>
        <v>5.7241333017190392</v>
      </c>
      <c r="Y173" s="314" t="str">
        <f t="shared" ca="1" si="80"/>
        <v/>
      </c>
      <c r="Z173" s="315" t="str">
        <f t="shared" ca="1" si="81"/>
        <v/>
      </c>
      <c r="AA173" s="316" t="str">
        <f t="shared" ca="1" si="82"/>
        <v/>
      </c>
      <c r="AC173" s="310" t="e">
        <f t="shared" ca="1" si="83"/>
        <v>#N/A</v>
      </c>
      <c r="AD173" s="323" t="e">
        <f t="shared" ca="1" si="84"/>
        <v>#N/A</v>
      </c>
      <c r="AE173" s="324">
        <f t="shared" ca="1" si="63"/>
        <v>70.270203044695222</v>
      </c>
      <c r="AG173" s="306">
        <f t="shared" ca="1" si="85"/>
        <v>-12.501819665298854</v>
      </c>
      <c r="AH173" s="304">
        <f t="shared" ca="1" si="86"/>
        <v>-2.761272192429896</v>
      </c>
    </row>
    <row r="174" spans="1:34" x14ac:dyDescent="0.2">
      <c r="A174" s="347">
        <f t="shared" ca="1" si="64"/>
        <v>0.01</v>
      </c>
      <c r="B174" s="304">
        <f t="shared" ca="1" si="65"/>
        <v>1.7000000000000013</v>
      </c>
      <c r="D174" s="306">
        <f t="shared" ca="1" si="66"/>
        <v>-0.32690060401676868</v>
      </c>
      <c r="E174" s="307">
        <f t="shared" ca="1" si="67"/>
        <v>-12.536784360307939</v>
      </c>
      <c r="F174" s="304">
        <f t="shared" ca="1" si="68"/>
        <v>12.541045654241445</v>
      </c>
      <c r="G174" s="306">
        <f t="shared" ca="1" si="69"/>
        <v>5.5137471648936796</v>
      </c>
      <c r="H174" s="307">
        <f t="shared" ca="1" si="70"/>
        <v>45.893860097917397</v>
      </c>
      <c r="I174" s="304">
        <f t="shared" ca="1" si="71"/>
        <v>46.223887790682291</v>
      </c>
      <c r="J174" s="306">
        <f t="shared" ca="1" si="72"/>
        <v>7.4094153339259279</v>
      </c>
      <c r="K174" s="307">
        <f t="shared" ca="1" si="73"/>
        <v>70.729768484892418</v>
      </c>
      <c r="L174" s="304">
        <f t="shared" ca="1" si="58"/>
        <v>71.116802413473977</v>
      </c>
      <c r="M174" s="306">
        <f t="shared" ca="1" si="74"/>
        <v>1.4512281271839069</v>
      </c>
      <c r="N174" s="304">
        <f t="shared" ca="1" si="75"/>
        <v>83.149246798312518</v>
      </c>
      <c r="P174" s="310">
        <f t="shared" ca="1" si="76"/>
        <v>13</v>
      </c>
      <c r="Q174" s="304">
        <f t="shared" ca="1" si="77"/>
        <v>0</v>
      </c>
      <c r="R174" s="306">
        <f t="shared" ca="1" si="78"/>
        <v>0</v>
      </c>
      <c r="S174" s="307">
        <f t="shared" ca="1" si="79"/>
        <v>2.0843000000000003</v>
      </c>
      <c r="T174" s="304">
        <f t="shared" ca="1" si="59"/>
        <v>20.446983000000003</v>
      </c>
      <c r="U174" s="311">
        <f t="shared" ca="1" si="60"/>
        <v>0</v>
      </c>
      <c r="V174" s="306">
        <f t="shared" ca="1" si="61"/>
        <v>1.2163661369174485</v>
      </c>
      <c r="W174" s="304">
        <f t="shared" ca="1" si="62"/>
        <v>5.6930714177307919</v>
      </c>
      <c r="Y174" s="314" t="str">
        <f t="shared" ca="1" si="80"/>
        <v/>
      </c>
      <c r="Z174" s="315" t="str">
        <f t="shared" ca="1" si="81"/>
        <v/>
      </c>
      <c r="AA174" s="316" t="str">
        <f t="shared" ca="1" si="82"/>
        <v/>
      </c>
      <c r="AC174" s="310" t="e">
        <f t="shared" ca="1" si="83"/>
        <v>#N/A</v>
      </c>
      <c r="AD174" s="323" t="e">
        <f t="shared" ca="1" si="84"/>
        <v>#N/A</v>
      </c>
      <c r="AE174" s="324">
        <f t="shared" ca="1" si="63"/>
        <v>70.729768484892418</v>
      </c>
      <c r="AG174" s="306">
        <f t="shared" ca="1" si="85"/>
        <v>-12.486563901747083</v>
      </c>
      <c r="AH174" s="304">
        <f t="shared" ca="1" si="86"/>
        <v>-2.746309697125672</v>
      </c>
    </row>
    <row r="175" spans="1:34" x14ac:dyDescent="0.2">
      <c r="A175" s="347">
        <f t="shared" ca="1" si="64"/>
        <v>0.01</v>
      </c>
      <c r="B175" s="304">
        <f t="shared" ca="1" si="65"/>
        <v>1.7100000000000013</v>
      </c>
      <c r="D175" s="306">
        <f t="shared" ca="1" si="66"/>
        <v>-0.32581177857065924</v>
      </c>
      <c r="E175" s="307">
        <f t="shared" ca="1" si="67"/>
        <v>-12.521905304468893</v>
      </c>
      <c r="F175" s="304">
        <f t="shared" ca="1" si="68"/>
        <v>12.526143291897213</v>
      </c>
      <c r="G175" s="306">
        <f t="shared" ca="1" si="69"/>
        <v>5.5104890471079733</v>
      </c>
      <c r="H175" s="307">
        <f t="shared" ca="1" si="70"/>
        <v>45.768641044872709</v>
      </c>
      <c r="I175" s="304">
        <f t="shared" ca="1" si="71"/>
        <v>46.099175617712554</v>
      </c>
      <c r="J175" s="306">
        <f t="shared" ca="1" si="72"/>
        <v>7.4645365149859364</v>
      </c>
      <c r="K175" s="307">
        <f t="shared" ca="1" si="73"/>
        <v>71.188080990606366</v>
      </c>
      <c r="L175" s="304">
        <f t="shared" ca="1" si="58"/>
        <v>71.578363913327124</v>
      </c>
      <c r="M175" s="306">
        <f t="shared" ca="1" si="74"/>
        <v>1.4509742894218283</v>
      </c>
      <c r="N175" s="304">
        <f t="shared" ca="1" si="75"/>
        <v>83.134702965864363</v>
      </c>
      <c r="P175" s="310">
        <f t="shared" ca="1" si="76"/>
        <v>13</v>
      </c>
      <c r="Q175" s="304">
        <f t="shared" ca="1" si="77"/>
        <v>0</v>
      </c>
      <c r="R175" s="306">
        <f t="shared" ca="1" si="78"/>
        <v>0</v>
      </c>
      <c r="S175" s="307">
        <f t="shared" ca="1" si="79"/>
        <v>2.0843000000000003</v>
      </c>
      <c r="T175" s="304">
        <f t="shared" ca="1" si="59"/>
        <v>20.446983000000003</v>
      </c>
      <c r="U175" s="311">
        <f t="shared" ca="1" si="60"/>
        <v>0</v>
      </c>
      <c r="V175" s="306">
        <f t="shared" ca="1" si="61"/>
        <v>1.2163103899119867</v>
      </c>
      <c r="W175" s="304">
        <f t="shared" ca="1" si="62"/>
        <v>5.6621335031251609</v>
      </c>
      <c r="Y175" s="314" t="str">
        <f t="shared" ca="1" si="80"/>
        <v/>
      </c>
      <c r="Z175" s="315" t="str">
        <f t="shared" ca="1" si="81"/>
        <v/>
      </c>
      <c r="AA175" s="316" t="str">
        <f t="shared" ca="1" si="82"/>
        <v/>
      </c>
      <c r="AC175" s="310" t="e">
        <f t="shared" ca="1" si="83"/>
        <v>#N/A</v>
      </c>
      <c r="AD175" s="323" t="e">
        <f t="shared" ca="1" si="84"/>
        <v>#N/A</v>
      </c>
      <c r="AE175" s="324">
        <f t="shared" ca="1" si="63"/>
        <v>71.188080990606366</v>
      </c>
      <c r="AG175" s="306">
        <f t="shared" ca="1" si="85"/>
        <v>-12.471365813787143</v>
      </c>
      <c r="AH175" s="304">
        <f t="shared" ca="1" si="86"/>
        <v>-2.7314069077056042</v>
      </c>
    </row>
    <row r="176" spans="1:34" x14ac:dyDescent="0.2">
      <c r="A176" s="347">
        <f t="shared" ca="1" si="64"/>
        <v>0.01</v>
      </c>
      <c r="B176" s="304">
        <f t="shared" ca="1" si="65"/>
        <v>1.7200000000000013</v>
      </c>
      <c r="D176" s="306">
        <f t="shared" ca="1" si="66"/>
        <v>-0.32472584901782681</v>
      </c>
      <c r="E176" s="307">
        <f t="shared" ca="1" si="67"/>
        <v>-12.507085629720741</v>
      </c>
      <c r="F176" s="304">
        <f t="shared" ca="1" si="68"/>
        <v>12.511300405081297</v>
      </c>
      <c r="G176" s="306">
        <f t="shared" ca="1" si="69"/>
        <v>5.5072417886177947</v>
      </c>
      <c r="H176" s="307">
        <f t="shared" ca="1" si="70"/>
        <v>45.643570188575502</v>
      </c>
      <c r="I176" s="304">
        <f t="shared" ca="1" si="71"/>
        <v>45.974614861657258</v>
      </c>
      <c r="J176" s="306">
        <f t="shared" ca="1" si="72"/>
        <v>7.5196251691645655</v>
      </c>
      <c r="K176" s="307">
        <f t="shared" ca="1" si="73"/>
        <v>71.6451420467736</v>
      </c>
      <c r="L176" s="304">
        <f t="shared" ca="1" si="58"/>
        <v>72.038678094389681</v>
      </c>
      <c r="M176" s="306">
        <f t="shared" ca="1" si="74"/>
        <v>1.4507192261673409</v>
      </c>
      <c r="N176" s="304">
        <f t="shared" ca="1" si="75"/>
        <v>83.120088917873375</v>
      </c>
      <c r="P176" s="310">
        <f t="shared" ca="1" si="76"/>
        <v>13</v>
      </c>
      <c r="Q176" s="304">
        <f t="shared" ca="1" si="77"/>
        <v>0</v>
      </c>
      <c r="R176" s="306">
        <f t="shared" ca="1" si="78"/>
        <v>0</v>
      </c>
      <c r="S176" s="307">
        <f t="shared" ca="1" si="79"/>
        <v>2.0843000000000003</v>
      </c>
      <c r="T176" s="304">
        <f t="shared" ca="1" si="59"/>
        <v>20.446983000000003</v>
      </c>
      <c r="U176" s="311">
        <f t="shared" ca="1" si="60"/>
        <v>0</v>
      </c>
      <c r="V176" s="306">
        <f t="shared" ca="1" si="61"/>
        <v>1.2162547976624554</v>
      </c>
      <c r="W176" s="304">
        <f t="shared" ca="1" si="62"/>
        <v>5.6313190850164352</v>
      </c>
      <c r="Y176" s="314" t="str">
        <f t="shared" ca="1" si="80"/>
        <v/>
      </c>
      <c r="Z176" s="315" t="str">
        <f t="shared" ca="1" si="81"/>
        <v/>
      </c>
      <c r="AA176" s="316" t="str">
        <f t="shared" ca="1" si="82"/>
        <v/>
      </c>
      <c r="AC176" s="310" t="e">
        <f t="shared" ca="1" si="83"/>
        <v>#N/A</v>
      </c>
      <c r="AD176" s="323" t="e">
        <f t="shared" ca="1" si="84"/>
        <v>#N/A</v>
      </c>
      <c r="AE176" s="324">
        <f t="shared" ca="1" si="63"/>
        <v>71.6451420467736</v>
      </c>
      <c r="AG176" s="306">
        <f t="shared" ca="1" si="85"/>
        <v>-12.456225154661297</v>
      </c>
      <c r="AH176" s="304">
        <f t="shared" ca="1" si="86"/>
        <v>-2.7165635959915369</v>
      </c>
    </row>
    <row r="177" spans="1:34" x14ac:dyDescent="0.2">
      <c r="A177" s="347">
        <f t="shared" ca="1" si="64"/>
        <v>0.01</v>
      </c>
      <c r="B177" s="304">
        <f t="shared" ca="1" si="65"/>
        <v>1.7300000000000013</v>
      </c>
      <c r="D177" s="306">
        <f t="shared" ca="1" si="66"/>
        <v>-0.32364280166627929</v>
      </c>
      <c r="E177" s="307">
        <f t="shared" ca="1" si="67"/>
        <v>-12.492325109533562</v>
      </c>
      <c r="F177" s="304">
        <f t="shared" ca="1" si="68"/>
        <v>12.49651676689761</v>
      </c>
      <c r="G177" s="306">
        <f t="shared" ca="1" si="69"/>
        <v>5.5040053606011323</v>
      </c>
      <c r="H177" s="307">
        <f t="shared" ca="1" si="70"/>
        <v>45.518646937480163</v>
      </c>
      <c r="I177" s="304">
        <f t="shared" ca="1" si="71"/>
        <v>45.850204950779641</v>
      </c>
      <c r="J177" s="306">
        <f t="shared" ca="1" si="72"/>
        <v>7.5746814049106597</v>
      </c>
      <c r="K177" s="307">
        <f t="shared" ca="1" si="73"/>
        <v>72.100953132403873</v>
      </c>
      <c r="L177" s="304">
        <f t="shared" ca="1" si="58"/>
        <v>72.497746454541598</v>
      </c>
      <c r="M177" s="306">
        <f t="shared" ca="1" si="74"/>
        <v>1.4504629290183846</v>
      </c>
      <c r="N177" s="304">
        <f t="shared" ca="1" si="75"/>
        <v>83.105404172936943</v>
      </c>
      <c r="P177" s="310">
        <f t="shared" ca="1" si="76"/>
        <v>13</v>
      </c>
      <c r="Q177" s="304">
        <f t="shared" ca="1" si="77"/>
        <v>0</v>
      </c>
      <c r="R177" s="306">
        <f t="shared" ca="1" si="78"/>
        <v>0</v>
      </c>
      <c r="S177" s="307">
        <f t="shared" ca="1" si="79"/>
        <v>2.0843000000000003</v>
      </c>
      <c r="T177" s="304">
        <f t="shared" ca="1" si="59"/>
        <v>20.446983000000003</v>
      </c>
      <c r="U177" s="311">
        <f t="shared" ca="1" si="60"/>
        <v>0</v>
      </c>
      <c r="V177" s="306">
        <f t="shared" ca="1" si="61"/>
        <v>1.2161993599680045</v>
      </c>
      <c r="W177" s="304">
        <f t="shared" ca="1" si="62"/>
        <v>5.6006276932079775</v>
      </c>
      <c r="Y177" s="314" t="str">
        <f t="shared" ca="1" si="80"/>
        <v/>
      </c>
      <c r="Z177" s="315" t="str">
        <f t="shared" ca="1" si="81"/>
        <v/>
      </c>
      <c r="AA177" s="316" t="str">
        <f t="shared" ca="1" si="82"/>
        <v/>
      </c>
      <c r="AC177" s="310" t="e">
        <f t="shared" ca="1" si="83"/>
        <v>#N/A</v>
      </c>
      <c r="AD177" s="323" t="e">
        <f t="shared" ca="1" si="84"/>
        <v>#N/A</v>
      </c>
      <c r="AE177" s="324">
        <f t="shared" ca="1" si="63"/>
        <v>72.100953132403873</v>
      </c>
      <c r="AG177" s="306">
        <f t="shared" ca="1" si="85"/>
        <v>-12.441141678697315</v>
      </c>
      <c r="AH177" s="304">
        <f t="shared" ca="1" si="86"/>
        <v>-2.7017795351036007</v>
      </c>
    </row>
    <row r="178" spans="1:34" x14ac:dyDescent="0.2">
      <c r="A178" s="347">
        <f t="shared" ca="1" si="64"/>
        <v>0.01</v>
      </c>
      <c r="B178" s="304">
        <f t="shared" ca="1" si="65"/>
        <v>1.7400000000000013</v>
      </c>
      <c r="D178" s="306">
        <f t="shared" ca="1" si="66"/>
        <v>-0.32256262289532434</v>
      </c>
      <c r="E178" s="307">
        <f t="shared" ca="1" si="67"/>
        <v>-12.477623518665364</v>
      </c>
      <c r="F178" s="304">
        <f t="shared" ca="1" si="68"/>
        <v>12.481792151740077</v>
      </c>
      <c r="G178" s="306">
        <f t="shared" ca="1" si="69"/>
        <v>5.5007797343721787</v>
      </c>
      <c r="H178" s="307">
        <f t="shared" ca="1" si="70"/>
        <v>45.393870702293512</v>
      </c>
      <c r="I178" s="304">
        <f t="shared" ca="1" si="71"/>
        <v>45.725945315790035</v>
      </c>
      <c r="J178" s="306">
        <f t="shared" ca="1" si="72"/>
        <v>7.6297053303855265</v>
      </c>
      <c r="K178" s="307">
        <f t="shared" ca="1" si="73"/>
        <v>72.555515720602742</v>
      </c>
      <c r="L178" s="304">
        <f t="shared" ca="1" si="58"/>
        <v>72.955570485817915</v>
      </c>
      <c r="M178" s="306">
        <f t="shared" ca="1" si="74"/>
        <v>1.4502053894957041</v>
      </c>
      <c r="N178" s="304">
        <f t="shared" ca="1" si="75"/>
        <v>83.090648245229531</v>
      </c>
      <c r="P178" s="310">
        <f t="shared" ca="1" si="76"/>
        <v>13</v>
      </c>
      <c r="Q178" s="304">
        <f t="shared" ca="1" si="77"/>
        <v>0</v>
      </c>
      <c r="R178" s="306">
        <f t="shared" ca="1" si="78"/>
        <v>0</v>
      </c>
      <c r="S178" s="307">
        <f t="shared" ca="1" si="79"/>
        <v>2.0843000000000003</v>
      </c>
      <c r="T178" s="304">
        <f t="shared" ca="1" si="59"/>
        <v>20.446983000000003</v>
      </c>
      <c r="U178" s="311">
        <f t="shared" ca="1" si="60"/>
        <v>0</v>
      </c>
      <c r="V178" s="306">
        <f t="shared" ca="1" si="61"/>
        <v>1.2161440766285958</v>
      </c>
      <c r="W178" s="304">
        <f t="shared" ca="1" si="62"/>
        <v>5.5700588601754069</v>
      </c>
      <c r="Y178" s="314" t="str">
        <f t="shared" ca="1" si="80"/>
        <v/>
      </c>
      <c r="Z178" s="315" t="str">
        <f t="shared" ca="1" si="81"/>
        <v/>
      </c>
      <c r="AA178" s="316" t="str">
        <f t="shared" ca="1" si="82"/>
        <v/>
      </c>
      <c r="AC178" s="310" t="e">
        <f t="shared" ca="1" si="83"/>
        <v>#N/A</v>
      </c>
      <c r="AD178" s="323" t="e">
        <f t="shared" ca="1" si="84"/>
        <v>#N/A</v>
      </c>
      <c r="AE178" s="324">
        <f t="shared" ca="1" si="63"/>
        <v>72.555515720602742</v>
      </c>
      <c r="AG178" s="306">
        <f t="shared" ca="1" si="85"/>
        <v>-12.426115141297423</v>
      </c>
      <c r="AH178" s="304">
        <f t="shared" ca="1" si="86"/>
        <v>-2.6870544994520831</v>
      </c>
    </row>
    <row r="179" spans="1:34" x14ac:dyDescent="0.2">
      <c r="A179" s="347">
        <f t="shared" ca="1" si="64"/>
        <v>0.01</v>
      </c>
      <c r="B179" s="304">
        <f t="shared" ca="1" si="65"/>
        <v>1.7500000000000013</v>
      </c>
      <c r="D179" s="306">
        <f t="shared" ca="1" si="66"/>
        <v>-0.32148529915511759</v>
      </c>
      <c r="E179" s="307">
        <f t="shared" ca="1" si="67"/>
        <v>-12.462980633154029</v>
      </c>
      <c r="F179" s="304">
        <f t="shared" ca="1" si="68"/>
        <v>12.467126335284537</v>
      </c>
      <c r="G179" s="306">
        <f t="shared" ca="1" si="69"/>
        <v>5.4975648813806277</v>
      </c>
      <c r="H179" s="307">
        <f t="shared" ca="1" si="70"/>
        <v>45.269240895961971</v>
      </c>
      <c r="I179" s="304">
        <f t="shared" ca="1" si="71"/>
        <v>45.601835389835195</v>
      </c>
      <c r="J179" s="306">
        <f t="shared" ca="1" si="72"/>
        <v>7.6846970534642907</v>
      </c>
      <c r="K179" s="307">
        <f t="shared" ca="1" si="73"/>
        <v>73.008831278594016</v>
      </c>
      <c r="L179" s="304">
        <f t="shared" ca="1" si="58"/>
        <v>73.412151674431456</v>
      </c>
      <c r="M179" s="306">
        <f t="shared" ca="1" si="74"/>
        <v>1.4499465990419673</v>
      </c>
      <c r="N179" s="304">
        <f t="shared" ca="1" si="75"/>
        <v>83.075820644452136</v>
      </c>
      <c r="P179" s="310">
        <f t="shared" ca="1" si="76"/>
        <v>13</v>
      </c>
      <c r="Q179" s="304">
        <f t="shared" ca="1" si="77"/>
        <v>0</v>
      </c>
      <c r="R179" s="306">
        <f t="shared" ca="1" si="78"/>
        <v>0</v>
      </c>
      <c r="S179" s="307">
        <f t="shared" ca="1" si="79"/>
        <v>2.0843000000000003</v>
      </c>
      <c r="T179" s="304">
        <f t="shared" ca="1" si="59"/>
        <v>20.446983000000003</v>
      </c>
      <c r="U179" s="311">
        <f t="shared" ca="1" si="60"/>
        <v>0</v>
      </c>
      <c r="V179" s="306">
        <f t="shared" ca="1" si="61"/>
        <v>1.2160889474449974</v>
      </c>
      <c r="W179" s="304">
        <f t="shared" ca="1" si="62"/>
        <v>5.5396121210499096</v>
      </c>
      <c r="Y179" s="314" t="str">
        <f t="shared" ca="1" si="80"/>
        <v/>
      </c>
      <c r="Z179" s="315" t="str">
        <f t="shared" ca="1" si="81"/>
        <v/>
      </c>
      <c r="AA179" s="316" t="str">
        <f t="shared" ca="1" si="82"/>
        <v/>
      </c>
      <c r="AC179" s="310" t="e">
        <f t="shared" ca="1" si="83"/>
        <v>#N/A</v>
      </c>
      <c r="AD179" s="323" t="e">
        <f t="shared" ca="1" si="84"/>
        <v>#N/A</v>
      </c>
      <c r="AE179" s="324">
        <f t="shared" ca="1" si="63"/>
        <v>73.008831278594016</v>
      </c>
      <c r="AG179" s="306">
        <f t="shared" ca="1" si="85"/>
        <v>-12.411145298927273</v>
      </c>
      <c r="AH179" s="304">
        <f t="shared" ca="1" si="86"/>
        <v>-2.6723882647293604</v>
      </c>
    </row>
    <row r="180" spans="1:34" x14ac:dyDescent="0.2">
      <c r="A180" s="347">
        <f t="shared" ca="1" si="64"/>
        <v>0.01</v>
      </c>
      <c r="B180" s="304">
        <f t="shared" ca="1" si="65"/>
        <v>1.7600000000000013</v>
      </c>
      <c r="D180" s="306">
        <f t="shared" ca="1" si="66"/>
        <v>-0.32041081696621387</v>
      </c>
      <c r="E180" s="307">
        <f t="shared" ca="1" si="67"/>
        <v>-12.448396230309312</v>
      </c>
      <c r="F180" s="304">
        <f t="shared" ca="1" si="68"/>
        <v>12.452519094480765</v>
      </c>
      <c r="G180" s="306">
        <f t="shared" ca="1" si="69"/>
        <v>5.4943607732109658</v>
      </c>
      <c r="H180" s="307">
        <f t="shared" ca="1" si="70"/>
        <v>45.144756933658876</v>
      </c>
      <c r="I180" s="304">
        <f t="shared" ca="1" si="71"/>
        <v>45.477874608487816</v>
      </c>
      <c r="J180" s="306">
        <f t="shared" ca="1" si="72"/>
        <v>7.739656681737249</v>
      </c>
      <c r="K180" s="307">
        <f t="shared" ca="1" si="73"/>
        <v>73.460901267742116</v>
      </c>
      <c r="L180" s="304">
        <f t="shared" ca="1" si="58"/>
        <v>73.867491500795637</v>
      </c>
      <c r="M180" s="306">
        <f t="shared" ca="1" si="74"/>
        <v>1.4496865490208704</v>
      </c>
      <c r="N180" s="304">
        <f t="shared" ca="1" si="75"/>
        <v>83.060920875780994</v>
      </c>
      <c r="P180" s="310">
        <f t="shared" ca="1" si="76"/>
        <v>13</v>
      </c>
      <c r="Q180" s="304">
        <f t="shared" ca="1" si="77"/>
        <v>0</v>
      </c>
      <c r="R180" s="306">
        <f t="shared" ca="1" si="78"/>
        <v>0</v>
      </c>
      <c r="S180" s="307">
        <f t="shared" ca="1" si="79"/>
        <v>2.0843000000000003</v>
      </c>
      <c r="T180" s="304">
        <f t="shared" ca="1" si="59"/>
        <v>20.446983000000003</v>
      </c>
      <c r="U180" s="311">
        <f t="shared" ca="1" si="60"/>
        <v>0</v>
      </c>
      <c r="V180" s="306">
        <f t="shared" ca="1" si="61"/>
        <v>1.2160339722187816</v>
      </c>
      <c r="W180" s="304">
        <f t="shared" ca="1" si="62"/>
        <v>5.5092870136016607</v>
      </c>
      <c r="Y180" s="314" t="str">
        <f t="shared" ca="1" si="80"/>
        <v/>
      </c>
      <c r="Z180" s="315" t="str">
        <f t="shared" ca="1" si="81"/>
        <v/>
      </c>
      <c r="AA180" s="316" t="str">
        <f t="shared" ca="1" si="82"/>
        <v/>
      </c>
      <c r="AC180" s="310" t="e">
        <f t="shared" ca="1" si="83"/>
        <v>#N/A</v>
      </c>
      <c r="AD180" s="323" t="e">
        <f t="shared" ca="1" si="84"/>
        <v>#N/A</v>
      </c>
      <c r="AE180" s="324">
        <f t="shared" ca="1" si="63"/>
        <v>73.460901267742116</v>
      </c>
      <c r="AG180" s="306">
        <f t="shared" ca="1" si="85"/>
        <v>-12.396231909104921</v>
      </c>
      <c r="AH180" s="304">
        <f t="shared" ca="1" si="86"/>
        <v>-2.65778060790189</v>
      </c>
    </row>
    <row r="181" spans="1:34" x14ac:dyDescent="0.2">
      <c r="A181" s="347">
        <f t="shared" ca="1" si="64"/>
        <v>0.01</v>
      </c>
      <c r="B181" s="304">
        <f t="shared" ca="1" si="65"/>
        <v>1.7700000000000014</v>
      </c>
      <c r="D181" s="306">
        <f t="shared" ca="1" si="66"/>
        <v>-0.31933916291912018</v>
      </c>
      <c r="E181" s="307">
        <f t="shared" ca="1" si="67"/>
        <v>-12.4338700887049</v>
      </c>
      <c r="F181" s="304">
        <f t="shared" ca="1" si="68"/>
        <v>12.437970207544488</v>
      </c>
      <c r="G181" s="306">
        <f t="shared" ca="1" si="69"/>
        <v>5.491167381581775</v>
      </c>
      <c r="H181" s="307">
        <f t="shared" ca="1" si="70"/>
        <v>45.020418232771824</v>
      </c>
      <c r="I181" s="304">
        <f t="shared" ca="1" si="71"/>
        <v>45.354062409736144</v>
      </c>
      <c r="J181" s="306">
        <f t="shared" ca="1" si="72"/>
        <v>7.7945843225112128</v>
      </c>
      <c r="K181" s="307">
        <f t="shared" ca="1" si="73"/>
        <v>73.911727143574268</v>
      </c>
      <c r="L181" s="304">
        <f t="shared" ca="1" si="58"/>
        <v>74.321591439546765</v>
      </c>
      <c r="M181" s="306">
        <f t="shared" ca="1" si="74"/>
        <v>1.4494252307162299</v>
      </c>
      <c r="N181" s="304">
        <f t="shared" ca="1" si="75"/>
        <v>83.045948439815575</v>
      </c>
      <c r="P181" s="310">
        <f t="shared" ca="1" si="76"/>
        <v>13</v>
      </c>
      <c r="Q181" s="304">
        <f t="shared" ca="1" si="77"/>
        <v>0</v>
      </c>
      <c r="R181" s="306">
        <f t="shared" ca="1" si="78"/>
        <v>0</v>
      </c>
      <c r="S181" s="307">
        <f t="shared" ca="1" si="79"/>
        <v>2.0843000000000003</v>
      </c>
      <c r="T181" s="304">
        <f t="shared" ca="1" si="59"/>
        <v>20.446983000000003</v>
      </c>
      <c r="U181" s="311">
        <f t="shared" ca="1" si="60"/>
        <v>0</v>
      </c>
      <c r="V181" s="306">
        <f t="shared" ca="1" si="61"/>
        <v>1.2159791507523221</v>
      </c>
      <c r="W181" s="304">
        <f t="shared" ca="1" si="62"/>
        <v>5.4790830782234154</v>
      </c>
      <c r="Y181" s="314" t="str">
        <f t="shared" ca="1" si="80"/>
        <v/>
      </c>
      <c r="Z181" s="315" t="str">
        <f t="shared" ca="1" si="81"/>
        <v/>
      </c>
      <c r="AA181" s="316" t="str">
        <f t="shared" ca="1" si="82"/>
        <v/>
      </c>
      <c r="AC181" s="310" t="e">
        <f t="shared" ca="1" si="83"/>
        <v>#N/A</v>
      </c>
      <c r="AD181" s="323" t="e">
        <f t="shared" ca="1" si="84"/>
        <v>#N/A</v>
      </c>
      <c r="AE181" s="324">
        <f t="shared" ca="1" si="63"/>
        <v>73.911727143574268</v>
      </c>
      <c r="AG181" s="306">
        <f t="shared" ca="1" si="85"/>
        <v>-12.381374730389803</v>
      </c>
      <c r="AH181" s="304">
        <f t="shared" ca="1" si="86"/>
        <v>-2.6432313072022549</v>
      </c>
    </row>
    <row r="182" spans="1:34" x14ac:dyDescent="0.2">
      <c r="A182" s="347">
        <f t="shared" ca="1" si="64"/>
        <v>0.01</v>
      </c>
      <c r="B182" s="304">
        <f t="shared" ca="1" si="65"/>
        <v>1.7800000000000014</v>
      </c>
      <c r="D182" s="306">
        <f t="shared" ca="1" si="66"/>
        <v>-0.31827032367385844</v>
      </c>
      <c r="E182" s="307">
        <f t="shared" ca="1" si="67"/>
        <v>-12.419401988170552</v>
      </c>
      <c r="F182" s="304">
        <f t="shared" ca="1" si="68"/>
        <v>12.423479453949531</v>
      </c>
      <c r="G182" s="306">
        <f t="shared" ca="1" si="69"/>
        <v>5.4879846783450361</v>
      </c>
      <c r="H182" s="307">
        <f t="shared" ca="1" si="70"/>
        <v>44.896224212890118</v>
      </c>
      <c r="I182" s="304">
        <f t="shared" ca="1" si="71"/>
        <v>45.230398233973695</v>
      </c>
      <c r="J182" s="306">
        <f t="shared" ca="1" si="72"/>
        <v>7.8494800828108469</v>
      </c>
      <c r="K182" s="307">
        <f t="shared" ca="1" si="73"/>
        <v>74.361310355802573</v>
      </c>
      <c r="L182" s="304">
        <f t="shared" ca="1" si="58"/>
        <v>74.774452959566574</v>
      </c>
      <c r="M182" s="306">
        <f t="shared" ca="1" si="74"/>
        <v>1.4491626353310647</v>
      </c>
      <c r="N182" s="304">
        <f t="shared" ca="1" si="75"/>
        <v>83.03090283252601</v>
      </c>
      <c r="P182" s="310">
        <f t="shared" ca="1" si="76"/>
        <v>13</v>
      </c>
      <c r="Q182" s="304">
        <f t="shared" ca="1" si="77"/>
        <v>0</v>
      </c>
      <c r="R182" s="306">
        <f t="shared" ca="1" si="78"/>
        <v>0</v>
      </c>
      <c r="S182" s="307">
        <f t="shared" ca="1" si="79"/>
        <v>2.0843000000000003</v>
      </c>
      <c r="T182" s="304">
        <f t="shared" ca="1" si="59"/>
        <v>20.446983000000003</v>
      </c>
      <c r="U182" s="311">
        <f t="shared" ca="1" si="60"/>
        <v>0</v>
      </c>
      <c r="V182" s="306">
        <f t="shared" ca="1" si="61"/>
        <v>1.2159244828487905</v>
      </c>
      <c r="W182" s="304">
        <f t="shared" ca="1" si="62"/>
        <v>5.4489998579141758</v>
      </c>
      <c r="Y182" s="314" t="str">
        <f t="shared" ca="1" si="80"/>
        <v/>
      </c>
      <c r="Z182" s="315" t="str">
        <f t="shared" ca="1" si="81"/>
        <v/>
      </c>
      <c r="AA182" s="316" t="str">
        <f t="shared" ca="1" si="82"/>
        <v/>
      </c>
      <c r="AC182" s="310" t="e">
        <f t="shared" ca="1" si="83"/>
        <v>#N/A</v>
      </c>
      <c r="AD182" s="323" t="e">
        <f t="shared" ca="1" si="84"/>
        <v>#N/A</v>
      </c>
      <c r="AE182" s="324">
        <f t="shared" ca="1" si="63"/>
        <v>74.361310355802573</v>
      </c>
      <c r="AG182" s="306">
        <f t="shared" ca="1" si="85"/>
        <v>-12.366573522371763</v>
      </c>
      <c r="AH182" s="304">
        <f t="shared" ca="1" si="86"/>
        <v>-2.6287401421212948</v>
      </c>
    </row>
    <row r="183" spans="1:34" x14ac:dyDescent="0.2">
      <c r="A183" s="347">
        <f t="shared" ca="1" si="64"/>
        <v>0.01</v>
      </c>
      <c r="B183" s="304">
        <f t="shared" ca="1" si="65"/>
        <v>1.7900000000000014</v>
      </c>
      <c r="D183" s="306">
        <f t="shared" ca="1" si="66"/>
        <v>-0.31720428595952255</v>
      </c>
      <c r="E183" s="307">
        <f t="shared" ca="1" si="67"/>
        <v>-12.404991709784266</v>
      </c>
      <c r="F183" s="304">
        <f t="shared" ca="1" si="68"/>
        <v>12.409046614419958</v>
      </c>
      <c r="G183" s="306">
        <f t="shared" ca="1" si="69"/>
        <v>5.484812635485441</v>
      </c>
      <c r="H183" s="307">
        <f t="shared" ca="1" si="70"/>
        <v>44.772174295792276</v>
      </c>
      <c r="I183" s="304">
        <f t="shared" ca="1" si="71"/>
        <v>45.106881523989038</v>
      </c>
      <c r="J183" s="306">
        <f t="shared" ca="1" si="72"/>
        <v>7.9043440693799996</v>
      </c>
      <c r="K183" s="307">
        <f t="shared" ca="1" si="73"/>
        <v>74.809652348345992</v>
      </c>
      <c r="L183" s="304">
        <f t="shared" ca="1" si="58"/>
        <v>75.226077524004481</v>
      </c>
      <c r="M183" s="306">
        <f t="shared" ca="1" si="74"/>
        <v>1.4488987539866627</v>
      </c>
      <c r="N183" s="304">
        <f t="shared" ca="1" si="75"/>
        <v>83.015783545199525</v>
      </c>
      <c r="P183" s="310">
        <f t="shared" ca="1" si="76"/>
        <v>13</v>
      </c>
      <c r="Q183" s="304">
        <f t="shared" ca="1" si="77"/>
        <v>0</v>
      </c>
      <c r="R183" s="306">
        <f t="shared" ca="1" si="78"/>
        <v>0</v>
      </c>
      <c r="S183" s="307">
        <f t="shared" ca="1" si="79"/>
        <v>2.0843000000000003</v>
      </c>
      <c r="T183" s="304">
        <f t="shared" ca="1" si="59"/>
        <v>20.446983000000003</v>
      </c>
      <c r="U183" s="311">
        <f t="shared" ca="1" si="60"/>
        <v>0</v>
      </c>
      <c r="V183" s="306">
        <f t="shared" ca="1" si="61"/>
        <v>1.2158699683121523</v>
      </c>
      <c r="W183" s="304">
        <f t="shared" ca="1" si="62"/>
        <v>5.4190368982630117</v>
      </c>
      <c r="Y183" s="314" t="str">
        <f t="shared" ca="1" si="80"/>
        <v/>
      </c>
      <c r="Z183" s="315" t="str">
        <f t="shared" ca="1" si="81"/>
        <v/>
      </c>
      <c r="AA183" s="316" t="str">
        <f t="shared" ca="1" si="82"/>
        <v/>
      </c>
      <c r="AC183" s="310" t="e">
        <f t="shared" ca="1" si="83"/>
        <v>#N/A</v>
      </c>
      <c r="AD183" s="323" t="e">
        <f t="shared" ca="1" si="84"/>
        <v>#N/A</v>
      </c>
      <c r="AE183" s="324">
        <f t="shared" ca="1" si="63"/>
        <v>74.809652348345992</v>
      </c>
      <c r="AG183" s="306">
        <f t="shared" ca="1" si="85"/>
        <v>-12.351828045660042</v>
      </c>
      <c r="AH183" s="304">
        <f t="shared" ca="1" si="86"/>
        <v>-2.6143068934002662</v>
      </c>
    </row>
    <row r="184" spans="1:34" x14ac:dyDescent="0.2">
      <c r="A184" s="347">
        <f t="shared" ca="1" si="64"/>
        <v>0.01</v>
      </c>
      <c r="B184" s="304">
        <f t="shared" ca="1" si="65"/>
        <v>1.8000000000000014</v>
      </c>
      <c r="D184" s="306">
        <f t="shared" ca="1" si="66"/>
        <v>-0.31614103657384801</v>
      </c>
      <c r="E184" s="307">
        <f t="shared" ca="1" si="67"/>
        <v>-12.390639035864533</v>
      </c>
      <c r="F184" s="304">
        <f t="shared" ca="1" si="68"/>
        <v>12.394671470922333</v>
      </c>
      <c r="G184" s="306">
        <f t="shared" ca="1" si="69"/>
        <v>5.4816512251197027</v>
      </c>
      <c r="H184" s="307">
        <f t="shared" ca="1" si="70"/>
        <v>44.648267905433627</v>
      </c>
      <c r="I184" s="304">
        <f t="shared" ca="1" si="71"/>
        <v>44.98351172495574</v>
      </c>
      <c r="J184" s="306">
        <f t="shared" ca="1" si="72"/>
        <v>7.9591763886830256</v>
      </c>
      <c r="K184" s="307">
        <f t="shared" ca="1" si="73"/>
        <v>75.256754559352117</v>
      </c>
      <c r="L184" s="304">
        <f t="shared" ca="1" si="58"/>
        <v>75.676466590299626</v>
      </c>
      <c r="M184" s="306">
        <f t="shared" ca="1" si="74"/>
        <v>1.4486335777216361</v>
      </c>
      <c r="N184" s="304">
        <f t="shared" ca="1" si="75"/>
        <v>83.000590064386472</v>
      </c>
      <c r="P184" s="310">
        <f t="shared" ca="1" si="76"/>
        <v>13</v>
      </c>
      <c r="Q184" s="304">
        <f t="shared" ca="1" si="77"/>
        <v>0</v>
      </c>
      <c r="R184" s="306">
        <f t="shared" ca="1" si="78"/>
        <v>0</v>
      </c>
      <c r="S184" s="307">
        <f t="shared" ca="1" si="79"/>
        <v>2.0843000000000003</v>
      </c>
      <c r="T184" s="304">
        <f t="shared" ca="1" si="59"/>
        <v>20.446983000000003</v>
      </c>
      <c r="U184" s="311">
        <f t="shared" ca="1" si="60"/>
        <v>0</v>
      </c>
      <c r="V184" s="306">
        <f t="shared" ca="1" si="61"/>
        <v>1.2158156069471671</v>
      </c>
      <c r="W184" s="304">
        <f t="shared" ca="1" si="62"/>
        <v>5.389193747432997</v>
      </c>
      <c r="Y184" s="314" t="str">
        <f t="shared" ca="1" si="80"/>
        <v/>
      </c>
      <c r="Z184" s="315" t="str">
        <f t="shared" ca="1" si="81"/>
        <v/>
      </c>
      <c r="AA184" s="316" t="str">
        <f t="shared" ca="1" si="82"/>
        <v/>
      </c>
      <c r="AC184" s="310" t="e">
        <f t="shared" ca="1" si="83"/>
        <v>#N/A</v>
      </c>
      <c r="AD184" s="323" t="e">
        <f t="shared" ca="1" si="84"/>
        <v>#N/A</v>
      </c>
      <c r="AE184" s="324">
        <f t="shared" ca="1" si="63"/>
        <v>75.256754559352117</v>
      </c>
      <c r="AG184" s="306">
        <f t="shared" ca="1" si="85"/>
        <v>-12.337138061872313</v>
      </c>
      <c r="AH184" s="304">
        <f t="shared" ca="1" si="86"/>
        <v>-2.5999313430230826</v>
      </c>
    </row>
    <row r="185" spans="1:34" x14ac:dyDescent="0.2">
      <c r="A185" s="347">
        <f t="shared" ca="1" si="64"/>
        <v>0.01</v>
      </c>
      <c r="B185" s="304">
        <f t="shared" ca="1" si="65"/>
        <v>1.8100000000000014</v>
      </c>
      <c r="D185" s="306">
        <f t="shared" ca="1" si="66"/>
        <v>-0.31508056238277871</v>
      </c>
      <c r="E185" s="307">
        <f t="shared" ca="1" si="67"/>
        <v>-12.37634374996264</v>
      </c>
      <c r="F185" s="304">
        <f t="shared" ca="1" si="68"/>
        <v>12.380353806657981</v>
      </c>
      <c r="G185" s="306">
        <f t="shared" ca="1" si="69"/>
        <v>5.4785004194958749</v>
      </c>
      <c r="H185" s="307">
        <f t="shared" ca="1" si="70"/>
        <v>44.524504467934001</v>
      </c>
      <c r="I185" s="304">
        <f t="shared" ca="1" si="71"/>
        <v>44.860288284422467</v>
      </c>
      <c r="J185" s="306">
        <f t="shared" ca="1" si="72"/>
        <v>8.0139771469061039</v>
      </c>
      <c r="K185" s="307">
        <f t="shared" ca="1" si="73"/>
        <v>75.702618421218958</v>
      </c>
      <c r="L185" s="304">
        <f t="shared" ca="1" si="58"/>
        <v>76.125621610203055</v>
      </c>
      <c r="M185" s="306">
        <f t="shared" ca="1" si="74"/>
        <v>1.4483670974909635</v>
      </c>
      <c r="N185" s="304">
        <f t="shared" ca="1" si="75"/>
        <v>82.985321871845258</v>
      </c>
      <c r="P185" s="310">
        <f t="shared" ca="1" si="76"/>
        <v>13</v>
      </c>
      <c r="Q185" s="304">
        <f t="shared" ca="1" si="77"/>
        <v>0</v>
      </c>
      <c r="R185" s="306">
        <f t="shared" ca="1" si="78"/>
        <v>0</v>
      </c>
      <c r="S185" s="307">
        <f t="shared" ca="1" si="79"/>
        <v>2.0843000000000003</v>
      </c>
      <c r="T185" s="304">
        <f t="shared" ca="1" si="59"/>
        <v>20.446983000000003</v>
      </c>
      <c r="U185" s="311">
        <f t="shared" ca="1" si="60"/>
        <v>0</v>
      </c>
      <c r="V185" s="306">
        <f t="shared" ca="1" si="61"/>
        <v>1.2157613985593809</v>
      </c>
      <c r="W185" s="304">
        <f t="shared" ca="1" si="62"/>
        <v>5.3594699561452765</v>
      </c>
      <c r="Y185" s="314" t="str">
        <f t="shared" ca="1" si="80"/>
        <v/>
      </c>
      <c r="Z185" s="315" t="str">
        <f t="shared" ca="1" si="81"/>
        <v/>
      </c>
      <c r="AA185" s="316" t="str">
        <f t="shared" ca="1" si="82"/>
        <v/>
      </c>
      <c r="AC185" s="310" t="e">
        <f t="shared" ca="1" si="83"/>
        <v>#N/A</v>
      </c>
      <c r="AD185" s="323" t="e">
        <f t="shared" ca="1" si="84"/>
        <v>#N/A</v>
      </c>
      <c r="AE185" s="324">
        <f t="shared" ca="1" si="63"/>
        <v>75.702618421218958</v>
      </c>
      <c r="AG185" s="306">
        <f t="shared" ca="1" si="85"/>
        <v>-12.3225033336237</v>
      </c>
      <c r="AH185" s="304">
        <f t="shared" ca="1" si="86"/>
        <v>-2.5856132742086055</v>
      </c>
    </row>
    <row r="186" spans="1:34" x14ac:dyDescent="0.2">
      <c r="A186" s="347">
        <f t="shared" ca="1" si="64"/>
        <v>0.01</v>
      </c>
      <c r="B186" s="304">
        <f t="shared" ca="1" si="65"/>
        <v>1.8200000000000014</v>
      </c>
      <c r="D186" s="306">
        <f t="shared" ca="1" si="66"/>
        <v>-0.31402285032004118</v>
      </c>
      <c r="E186" s="307">
        <f t="shared" ca="1" si="67"/>
        <v>-12.362105636855027</v>
      </c>
      <c r="F186" s="304">
        <f t="shared" ca="1" si="68"/>
        <v>12.366093406055365</v>
      </c>
      <c r="G186" s="306">
        <f t="shared" ca="1" si="69"/>
        <v>5.4753601909926743</v>
      </c>
      <c r="H186" s="307">
        <f t="shared" ca="1" si="70"/>
        <v>44.400883411565452</v>
      </c>
      <c r="I186" s="304">
        <f t="shared" ca="1" si="71"/>
        <v>44.737210652303027</v>
      </c>
      <c r="J186" s="306">
        <f t="shared" ca="1" si="72"/>
        <v>8.068746449958546</v>
      </c>
      <c r="K186" s="307">
        <f t="shared" ca="1" si="73"/>
        <v>76.147245360616452</v>
      </c>
      <c r="L186" s="304">
        <f t="shared" ca="1" si="58"/>
        <v>76.573544029799507</v>
      </c>
      <c r="M186" s="306">
        <f t="shared" ca="1" si="74"/>
        <v>1.4480993041650176</v>
      </c>
      <c r="N186" s="304">
        <f t="shared" ca="1" si="75"/>
        <v>82.969978444486784</v>
      </c>
      <c r="P186" s="310">
        <f t="shared" ca="1" si="76"/>
        <v>13</v>
      </c>
      <c r="Q186" s="304">
        <f t="shared" ca="1" si="77"/>
        <v>0</v>
      </c>
      <c r="R186" s="306">
        <f t="shared" ca="1" si="78"/>
        <v>0</v>
      </c>
      <c r="S186" s="307">
        <f t="shared" ca="1" si="79"/>
        <v>2.0843000000000003</v>
      </c>
      <c r="T186" s="304">
        <f t="shared" ca="1" si="59"/>
        <v>20.446983000000003</v>
      </c>
      <c r="U186" s="311">
        <f t="shared" ca="1" si="60"/>
        <v>0</v>
      </c>
      <c r="V186" s="306">
        <f t="shared" ca="1" si="61"/>
        <v>1.2157073429551271</v>
      </c>
      <c r="W186" s="304">
        <f t="shared" ca="1" si="62"/>
        <v>5.3298650776632233</v>
      </c>
      <c r="Y186" s="314" t="str">
        <f t="shared" ca="1" si="80"/>
        <v/>
      </c>
      <c r="Z186" s="315" t="str">
        <f t="shared" ca="1" si="81"/>
        <v/>
      </c>
      <c r="AA186" s="316" t="str">
        <f t="shared" ca="1" si="82"/>
        <v/>
      </c>
      <c r="AC186" s="310" t="e">
        <f t="shared" ca="1" si="83"/>
        <v>#N/A</v>
      </c>
      <c r="AD186" s="323" t="e">
        <f t="shared" ca="1" si="84"/>
        <v>#N/A</v>
      </c>
      <c r="AE186" s="324">
        <f t="shared" ca="1" si="63"/>
        <v>76.147245360616452</v>
      </c>
      <c r="AG186" s="306">
        <f t="shared" ca="1" si="85"/>
        <v>-12.307923624515817</v>
      </c>
      <c r="AH186" s="304">
        <f t="shared" ca="1" si="86"/>
        <v>-2.5713524714030016</v>
      </c>
    </row>
    <row r="187" spans="1:34" x14ac:dyDescent="0.2">
      <c r="A187" s="347">
        <f t="shared" ca="1" si="64"/>
        <v>0.01</v>
      </c>
      <c r="B187" s="304">
        <f t="shared" ca="1" si="65"/>
        <v>1.8300000000000014</v>
      </c>
      <c r="D187" s="306">
        <f t="shared" ca="1" si="66"/>
        <v>-0.31296788738671971</v>
      </c>
      <c r="E187" s="307">
        <f t="shared" ca="1" si="67"/>
        <v>-12.347924482535708</v>
      </c>
      <c r="F187" s="304">
        <f t="shared" ca="1" si="68"/>
        <v>12.351890054762471</v>
      </c>
      <c r="G187" s="306">
        <f t="shared" ca="1" si="69"/>
        <v>5.4722305121188075</v>
      </c>
      <c r="H187" s="307">
        <f t="shared" ca="1" si="70"/>
        <v>44.277404166740098</v>
      </c>
      <c r="I187" s="304">
        <f t="shared" ca="1" si="71"/>
        <v>44.614278280866735</v>
      </c>
      <c r="J187" s="306">
        <f t="shared" ca="1" si="72"/>
        <v>8.1234844034741034</v>
      </c>
      <c r="K187" s="307">
        <f t="shared" ca="1" si="73"/>
        <v>76.590636798507987</v>
      </c>
      <c r="L187" s="304">
        <f t="shared" ca="1" si="58"/>
        <v>77.020235289529296</v>
      </c>
      <c r="M187" s="306">
        <f t="shared" ca="1" si="74"/>
        <v>1.4478301885285816</v>
      </c>
      <c r="N187" s="304">
        <f t="shared" ca="1" si="75"/>
        <v>82.954559254318028</v>
      </c>
      <c r="P187" s="310">
        <f t="shared" ca="1" si="76"/>
        <v>13</v>
      </c>
      <c r="Q187" s="304">
        <f t="shared" ca="1" si="77"/>
        <v>0</v>
      </c>
      <c r="R187" s="306">
        <f t="shared" ca="1" si="78"/>
        <v>0</v>
      </c>
      <c r="S187" s="307">
        <f t="shared" ca="1" si="79"/>
        <v>2.0843000000000003</v>
      </c>
      <c r="T187" s="304">
        <f t="shared" ca="1" si="59"/>
        <v>20.446983000000003</v>
      </c>
      <c r="U187" s="311">
        <f t="shared" ca="1" si="60"/>
        <v>0</v>
      </c>
      <c r="V187" s="306">
        <f t="shared" ca="1" si="61"/>
        <v>1.2156534399415206</v>
      </c>
      <c r="W187" s="304">
        <f t="shared" ca="1" si="62"/>
        <v>5.3003786677767604</v>
      </c>
      <c r="Y187" s="314" t="str">
        <f t="shared" ca="1" si="80"/>
        <v/>
      </c>
      <c r="Z187" s="315" t="str">
        <f t="shared" ca="1" si="81"/>
        <v/>
      </c>
      <c r="AA187" s="316" t="str">
        <f t="shared" ca="1" si="82"/>
        <v/>
      </c>
      <c r="AC187" s="310" t="e">
        <f t="shared" ca="1" si="83"/>
        <v>#N/A</v>
      </c>
      <c r="AD187" s="323" t="e">
        <f t="shared" ca="1" si="84"/>
        <v>#N/A</v>
      </c>
      <c r="AE187" s="324">
        <f t="shared" ca="1" si="63"/>
        <v>76.590636798507987</v>
      </c>
      <c r="AG187" s="306">
        <f t="shared" ca="1" si="85"/>
        <v>-12.293398699125801</v>
      </c>
      <c r="AH187" s="304">
        <f t="shared" ca="1" si="86"/>
        <v>-2.5571487202721404</v>
      </c>
    </row>
    <row r="188" spans="1:34" x14ac:dyDescent="0.2">
      <c r="A188" s="347">
        <f t="shared" ca="1" si="64"/>
        <v>0.01</v>
      </c>
      <c r="B188" s="304">
        <f t="shared" ca="1" si="65"/>
        <v>1.8400000000000014</v>
      </c>
      <c r="D188" s="306">
        <f t="shared" ca="1" si="66"/>
        <v>-0.31191566065083592</v>
      </c>
      <c r="E188" s="307">
        <f t="shared" ca="1" si="67"/>
        <v>-12.333800074208749</v>
      </c>
      <c r="F188" s="304">
        <f t="shared" ca="1" si="68"/>
        <v>12.337743539639289</v>
      </c>
      <c r="G188" s="306">
        <f t="shared" ca="1" si="69"/>
        <v>5.4691113555122994</v>
      </c>
      <c r="H188" s="307">
        <f t="shared" ca="1" si="70"/>
        <v>44.15406616599801</v>
      </c>
      <c r="I188" s="304">
        <f t="shared" ca="1" si="71"/>
        <v>44.491490624728719</v>
      </c>
      <c r="J188" s="306">
        <f t="shared" ca="1" si="72"/>
        <v>8.1781911128122591</v>
      </c>
      <c r="K188" s="307">
        <f t="shared" ca="1" si="73"/>
        <v>77.032794150171682</v>
      </c>
      <c r="L188" s="304">
        <f t="shared" ca="1" si="58"/>
        <v>77.465696824209914</v>
      </c>
      <c r="M188" s="306">
        <f t="shared" ca="1" si="74"/>
        <v>1.4475597412798491</v>
      </c>
      <c r="N188" s="304">
        <f t="shared" ca="1" si="75"/>
        <v>82.939063768384727</v>
      </c>
      <c r="P188" s="310">
        <f t="shared" ca="1" si="76"/>
        <v>13</v>
      </c>
      <c r="Q188" s="304">
        <f t="shared" ca="1" si="77"/>
        <v>0</v>
      </c>
      <c r="R188" s="306">
        <f t="shared" ca="1" si="78"/>
        <v>0</v>
      </c>
      <c r="S188" s="307">
        <f t="shared" ca="1" si="79"/>
        <v>2.0843000000000003</v>
      </c>
      <c r="T188" s="304">
        <f t="shared" ca="1" si="59"/>
        <v>20.446983000000003</v>
      </c>
      <c r="U188" s="311">
        <f t="shared" ca="1" si="60"/>
        <v>0</v>
      </c>
      <c r="V188" s="306">
        <f t="shared" ca="1" si="61"/>
        <v>1.2155996893264573</v>
      </c>
      <c r="W188" s="304">
        <f t="shared" ca="1" si="62"/>
        <v>5.2710102847867715</v>
      </c>
      <c r="Y188" s="314" t="str">
        <f t="shared" ca="1" si="80"/>
        <v/>
      </c>
      <c r="Z188" s="315" t="str">
        <f t="shared" ca="1" si="81"/>
        <v/>
      </c>
      <c r="AA188" s="316" t="str">
        <f t="shared" ca="1" si="82"/>
        <v/>
      </c>
      <c r="AC188" s="310" t="e">
        <f t="shared" ca="1" si="83"/>
        <v>#N/A</v>
      </c>
      <c r="AD188" s="323" t="e">
        <f t="shared" ca="1" si="84"/>
        <v>#N/A</v>
      </c>
      <c r="AE188" s="324">
        <f t="shared" ca="1" si="63"/>
        <v>77.032794150171682</v>
      </c>
      <c r="AG188" s="306">
        <f t="shared" ca="1" si="85"/>
        <v>-12.278928322995352</v>
      </c>
      <c r="AH188" s="304">
        <f t="shared" ca="1" si="86"/>
        <v>-2.5430018076940746</v>
      </c>
    </row>
    <row r="189" spans="1:34" x14ac:dyDescent="0.2">
      <c r="A189" s="347">
        <f t="shared" ca="1" si="64"/>
        <v>0.01</v>
      </c>
      <c r="B189" s="304">
        <f t="shared" ca="1" si="65"/>
        <v>1.8500000000000014</v>
      </c>
      <c r="D189" s="306">
        <f t="shared" ca="1" si="66"/>
        <v>-0.31086615724693251</v>
      </c>
      <c r="E189" s="307">
        <f t="shared" ca="1" si="67"/>
        <v>-12.3197322002808</v>
      </c>
      <c r="F189" s="304">
        <f t="shared" ca="1" si="68"/>
        <v>12.323653648750319</v>
      </c>
      <c r="G189" s="306">
        <f t="shared" ca="1" si="69"/>
        <v>5.4660026939398305</v>
      </c>
      <c r="H189" s="307">
        <f t="shared" ca="1" si="70"/>
        <v>44.030868843995201</v>
      </c>
      <c r="I189" s="304">
        <f t="shared" ca="1" si="71"/>
        <v>44.368847140840437</v>
      </c>
      <c r="J189" s="306">
        <f t="shared" ca="1" si="72"/>
        <v>8.2328666830595196</v>
      </c>
      <c r="K189" s="307">
        <f t="shared" ca="1" si="73"/>
        <v>77.473718825221653</v>
      </c>
      <c r="L189" s="304">
        <f t="shared" ca="1" si="58"/>
        <v>77.909930063057658</v>
      </c>
      <c r="M189" s="306">
        <f t="shared" ca="1" si="74"/>
        <v>1.4472879530294132</v>
      </c>
      <c r="N189" s="304">
        <f t="shared" ca="1" si="75"/>
        <v>82.923491448713506</v>
      </c>
      <c r="P189" s="310">
        <f t="shared" ca="1" si="76"/>
        <v>13</v>
      </c>
      <c r="Q189" s="304">
        <f t="shared" ca="1" si="77"/>
        <v>0</v>
      </c>
      <c r="R189" s="306">
        <f t="shared" ca="1" si="78"/>
        <v>0</v>
      </c>
      <c r="S189" s="307">
        <f t="shared" ca="1" si="79"/>
        <v>2.0843000000000003</v>
      </c>
      <c r="T189" s="304">
        <f t="shared" ca="1" si="59"/>
        <v>20.446983000000003</v>
      </c>
      <c r="U189" s="311">
        <f t="shared" ca="1" si="60"/>
        <v>0</v>
      </c>
      <c r="V189" s="306">
        <f t="shared" ca="1" si="61"/>
        <v>1.2155460909186089</v>
      </c>
      <c r="W189" s="304">
        <f t="shared" ca="1" si="62"/>
        <v>5.2417594894896347</v>
      </c>
      <c r="Y189" s="314" t="str">
        <f t="shared" ca="1" si="80"/>
        <v/>
      </c>
      <c r="Z189" s="315" t="str">
        <f t="shared" ca="1" si="81"/>
        <v/>
      </c>
      <c r="AA189" s="316" t="str">
        <f t="shared" ca="1" si="82"/>
        <v/>
      </c>
      <c r="AC189" s="310" t="e">
        <f t="shared" ca="1" si="83"/>
        <v>#N/A</v>
      </c>
      <c r="AD189" s="323" t="e">
        <f t="shared" ca="1" si="84"/>
        <v>#N/A</v>
      </c>
      <c r="AE189" s="324">
        <f t="shared" ca="1" si="63"/>
        <v>77.473718825221653</v>
      </c>
      <c r="AG189" s="306">
        <f t="shared" ca="1" si="85"/>
        <v>-12.264512262619778</v>
      </c>
      <c r="AH189" s="304">
        <f t="shared" ca="1" si="86"/>
        <v>-2.5289115217515574</v>
      </c>
    </row>
    <row r="190" spans="1:34" x14ac:dyDescent="0.2">
      <c r="A190" s="347">
        <f t="shared" ca="1" si="64"/>
        <v>0.01</v>
      </c>
      <c r="B190" s="304">
        <f t="shared" ca="1" si="65"/>
        <v>1.8600000000000014</v>
      </c>
      <c r="D190" s="306">
        <f t="shared" ca="1" si="66"/>
        <v>-0.30981936437565682</v>
      </c>
      <c r="E190" s="307">
        <f t="shared" ca="1" si="67"/>
        <v>-12.305720650353686</v>
      </c>
      <c r="F190" s="304">
        <f t="shared" ca="1" si="68"/>
        <v>12.309620171357169</v>
      </c>
      <c r="G190" s="306">
        <f t="shared" ca="1" si="69"/>
        <v>5.4629045002960739</v>
      </c>
      <c r="H190" s="307">
        <f t="shared" ca="1" si="70"/>
        <v>43.907811637491662</v>
      </c>
      <c r="I190" s="304">
        <f t="shared" ca="1" si="71"/>
        <v>44.246347288480244</v>
      </c>
      <c r="J190" s="306">
        <f t="shared" ca="1" si="72"/>
        <v>8.2875112190306996</v>
      </c>
      <c r="K190" s="307">
        <f t="shared" ca="1" si="73"/>
        <v>77.913412227629081</v>
      </c>
      <c r="L190" s="304">
        <f t="shared" ca="1" si="58"/>
        <v>78.352936429709004</v>
      </c>
      <c r="M190" s="306">
        <f t="shared" ca="1" si="74"/>
        <v>1.4470148142992374</v>
      </c>
      <c r="N190" s="304">
        <f t="shared" ca="1" si="75"/>
        <v>82.907841752252864</v>
      </c>
      <c r="P190" s="310">
        <f t="shared" ca="1" si="76"/>
        <v>13</v>
      </c>
      <c r="Q190" s="304">
        <f t="shared" ca="1" si="77"/>
        <v>0</v>
      </c>
      <c r="R190" s="306">
        <f t="shared" ca="1" si="78"/>
        <v>0</v>
      </c>
      <c r="S190" s="307">
        <f t="shared" ca="1" si="79"/>
        <v>2.0843000000000003</v>
      </c>
      <c r="T190" s="304">
        <f t="shared" ca="1" si="59"/>
        <v>20.446983000000003</v>
      </c>
      <c r="U190" s="311">
        <f t="shared" ca="1" si="60"/>
        <v>0</v>
      </c>
      <c r="V190" s="306">
        <f t="shared" ca="1" si="61"/>
        <v>1.2154926445274219</v>
      </c>
      <c r="W190" s="304">
        <f t="shared" ca="1" si="62"/>
        <v>5.2126258451618828</v>
      </c>
      <c r="Y190" s="314" t="str">
        <f t="shared" ca="1" si="80"/>
        <v/>
      </c>
      <c r="Z190" s="315" t="str">
        <f t="shared" ca="1" si="81"/>
        <v/>
      </c>
      <c r="AA190" s="316" t="str">
        <f t="shared" ca="1" si="82"/>
        <v/>
      </c>
      <c r="AC190" s="310" t="e">
        <f t="shared" ca="1" si="83"/>
        <v>#N/A</v>
      </c>
      <c r="AD190" s="323" t="e">
        <f t="shared" ca="1" si="84"/>
        <v>#N/A</v>
      </c>
      <c r="AE190" s="324">
        <f t="shared" ca="1" si="63"/>
        <v>77.913412227629081</v>
      </c>
      <c r="AG190" s="306">
        <f t="shared" ca="1" si="85"/>
        <v>-12.250150285437032</v>
      </c>
      <c r="AH190" s="304">
        <f t="shared" ca="1" si="86"/>
        <v>-2.5148776517246243</v>
      </c>
    </row>
    <row r="191" spans="1:34" x14ac:dyDescent="0.2">
      <c r="A191" s="347">
        <f t="shared" ca="1" si="64"/>
        <v>0.01</v>
      </c>
      <c r="B191" s="304">
        <f t="shared" ca="1" si="65"/>
        <v>1.8700000000000014</v>
      </c>
      <c r="D191" s="306">
        <f t="shared" ca="1" si="66"/>
        <v>-0.30877526930335558</v>
      </c>
      <c r="E191" s="307">
        <f t="shared" ca="1" si="67"/>
        <v>-12.291765215217055</v>
      </c>
      <c r="F191" s="304">
        <f t="shared" ca="1" si="68"/>
        <v>12.295642897911167</v>
      </c>
      <c r="G191" s="306">
        <f t="shared" ca="1" si="69"/>
        <v>5.4598167476030399</v>
      </c>
      <c r="H191" s="307">
        <f t="shared" ca="1" si="70"/>
        <v>43.784893985339494</v>
      </c>
      <c r="I191" s="304">
        <f t="shared" ca="1" si="71"/>
        <v>44.123990529244125</v>
      </c>
      <c r="J191" s="306">
        <f t="shared" ca="1" si="72"/>
        <v>8.3421248252701954</v>
      </c>
      <c r="K191" s="307">
        <f t="shared" ca="1" si="73"/>
        <v>78.351875755743237</v>
      </c>
      <c r="L191" s="304">
        <f t="shared" ca="1" si="58"/>
        <v>78.794717342242024</v>
      </c>
      <c r="M191" s="306">
        <f t="shared" ca="1" si="74"/>
        <v>1.4467403155216165</v>
      </c>
      <c r="N191" s="304">
        <f t="shared" ca="1" si="75"/>
        <v>82.892114130813695</v>
      </c>
      <c r="P191" s="310">
        <f t="shared" ca="1" si="76"/>
        <v>13</v>
      </c>
      <c r="Q191" s="304">
        <f t="shared" ca="1" si="77"/>
        <v>0</v>
      </c>
      <c r="R191" s="306">
        <f t="shared" ca="1" si="78"/>
        <v>0</v>
      </c>
      <c r="S191" s="307">
        <f t="shared" ca="1" si="79"/>
        <v>2.0843000000000003</v>
      </c>
      <c r="T191" s="304">
        <f t="shared" ca="1" si="59"/>
        <v>20.446983000000003</v>
      </c>
      <c r="U191" s="311">
        <f t="shared" ca="1" si="60"/>
        <v>0</v>
      </c>
      <c r="V191" s="306">
        <f t="shared" ca="1" si="61"/>
        <v>1.2154393499631133</v>
      </c>
      <c r="W191" s="304">
        <f t="shared" ca="1" si="62"/>
        <v>5.1836089175449693</v>
      </c>
      <c r="Y191" s="314" t="str">
        <f t="shared" ca="1" si="80"/>
        <v/>
      </c>
      <c r="Z191" s="315" t="str">
        <f t="shared" ca="1" si="81"/>
        <v/>
      </c>
      <c r="AA191" s="316" t="str">
        <f t="shared" ca="1" si="82"/>
        <v/>
      </c>
      <c r="AC191" s="310" t="e">
        <f t="shared" ca="1" si="83"/>
        <v>#N/A</v>
      </c>
      <c r="AD191" s="323" t="e">
        <f t="shared" ca="1" si="84"/>
        <v>#N/A</v>
      </c>
      <c r="AE191" s="324">
        <f t="shared" ca="1" si="63"/>
        <v>78.351875755743237</v>
      </c>
      <c r="AG191" s="306">
        <f t="shared" ca="1" si="85"/>
        <v>-12.23584215981675</v>
      </c>
      <c r="AH191" s="304">
        <f t="shared" ca="1" si="86"/>
        <v>-2.500899988083233</v>
      </c>
    </row>
    <row r="192" spans="1:34" x14ac:dyDescent="0.2">
      <c r="A192" s="347">
        <f t="shared" ca="1" si="64"/>
        <v>0.01</v>
      </c>
      <c r="B192" s="304">
        <f t="shared" ca="1" si="65"/>
        <v>1.8800000000000014</v>
      </c>
      <c r="D192" s="306">
        <f t="shared" ca="1" si="66"/>
        <v>-0.30773385936166314</v>
      </c>
      <c r="E192" s="307">
        <f t="shared" ca="1" si="67"/>
        <v>-12.277865686841078</v>
      </c>
      <c r="F192" s="304">
        <f t="shared" ca="1" si="68"/>
        <v>12.281721620046074</v>
      </c>
      <c r="G192" s="306">
        <f t="shared" ca="1" si="69"/>
        <v>5.4567394090094234</v>
      </c>
      <c r="H192" s="307">
        <f t="shared" ca="1" si="70"/>
        <v>43.662115328471081</v>
      </c>
      <c r="I192" s="304">
        <f t="shared" ca="1" si="71"/>
        <v>44.001776327036453</v>
      </c>
      <c r="J192" s="306">
        <f t="shared" ca="1" si="72"/>
        <v>8.3967076060532584</v>
      </c>
      <c r="K192" s="307">
        <f t="shared" ca="1" si="73"/>
        <v>78.789110802312294</v>
      </c>
      <c r="L192" s="304">
        <f t="shared" ca="1" si="58"/>
        <v>79.235274213197471</v>
      </c>
      <c r="M192" s="306">
        <f t="shared" ca="1" si="74"/>
        <v>1.4464644470381198</v>
      </c>
      <c r="N192" s="304">
        <f t="shared" ca="1" si="75"/>
        <v>82.876308031008662</v>
      </c>
      <c r="P192" s="310">
        <f t="shared" ca="1" si="76"/>
        <v>13</v>
      </c>
      <c r="Q192" s="304">
        <f t="shared" ca="1" si="77"/>
        <v>0</v>
      </c>
      <c r="R192" s="306">
        <f t="shared" ca="1" si="78"/>
        <v>0</v>
      </c>
      <c r="S192" s="307">
        <f t="shared" ca="1" si="79"/>
        <v>2.0843000000000003</v>
      </c>
      <c r="T192" s="304">
        <f t="shared" ca="1" si="59"/>
        <v>20.446983000000003</v>
      </c>
      <c r="U192" s="311">
        <f t="shared" ca="1" si="60"/>
        <v>0</v>
      </c>
      <c r="V192" s="306">
        <f t="shared" ca="1" si="61"/>
        <v>1.2153862070366677</v>
      </c>
      <c r="W192" s="304">
        <f t="shared" ca="1" si="62"/>
        <v>5.1547082748301483</v>
      </c>
      <c r="Y192" s="314" t="str">
        <f t="shared" ca="1" si="80"/>
        <v/>
      </c>
      <c r="Z192" s="315" t="str">
        <f t="shared" ca="1" si="81"/>
        <v/>
      </c>
      <c r="AA192" s="316" t="str">
        <f t="shared" ca="1" si="82"/>
        <v/>
      </c>
      <c r="AC192" s="310" t="e">
        <f t="shared" ca="1" si="83"/>
        <v>#N/A</v>
      </c>
      <c r="AD192" s="323" t="e">
        <f t="shared" ca="1" si="84"/>
        <v>#N/A</v>
      </c>
      <c r="AE192" s="324">
        <f t="shared" ca="1" si="63"/>
        <v>78.789110802312294</v>
      </c>
      <c r="AG192" s="306">
        <f t="shared" ca="1" si="85"/>
        <v>-12.221587655049282</v>
      </c>
      <c r="AH192" s="304">
        <f t="shared" ca="1" si="86"/>
        <v>-2.4869783224799544</v>
      </c>
    </row>
    <row r="193" spans="1:34" x14ac:dyDescent="0.2">
      <c r="A193" s="347">
        <f t="shared" ca="1" si="64"/>
        <v>0.01</v>
      </c>
      <c r="B193" s="304">
        <f t="shared" ca="1" si="65"/>
        <v>1.8900000000000015</v>
      </c>
      <c r="D193" s="306">
        <f t="shared" ca="1" si="66"/>
        <v>-0.30669512194709947</v>
      </c>
      <c r="E193" s="307">
        <f t="shared" ca="1" si="67"/>
        <v>-12.264021858369203</v>
      </c>
      <c r="F193" s="304">
        <f t="shared" ca="1" si="68"/>
        <v>12.267856130570808</v>
      </c>
      <c r="G193" s="306">
        <f t="shared" ca="1" si="69"/>
        <v>5.4536724577899527</v>
      </c>
      <c r="H193" s="307">
        <f t="shared" ca="1" si="70"/>
        <v>43.539475109887391</v>
      </c>
      <c r="I193" s="304">
        <f t="shared" ca="1" si="71"/>
        <v>43.879704148060981</v>
      </c>
      <c r="J193" s="306">
        <f t="shared" ca="1" si="72"/>
        <v>8.4512596653872549</v>
      </c>
      <c r="K193" s="307">
        <f t="shared" ca="1" si="73"/>
        <v>79.225118754504081</v>
      </c>
      <c r="L193" s="304">
        <f t="shared" ca="1" si="58"/>
        <v>79.674608449600029</v>
      </c>
      <c r="M193" s="306">
        <f t="shared" ca="1" si="74"/>
        <v>1.44618719909852</v>
      </c>
      <c r="N193" s="304">
        <f t="shared" ca="1" si="75"/>
        <v>82.86042289419089</v>
      </c>
      <c r="P193" s="310">
        <f t="shared" ca="1" si="76"/>
        <v>13</v>
      </c>
      <c r="Q193" s="304">
        <f t="shared" ca="1" si="77"/>
        <v>0</v>
      </c>
      <c r="R193" s="306">
        <f t="shared" ca="1" si="78"/>
        <v>0</v>
      </c>
      <c r="S193" s="307">
        <f t="shared" ca="1" si="79"/>
        <v>2.0843000000000003</v>
      </c>
      <c r="T193" s="304">
        <f t="shared" ca="1" si="59"/>
        <v>20.446983000000003</v>
      </c>
      <c r="U193" s="311">
        <f t="shared" ca="1" si="60"/>
        <v>0</v>
      </c>
      <c r="V193" s="306">
        <f t="shared" ca="1" si="61"/>
        <v>1.2153332155598355</v>
      </c>
      <c r="W193" s="304">
        <f t="shared" ca="1" si="62"/>
        <v>5.1259234876434867</v>
      </c>
      <c r="Y193" s="314" t="str">
        <f t="shared" ca="1" si="80"/>
        <v/>
      </c>
      <c r="Z193" s="315" t="str">
        <f t="shared" ca="1" si="81"/>
        <v/>
      </c>
      <c r="AA193" s="316" t="str">
        <f t="shared" ca="1" si="82"/>
        <v/>
      </c>
      <c r="AC193" s="310" t="e">
        <f t="shared" ca="1" si="83"/>
        <v>#N/A</v>
      </c>
      <c r="AD193" s="323" t="e">
        <f t="shared" ca="1" si="84"/>
        <v>#N/A</v>
      </c>
      <c r="AE193" s="324">
        <f t="shared" ca="1" si="63"/>
        <v>79.225118754504081</v>
      </c>
      <c r="AG193" s="306">
        <f t="shared" ca="1" si="85"/>
        <v>-12.207386541334731</v>
      </c>
      <c r="AH193" s="304">
        <f t="shared" ca="1" si="86"/>
        <v>-2.4731124477427184</v>
      </c>
    </row>
    <row r="194" spans="1:34" x14ac:dyDescent="0.2">
      <c r="A194" s="347">
        <f t="shared" ca="1" si="64"/>
        <v>0.01</v>
      </c>
      <c r="B194" s="304">
        <f t="shared" ca="1" si="65"/>
        <v>1.9000000000000015</v>
      </c>
      <c r="D194" s="306">
        <f t="shared" ca="1" si="66"/>
        <v>-0.30565904452067139</v>
      </c>
      <c r="E194" s="307">
        <f t="shared" ca="1" si="67"/>
        <v>-12.250233524110973</v>
      </c>
      <c r="F194" s="304">
        <f t="shared" ca="1" si="68"/>
        <v>12.254046223462259</v>
      </c>
      <c r="G194" s="306">
        <f t="shared" ca="1" si="69"/>
        <v>5.4506158673447462</v>
      </c>
      <c r="H194" s="307">
        <f t="shared" ca="1" si="70"/>
        <v>43.416972774646283</v>
      </c>
      <c r="I194" s="304">
        <f t="shared" ca="1" si="71"/>
        <v>43.757773460811819</v>
      </c>
      <c r="J194" s="306">
        <f t="shared" ca="1" si="72"/>
        <v>8.505781107012929</v>
      </c>
      <c r="K194" s="307">
        <f t="shared" ca="1" si="73"/>
        <v>79.659900993926755</v>
      </c>
      <c r="L194" s="304">
        <f t="shared" ca="1" si="58"/>
        <v>80.112721452979173</v>
      </c>
      <c r="M194" s="306">
        <f t="shared" ca="1" si="74"/>
        <v>1.4459085618597085</v>
      </c>
      <c r="N194" s="304">
        <f t="shared" ca="1" si="75"/>
        <v>82.844458156391809</v>
      </c>
      <c r="P194" s="310">
        <f t="shared" ca="1" si="76"/>
        <v>13</v>
      </c>
      <c r="Q194" s="304">
        <f t="shared" ca="1" si="77"/>
        <v>0</v>
      </c>
      <c r="R194" s="306">
        <f t="shared" ca="1" si="78"/>
        <v>0</v>
      </c>
      <c r="S194" s="307">
        <f t="shared" ca="1" si="79"/>
        <v>2.0843000000000003</v>
      </c>
      <c r="T194" s="304">
        <f t="shared" ca="1" si="59"/>
        <v>20.446983000000003</v>
      </c>
      <c r="U194" s="311">
        <f t="shared" ca="1" si="60"/>
        <v>0</v>
      </c>
      <c r="V194" s="306">
        <f t="shared" ca="1" si="61"/>
        <v>1.2152803753451293</v>
      </c>
      <c r="W194" s="304">
        <f t="shared" ca="1" si="62"/>
        <v>5.0972541290309676</v>
      </c>
      <c r="Y194" s="314" t="str">
        <f t="shared" ca="1" si="80"/>
        <v/>
      </c>
      <c r="Z194" s="315" t="str">
        <f t="shared" ca="1" si="81"/>
        <v/>
      </c>
      <c r="AA194" s="316" t="str">
        <f t="shared" ca="1" si="82"/>
        <v/>
      </c>
      <c r="AC194" s="310" t="e">
        <f t="shared" ca="1" si="83"/>
        <v>#N/A</v>
      </c>
      <c r="AD194" s="323" t="e">
        <f t="shared" ca="1" si="84"/>
        <v>#N/A</v>
      </c>
      <c r="AE194" s="324">
        <f t="shared" ca="1" si="63"/>
        <v>79.659900993926755</v>
      </c>
      <c r="AG194" s="306">
        <f t="shared" ca="1" si="85"/>
        <v>-12.193238589771973</v>
      </c>
      <c r="AH194" s="304">
        <f t="shared" ca="1" si="86"/>
        <v>-2.4593021578676226</v>
      </c>
    </row>
    <row r="195" spans="1:34" x14ac:dyDescent="0.2">
      <c r="A195" s="347">
        <f t="shared" ca="1" si="64"/>
        <v>0.01</v>
      </c>
      <c r="B195" s="304">
        <f t="shared" ca="1" si="65"/>
        <v>1.9100000000000015</v>
      </c>
      <c r="D195" s="306">
        <f t="shared" ca="1" si="66"/>
        <v>-0.30462561460747212</v>
      </c>
      <c r="E195" s="307">
        <f t="shared" ca="1" si="67"/>
        <v>-12.23650047953489</v>
      </c>
      <c r="F195" s="304">
        <f t="shared" ca="1" si="68"/>
        <v>12.24029169385814</v>
      </c>
      <c r="G195" s="306">
        <f t="shared" ca="1" si="69"/>
        <v>5.4475696111986718</v>
      </c>
      <c r="H195" s="307">
        <f t="shared" ca="1" si="70"/>
        <v>43.294607769850934</v>
      </c>
      <c r="I195" s="304">
        <f t="shared" ca="1" si="71"/>
        <v>43.635983736064574</v>
      </c>
      <c r="J195" s="306">
        <f t="shared" ca="1" si="72"/>
        <v>8.5602720344056458</v>
      </c>
      <c r="K195" s="307">
        <f t="shared" ca="1" si="73"/>
        <v>80.093458896649238</v>
      </c>
      <c r="L195" s="304">
        <f t="shared" ca="1" si="58"/>
        <v>80.549614619390127</v>
      </c>
      <c r="M195" s="306">
        <f t="shared" ca="1" si="74"/>
        <v>1.4456285253845931</v>
      </c>
      <c r="N195" s="304">
        <f t="shared" ca="1" si="75"/>
        <v>82.828413248257974</v>
      </c>
      <c r="P195" s="310">
        <f t="shared" ca="1" si="76"/>
        <v>13</v>
      </c>
      <c r="Q195" s="304">
        <f t="shared" ca="1" si="77"/>
        <v>0</v>
      </c>
      <c r="R195" s="306">
        <f t="shared" ca="1" si="78"/>
        <v>0</v>
      </c>
      <c r="S195" s="307">
        <f t="shared" ca="1" si="79"/>
        <v>2.0843000000000003</v>
      </c>
      <c r="T195" s="304">
        <f t="shared" ca="1" si="59"/>
        <v>20.446983000000003</v>
      </c>
      <c r="U195" s="311">
        <f t="shared" ca="1" si="60"/>
        <v>0</v>
      </c>
      <c r="V195" s="306">
        <f t="shared" ca="1" si="61"/>
        <v>1.2152276862058207</v>
      </c>
      <c r="W195" s="304">
        <f t="shared" ca="1" si="62"/>
        <v>5.0686997744437052</v>
      </c>
      <c r="Y195" s="314" t="str">
        <f t="shared" ca="1" si="80"/>
        <v/>
      </c>
      <c r="Z195" s="315" t="str">
        <f t="shared" ca="1" si="81"/>
        <v/>
      </c>
      <c r="AA195" s="316" t="str">
        <f t="shared" ca="1" si="82"/>
        <v/>
      </c>
      <c r="AC195" s="310" t="e">
        <f t="shared" ca="1" si="83"/>
        <v>#N/A</v>
      </c>
      <c r="AD195" s="323" t="e">
        <f t="shared" ca="1" si="84"/>
        <v>#N/A</v>
      </c>
      <c r="AE195" s="324">
        <f t="shared" ca="1" si="63"/>
        <v>80.093458896649238</v>
      </c>
      <c r="AG195" s="306">
        <f t="shared" ca="1" si="85"/>
        <v>-12.179143572347668</v>
      </c>
      <c r="AH195" s="304">
        <f t="shared" ca="1" si="86"/>
        <v>-2.4455472480117866</v>
      </c>
    </row>
    <row r="196" spans="1:34" x14ac:dyDescent="0.2">
      <c r="A196" s="347">
        <f t="shared" ca="1" si="64"/>
        <v>0.01</v>
      </c>
      <c r="B196" s="304">
        <f t="shared" ca="1" si="65"/>
        <v>1.9200000000000015</v>
      </c>
      <c r="D196" s="306">
        <f t="shared" ca="1" si="66"/>
        <v>-0.30359481979628966</v>
      </c>
      <c r="E196" s="307">
        <f t="shared" ca="1" si="67"/>
        <v>-12.222822521261323</v>
      </c>
      <c r="F196" s="304">
        <f t="shared" ca="1" si="68"/>
        <v>12.226592338049883</v>
      </c>
      <c r="G196" s="306">
        <f t="shared" ca="1" si="69"/>
        <v>5.4445336630007093</v>
      </c>
      <c r="H196" s="307">
        <f t="shared" ca="1" si="70"/>
        <v>43.172379544638318</v>
      </c>
      <c r="I196" s="304">
        <f t="shared" ca="1" si="71"/>
        <v>43.514334446867657</v>
      </c>
      <c r="J196" s="306">
        <f t="shared" ca="1" si="72"/>
        <v>8.6147325507766421</v>
      </c>
      <c r="K196" s="307">
        <f t="shared" ca="1" si="73"/>
        <v>80.525793833221684</v>
      </c>
      <c r="L196" s="304">
        <f t="shared" ref="L196:L259" ca="1" si="87">SQRT(pos_x^2+pos_z^2)</f>
        <v>80.985289339434573</v>
      </c>
      <c r="M196" s="306">
        <f t="shared" ca="1" si="74"/>
        <v>1.4453470796409811</v>
      </c>
      <c r="N196" s="304">
        <f t="shared" ca="1" si="75"/>
        <v>82.812287594987083</v>
      </c>
      <c r="P196" s="310">
        <f t="shared" ca="1" si="76"/>
        <v>13</v>
      </c>
      <c r="Q196" s="304">
        <f t="shared" ca="1" si="77"/>
        <v>0</v>
      </c>
      <c r="R196" s="306">
        <f t="shared" ca="1" si="78"/>
        <v>0</v>
      </c>
      <c r="S196" s="307">
        <f t="shared" ca="1" si="79"/>
        <v>2.0843000000000003</v>
      </c>
      <c r="T196" s="304">
        <f t="shared" ref="T196:T259" ca="1" si="88">m*g</f>
        <v>20.446983000000003</v>
      </c>
      <c r="U196" s="311">
        <f t="shared" ref="U196:U259" ca="1" si="89">IF(pos_xz&lt;L_rampe,Poids*COS(Beta),0)</f>
        <v>0</v>
      </c>
      <c r="V196" s="306">
        <f t="shared" ref="V196:V259" ca="1" si="90">Rho_moyen*(20000-Alt_rampe-pos_z)/(20000+Alt_rampe+pos_z)</f>
        <v>1.2151751479559374</v>
      </c>
      <c r="W196" s="304">
        <f t="shared" ref="W196:W259" ca="1" si="91">1/2*Rho*Sref*Cx*vit_xz^2</f>
        <v>5.040260001723305</v>
      </c>
      <c r="Y196" s="314" t="str">
        <f t="shared" ca="1" si="80"/>
        <v/>
      </c>
      <c r="Z196" s="315" t="str">
        <f t="shared" ca="1" si="81"/>
        <v/>
      </c>
      <c r="AA196" s="316" t="str">
        <f t="shared" ca="1" si="82"/>
        <v/>
      </c>
      <c r="AC196" s="310" t="e">
        <f t="shared" ca="1" si="83"/>
        <v>#N/A</v>
      </c>
      <c r="AD196" s="323" t="e">
        <f t="shared" ca="1" si="84"/>
        <v>#N/A</v>
      </c>
      <c r="AE196" s="324">
        <f t="shared" ref="AE196:AE259" ca="1" si="92">IF(t&lt;T_para, pos_z, NA())</f>
        <v>80.525793833221684</v>
      </c>
      <c r="AG196" s="306">
        <f t="shared" ca="1" si="85"/>
        <v>-12.165101261925255</v>
      </c>
      <c r="AH196" s="304">
        <f t="shared" ca="1" si="86"/>
        <v>-2.4318475144862566</v>
      </c>
    </row>
    <row r="197" spans="1:34" x14ac:dyDescent="0.2">
      <c r="A197" s="347">
        <f t="shared" ref="A197:A260" ca="1" si="93">IF(B196+0.01&lt;=T_ini+ROUNDUP(Temps_fin_propu,0), 0.01, IF(K196&gt;0, 0.1, 0.0001))</f>
        <v>0.01</v>
      </c>
      <c r="B197" s="304">
        <f t="shared" ref="B197:B260" ca="1" si="94">B196+pas</f>
        <v>1.9300000000000015</v>
      </c>
      <c r="D197" s="306">
        <f t="shared" ref="D197:D260" ca="1" si="95">IF(AND(L196&lt;L_rampe,Poussee&lt;Poids*SIN(M196)),0,(-W196+Poussee)/m*COS(M196)-U196/m*SIN(M196))</f>
        <v>-0.30256664773921721</v>
      </c>
      <c r="E197" s="307">
        <f t="shared" ref="E197:E260" ca="1" si="96">IF(AND(L196&lt;L_rampe,Poussee&lt;Poids*SIN(M196)),0,(-W196+Poussee)/m*SIN(M196)+U196/m*COS(M196)-Poids/m)</f>
        <v>-12.2091994470555</v>
      </c>
      <c r="F197" s="304">
        <f t="shared" ref="F197:F260" ca="1" si="97">SQRT(acc_x^2+acc_z^2)</f>
        <v>12.212947953475625</v>
      </c>
      <c r="G197" s="306">
        <f t="shared" ref="G197:G260" ca="1" si="98">G196+acc_x*pas</f>
        <v>5.4415079965233168</v>
      </c>
      <c r="H197" s="307">
        <f t="shared" ref="H197:H260" ca="1" si="99">H196+acc_z*pas</f>
        <v>43.050287550167759</v>
      </c>
      <c r="I197" s="304">
        <f t="shared" ref="I197:I260" ca="1" si="100">SQRT(vit_x^2+vit_z^2)</f>
        <v>43.392825068533583</v>
      </c>
      <c r="J197" s="306">
        <f t="shared" ref="J197:J260" ca="1" si="101">J196+0.5*(vit_x+G196)*pas*(K196&gt;=0)</f>
        <v>8.669162759074263</v>
      </c>
      <c r="K197" s="307">
        <f t="shared" ref="K197:K260" ca="1" si="102">K196+0.5*(vit_z+H196)*pas</f>
        <v>80.956907168695707</v>
      </c>
      <c r="L197" s="304">
        <f t="shared" ca="1" si="87"/>
        <v>81.419746998281283</v>
      </c>
      <c r="M197" s="306">
        <f t="shared" ref="M197:M260" ca="1" si="103">IF(AND(L196&gt;L_rampe,G197&gt;0),ATAN2(G197,H197),$M$4)</f>
        <v>1.4450642145004478</v>
      </c>
      <c r="N197" s="304">
        <f t="shared" ref="N197:N260" ca="1" si="104">DEGREES(Beta)</f>
        <v>82.796080616263154</v>
      </c>
      <c r="P197" s="310">
        <f t="shared" ref="P197:P260" ca="1" si="105">MATCH(t-pas/2-T_ini,CdP_t)</f>
        <v>13</v>
      </c>
      <c r="Q197" s="304">
        <f t="shared" ref="Q197:Q260" ca="1" si="106">(INDEX(CdP,2,i_P+1)-INDEX(CdP,2,i_P+0))/(INDEX(CdP,1,i_P+1)-INDEX(CdP,1,i_P+0))*(t-pas/2-T_ini-INDEX(CdP,1,i_P+0))+INDEX(CdP,2,i_P+0)</f>
        <v>0</v>
      </c>
      <c r="R197" s="306">
        <f t="shared" ref="R197:R260" ca="1" si="107">Poussee/(g*ISP)</f>
        <v>0</v>
      </c>
      <c r="S197" s="307">
        <f t="shared" ref="S197:S260" ca="1" si="108">S196-Débit*pas</f>
        <v>2.0843000000000003</v>
      </c>
      <c r="T197" s="304">
        <f t="shared" ca="1" si="88"/>
        <v>20.446983000000003</v>
      </c>
      <c r="U197" s="311">
        <f t="shared" ca="1" si="89"/>
        <v>0</v>
      </c>
      <c r="V197" s="306">
        <f t="shared" ca="1" si="90"/>
        <v>1.2151227604102623</v>
      </c>
      <c r="W197" s="304">
        <f t="shared" ca="1" si="91"/>
        <v>5.0119343910872916</v>
      </c>
      <c r="Y197" s="314" t="str">
        <f t="shared" ref="Y197:Y260" ca="1" si="109">IF(AND(pos_z&lt;=0,K196&gt;0),"Impact balistique","") &amp; IF(AND(H198&lt;0,vit_z&gt;=0),"Apogée","") &amp; IF(AND(Poussee=0,Q196&gt;0),"Fin de propulsion","") &amp; IF(AND(L198&gt;L_rampe,pos_xz&lt;=L_rampe),"Sortie de rampe","")</f>
        <v/>
      </c>
      <c r="Z197" s="315" t="str">
        <f t="shared" ref="Z197:Z260" ca="1" si="110">IF(ABS(t-T_para)&lt;pas/2,"Para","")</f>
        <v/>
      </c>
      <c r="AA197" s="316" t="str">
        <f t="shared" ref="AA197:AA260" ca="1" si="111">IF(ABS(t-T_satellite)&lt;pas/2,"Satellite","")</f>
        <v/>
      </c>
      <c r="AC197" s="310" t="e">
        <f t="shared" ref="AC197:AC260" ca="1" si="112">IF(ABS(t-ROUND(t,0))&lt;0.001,t,NA())</f>
        <v>#N/A</v>
      </c>
      <c r="AD197" s="323" t="e">
        <f t="shared" ref="AD197:AD260" ca="1" si="113">IF(ABS(t-ROUND(t,0))&lt;0.001,pos_x,NA())</f>
        <v>#N/A</v>
      </c>
      <c r="AE197" s="324">
        <f t="shared" ca="1" si="92"/>
        <v>80.956907168695707</v>
      </c>
      <c r="AG197" s="306">
        <f t="shared" ref="AG197:AG260" ca="1" si="114">IF(AND(L196&lt;L_rampe,Poussee&lt;Poids*SIN(M196)),0,(-W196+Poussee)/m-Poids*SIN(M196)/m)</f>
        <v>-12.151111432233964</v>
      </c>
      <c r="AH197" s="304">
        <f t="shared" ref="AH197:AH260" ca="1" si="115">IF(AND(L196&lt;L_rampe,Poussee&lt;Poids*SIN(M196)), g*SIN(M196), (-W196+Poussee)/m)</f>
        <v>-2.4182027547489824</v>
      </c>
    </row>
    <row r="198" spans="1:34" x14ac:dyDescent="0.2">
      <c r="A198" s="347">
        <f t="shared" ca="1" si="93"/>
        <v>0.01</v>
      </c>
      <c r="B198" s="304">
        <f t="shared" ca="1" si="94"/>
        <v>1.9400000000000015</v>
      </c>
      <c r="D198" s="306">
        <f t="shared" ca="1" si="95"/>
        <v>-0.30154108615126246</v>
      </c>
      <c r="E198" s="307">
        <f t="shared" ca="1" si="96"/>
        <v>-12.195631055820526</v>
      </c>
      <c r="F198" s="304">
        <f t="shared" ca="1" si="97"/>
        <v>12.199358338713202</v>
      </c>
      <c r="G198" s="306">
        <f t="shared" ca="1" si="98"/>
        <v>5.4384925856618045</v>
      </c>
      <c r="H198" s="307">
        <f t="shared" ca="1" si="99"/>
        <v>42.928331239609555</v>
      </c>
      <c r="I198" s="304">
        <f t="shared" ca="1" si="100"/>
        <v>43.271455078630488</v>
      </c>
      <c r="J198" s="306">
        <f t="shared" ca="1" si="101"/>
        <v>8.723562761985189</v>
      </c>
      <c r="K198" s="307">
        <f t="shared" ca="1" si="102"/>
        <v>81.386800262644599</v>
      </c>
      <c r="L198" s="304">
        <f t="shared" ca="1" si="87"/>
        <v>81.852988975686785</v>
      </c>
      <c r="M198" s="306">
        <f t="shared" ca="1" si="103"/>
        <v>1.444779919737186</v>
      </c>
      <c r="N198" s="304">
        <f t="shared" ca="1" si="104"/>
        <v>82.779791726190581</v>
      </c>
      <c r="P198" s="310">
        <f t="shared" ca="1" si="105"/>
        <v>13</v>
      </c>
      <c r="Q198" s="304">
        <f t="shared" ca="1" si="106"/>
        <v>0</v>
      </c>
      <c r="R198" s="306">
        <f t="shared" ca="1" si="107"/>
        <v>0</v>
      </c>
      <c r="S198" s="307">
        <f t="shared" ca="1" si="108"/>
        <v>2.0843000000000003</v>
      </c>
      <c r="T198" s="304">
        <f t="shared" ca="1" si="88"/>
        <v>20.446983000000003</v>
      </c>
      <c r="U198" s="311">
        <f t="shared" ca="1" si="89"/>
        <v>0</v>
      </c>
      <c r="V198" s="306">
        <f t="shared" ca="1" si="90"/>
        <v>1.2150705233843277</v>
      </c>
      <c r="W198" s="304">
        <f t="shared" ca="1" si="91"/>
        <v>4.9837225251146666</v>
      </c>
      <c r="Y198" s="314" t="str">
        <f t="shared" ca="1" si="109"/>
        <v/>
      </c>
      <c r="Z198" s="315" t="str">
        <f t="shared" ca="1" si="110"/>
        <v/>
      </c>
      <c r="AA198" s="316" t="str">
        <f t="shared" ca="1" si="111"/>
        <v/>
      </c>
      <c r="AC198" s="310" t="e">
        <f t="shared" ca="1" si="112"/>
        <v>#N/A</v>
      </c>
      <c r="AD198" s="323" t="e">
        <f t="shared" ca="1" si="113"/>
        <v>#N/A</v>
      </c>
      <c r="AE198" s="324">
        <f t="shared" ca="1" si="92"/>
        <v>81.386800262644599</v>
      </c>
      <c r="AG198" s="306">
        <f t="shared" ca="1" si="114"/>
        <v>-12.137173857857793</v>
      </c>
      <c r="AH198" s="304">
        <f t="shared" ca="1" si="115"/>
        <v>-2.4046127673978273</v>
      </c>
    </row>
    <row r="199" spans="1:34" x14ac:dyDescent="0.2">
      <c r="A199" s="347">
        <f t="shared" ca="1" si="93"/>
        <v>0.01</v>
      </c>
      <c r="B199" s="304">
        <f t="shared" ca="1" si="94"/>
        <v>1.9500000000000015</v>
      </c>
      <c r="D199" s="306">
        <f t="shared" ca="1" si="95"/>
        <v>-0.30051812280996587</v>
      </c>
      <c r="E199" s="307">
        <f t="shared" ca="1" si="96"/>
        <v>-12.182117147590446</v>
      </c>
      <c r="F199" s="304">
        <f t="shared" ca="1" si="97"/>
        <v>12.185823293473216</v>
      </c>
      <c r="G199" s="306">
        <f t="shared" ca="1" si="98"/>
        <v>5.4354874044337045</v>
      </c>
      <c r="H199" s="307">
        <f t="shared" ca="1" si="99"/>
        <v>42.806510068133647</v>
      </c>
      <c r="I199" s="304">
        <f t="shared" ca="1" si="100"/>
        <v>43.150223956973676</v>
      </c>
      <c r="J199" s="306">
        <f t="shared" ca="1" si="101"/>
        <v>8.777932661935667</v>
      </c>
      <c r="K199" s="307">
        <f t="shared" ca="1" si="102"/>
        <v>81.815474469183314</v>
      </c>
      <c r="L199" s="304">
        <f t="shared" ca="1" si="87"/>
        <v>82.285016646015592</v>
      </c>
      <c r="M199" s="306">
        <f t="shared" ca="1" si="103"/>
        <v>1.444494185026842</v>
      </c>
      <c r="N199" s="304">
        <f t="shared" ca="1" si="104"/>
        <v>82.763420333227486</v>
      </c>
      <c r="P199" s="310">
        <f t="shared" ca="1" si="105"/>
        <v>13</v>
      </c>
      <c r="Q199" s="304">
        <f t="shared" ca="1" si="106"/>
        <v>0</v>
      </c>
      <c r="R199" s="306">
        <f t="shared" ca="1" si="107"/>
        <v>0</v>
      </c>
      <c r="S199" s="307">
        <f t="shared" ca="1" si="108"/>
        <v>2.0843000000000003</v>
      </c>
      <c r="T199" s="304">
        <f t="shared" ca="1" si="88"/>
        <v>20.446983000000003</v>
      </c>
      <c r="U199" s="311">
        <f t="shared" ca="1" si="89"/>
        <v>0</v>
      </c>
      <c r="V199" s="306">
        <f t="shared" ca="1" si="90"/>
        <v>1.2150184366944148</v>
      </c>
      <c r="W199" s="304">
        <f t="shared" ca="1" si="91"/>
        <v>4.9556239887315758</v>
      </c>
      <c r="Y199" s="314" t="str">
        <f t="shared" ca="1" si="109"/>
        <v/>
      </c>
      <c r="Z199" s="315" t="str">
        <f t="shared" ca="1" si="110"/>
        <v/>
      </c>
      <c r="AA199" s="316" t="str">
        <f t="shared" ca="1" si="111"/>
        <v/>
      </c>
      <c r="AC199" s="310" t="e">
        <f t="shared" ca="1" si="112"/>
        <v>#N/A</v>
      </c>
      <c r="AD199" s="323" t="e">
        <f t="shared" ca="1" si="113"/>
        <v>#N/A</v>
      </c>
      <c r="AE199" s="324">
        <f t="shared" ca="1" si="92"/>
        <v>81.815474469183314</v>
      </c>
      <c r="AG199" s="306">
        <f t="shared" ca="1" si="114"/>
        <v>-12.123288314224451</v>
      </c>
      <c r="AH199" s="304">
        <f t="shared" ca="1" si="115"/>
        <v>-2.3910773521636357</v>
      </c>
    </row>
    <row r="200" spans="1:34" x14ac:dyDescent="0.2">
      <c r="A200" s="347">
        <f t="shared" ca="1" si="93"/>
        <v>0.01</v>
      </c>
      <c r="B200" s="304">
        <f t="shared" ca="1" si="94"/>
        <v>1.9600000000000015</v>
      </c>
      <c r="D200" s="306">
        <f t="shared" ca="1" si="95"/>
        <v>-0.29949774555501851</v>
      </c>
      <c r="E200" s="307">
        <f t="shared" ca="1" si="96"/>
        <v>-12.1686575235234</v>
      </c>
      <c r="F200" s="304">
        <f t="shared" ca="1" si="97"/>
        <v>12.172342618592166</v>
      </c>
      <c r="G200" s="306">
        <f t="shared" ca="1" si="98"/>
        <v>5.432492426978154</v>
      </c>
      <c r="H200" s="307">
        <f t="shared" ca="1" si="99"/>
        <v>42.684823492898417</v>
      </c>
      <c r="I200" s="304">
        <f t="shared" ca="1" si="100"/>
        <v>43.029131185617352</v>
      </c>
      <c r="J200" s="306">
        <f t="shared" ca="1" si="101"/>
        <v>8.8322725610927257</v>
      </c>
      <c r="K200" s="307">
        <f t="shared" ca="1" si="102"/>
        <v>82.242931136988474</v>
      </c>
      <c r="L200" s="304">
        <f t="shared" ca="1" si="87"/>
        <v>82.715831378260717</v>
      </c>
      <c r="M200" s="306">
        <f t="shared" ca="1" si="103"/>
        <v>1.4442069999453324</v>
      </c>
      <c r="N200" s="304">
        <f t="shared" ca="1" si="104"/>
        <v>82.746965840117866</v>
      </c>
      <c r="P200" s="310">
        <f t="shared" ca="1" si="105"/>
        <v>13</v>
      </c>
      <c r="Q200" s="304">
        <f t="shared" ca="1" si="106"/>
        <v>0</v>
      </c>
      <c r="R200" s="306">
        <f t="shared" ca="1" si="107"/>
        <v>0</v>
      </c>
      <c r="S200" s="307">
        <f t="shared" ca="1" si="108"/>
        <v>2.0843000000000003</v>
      </c>
      <c r="T200" s="304">
        <f t="shared" ca="1" si="88"/>
        <v>20.446983000000003</v>
      </c>
      <c r="U200" s="311">
        <f t="shared" ca="1" si="89"/>
        <v>0</v>
      </c>
      <c r="V200" s="306">
        <f t="shared" ca="1" si="90"/>
        <v>1.2149665001575494</v>
      </c>
      <c r="W200" s="304">
        <f t="shared" ca="1" si="91"/>
        <v>4.9276383691970818</v>
      </c>
      <c r="Y200" s="314" t="str">
        <f t="shared" ca="1" si="109"/>
        <v/>
      </c>
      <c r="Z200" s="315" t="str">
        <f t="shared" ca="1" si="110"/>
        <v/>
      </c>
      <c r="AA200" s="316" t="str">
        <f t="shared" ca="1" si="111"/>
        <v/>
      </c>
      <c r="AC200" s="310" t="e">
        <f t="shared" ca="1" si="112"/>
        <v>#N/A</v>
      </c>
      <c r="AD200" s="323" t="e">
        <f t="shared" ca="1" si="113"/>
        <v>#N/A</v>
      </c>
      <c r="AE200" s="324">
        <f t="shared" ca="1" si="92"/>
        <v>82.242931136988474</v>
      </c>
      <c r="AG200" s="306">
        <f t="shared" ca="1" si="114"/>
        <v>-12.109454577594329</v>
      </c>
      <c r="AH200" s="304">
        <f t="shared" ca="1" si="115"/>
        <v>-2.3775963099033608</v>
      </c>
    </row>
    <row r="201" spans="1:34" x14ac:dyDescent="0.2">
      <c r="A201" s="347">
        <f t="shared" ca="1" si="93"/>
        <v>0.01</v>
      </c>
      <c r="B201" s="304">
        <f t="shared" ca="1" si="94"/>
        <v>1.9700000000000015</v>
      </c>
      <c r="D201" s="306">
        <f t="shared" ca="1" si="95"/>
        <v>-0.29847994228788544</v>
      </c>
      <c r="E201" s="307">
        <f t="shared" ca="1" si="96"/>
        <v>-12.155251985894786</v>
      </c>
      <c r="F201" s="304">
        <f t="shared" ca="1" si="97"/>
        <v>12.15891611602561</v>
      </c>
      <c r="G201" s="306">
        <f t="shared" ca="1" si="98"/>
        <v>5.4295076275552754</v>
      </c>
      <c r="H201" s="307">
        <f t="shared" ca="1" si="99"/>
        <v>42.563270973039472</v>
      </c>
      <c r="I201" s="304">
        <f t="shared" ca="1" si="100"/>
        <v>42.908176248846388</v>
      </c>
      <c r="J201" s="306">
        <f t="shared" ca="1" si="101"/>
        <v>8.8865825613653922</v>
      </c>
      <c r="K201" s="307">
        <f t="shared" ca="1" si="102"/>
        <v>82.66917160931817</v>
      </c>
      <c r="L201" s="304">
        <f t="shared" ca="1" si="87"/>
        <v>83.145434536063746</v>
      </c>
      <c r="M201" s="306">
        <f t="shared" ca="1" si="103"/>
        <v>1.4439183539676463</v>
      </c>
      <c r="N201" s="304">
        <f t="shared" ca="1" si="104"/>
        <v>82.73042764382302</v>
      </c>
      <c r="P201" s="310">
        <f t="shared" ca="1" si="105"/>
        <v>13</v>
      </c>
      <c r="Q201" s="304">
        <f t="shared" ca="1" si="106"/>
        <v>0</v>
      </c>
      <c r="R201" s="306">
        <f t="shared" ca="1" si="107"/>
        <v>0</v>
      </c>
      <c r="S201" s="307">
        <f t="shared" ca="1" si="108"/>
        <v>2.0843000000000003</v>
      </c>
      <c r="T201" s="304">
        <f t="shared" ca="1" si="88"/>
        <v>20.446983000000003</v>
      </c>
      <c r="U201" s="311">
        <f t="shared" ca="1" si="89"/>
        <v>0</v>
      </c>
      <c r="V201" s="306">
        <f t="shared" ca="1" si="90"/>
        <v>1.2149147135915002</v>
      </c>
      <c r="W201" s="304">
        <f t="shared" ca="1" si="91"/>
        <v>4.8997652560890348</v>
      </c>
      <c r="Y201" s="314" t="str">
        <f t="shared" ca="1" si="109"/>
        <v/>
      </c>
      <c r="Z201" s="315" t="str">
        <f t="shared" ca="1" si="110"/>
        <v/>
      </c>
      <c r="AA201" s="316" t="str">
        <f t="shared" ca="1" si="111"/>
        <v/>
      </c>
      <c r="AC201" s="310" t="e">
        <f t="shared" ca="1" si="112"/>
        <v>#N/A</v>
      </c>
      <c r="AD201" s="323" t="e">
        <f t="shared" ca="1" si="113"/>
        <v>#N/A</v>
      </c>
      <c r="AE201" s="324">
        <f t="shared" ca="1" si="92"/>
        <v>82.66917160931817</v>
      </c>
      <c r="AG201" s="306">
        <f t="shared" ca="1" si="114"/>
        <v>-12.095672425049417</v>
      </c>
      <c r="AH201" s="304">
        <f t="shared" ca="1" si="115"/>
        <v>-2.3641694425932358</v>
      </c>
    </row>
    <row r="202" spans="1:34" x14ac:dyDescent="0.2">
      <c r="A202" s="347">
        <f t="shared" ca="1" si="93"/>
        <v>0.01</v>
      </c>
      <c r="B202" s="304">
        <f t="shared" ca="1" si="94"/>
        <v>1.9800000000000015</v>
      </c>
      <c r="D202" s="306">
        <f t="shared" ca="1" si="95"/>
        <v>-0.29746470097142819</v>
      </c>
      <c r="E202" s="307">
        <f t="shared" ca="1" si="96"/>
        <v>-12.141900338090492</v>
      </c>
      <c r="F202" s="304">
        <f t="shared" ca="1" si="97"/>
        <v>12.145543588841385</v>
      </c>
      <c r="G202" s="306">
        <f t="shared" ca="1" si="98"/>
        <v>5.4265329805455611</v>
      </c>
      <c r="H202" s="307">
        <f t="shared" ca="1" si="99"/>
        <v>42.441851969658565</v>
      </c>
      <c r="I202" s="304">
        <f t="shared" ca="1" si="100"/>
        <v>42.787358633168267</v>
      </c>
      <c r="J202" s="306">
        <f t="shared" ca="1" si="101"/>
        <v>8.940862764405896</v>
      </c>
      <c r="K202" s="307">
        <f t="shared" ca="1" si="102"/>
        <v>83.09419722403166</v>
      </c>
      <c r="L202" s="304">
        <f t="shared" ca="1" si="87"/>
        <v>83.57382747773498</v>
      </c>
      <c r="M202" s="306">
        <f t="shared" ca="1" si="103"/>
        <v>1.4436282364666284</v>
      </c>
      <c r="N202" s="304">
        <f t="shared" ca="1" si="104"/>
        <v>82.713805135451807</v>
      </c>
      <c r="P202" s="310">
        <f t="shared" ca="1" si="105"/>
        <v>13</v>
      </c>
      <c r="Q202" s="304">
        <f t="shared" ca="1" si="106"/>
        <v>0</v>
      </c>
      <c r="R202" s="306">
        <f t="shared" ca="1" si="107"/>
        <v>0</v>
      </c>
      <c r="S202" s="307">
        <f t="shared" ca="1" si="108"/>
        <v>2.0843000000000003</v>
      </c>
      <c r="T202" s="304">
        <f t="shared" ca="1" si="88"/>
        <v>20.446983000000003</v>
      </c>
      <c r="U202" s="311">
        <f t="shared" ca="1" si="89"/>
        <v>0</v>
      </c>
      <c r="V202" s="306">
        <f t="shared" ca="1" si="90"/>
        <v>1.2148630768147759</v>
      </c>
      <c r="W202" s="304">
        <f t="shared" ca="1" si="91"/>
        <v>4.8720042412900675</v>
      </c>
      <c r="Y202" s="314" t="str">
        <f t="shared" ca="1" si="109"/>
        <v/>
      </c>
      <c r="Z202" s="315" t="str">
        <f t="shared" ca="1" si="110"/>
        <v/>
      </c>
      <c r="AA202" s="316" t="str">
        <f t="shared" ca="1" si="111"/>
        <v/>
      </c>
      <c r="AC202" s="310" t="e">
        <f t="shared" ca="1" si="112"/>
        <v>#N/A</v>
      </c>
      <c r="AD202" s="323" t="e">
        <f t="shared" ca="1" si="113"/>
        <v>#N/A</v>
      </c>
      <c r="AE202" s="324">
        <f t="shared" ca="1" si="92"/>
        <v>83.09419722403166</v>
      </c>
      <c r="AG202" s="306">
        <f t="shared" ca="1" si="114"/>
        <v>-12.081941634482213</v>
      </c>
      <c r="AH202" s="304">
        <f t="shared" ca="1" si="115"/>
        <v>-2.3507965533219952</v>
      </c>
    </row>
    <row r="203" spans="1:34" x14ac:dyDescent="0.2">
      <c r="A203" s="347">
        <f t="shared" ca="1" si="93"/>
        <v>0.01</v>
      </c>
      <c r="B203" s="304">
        <f t="shared" ca="1" si="94"/>
        <v>1.9900000000000015</v>
      </c>
      <c r="D203" s="306">
        <f t="shared" ca="1" si="95"/>
        <v>-0.2964520096295355</v>
      </c>
      <c r="E203" s="307">
        <f t="shared" ca="1" si="96"/>
        <v>-12.128602384600196</v>
      </c>
      <c r="F203" s="304">
        <f t="shared" ca="1" si="97"/>
        <v>12.132224841212881</v>
      </c>
      <c r="G203" s="306">
        <f t="shared" ca="1" si="98"/>
        <v>5.4235684604492658</v>
      </c>
      <c r="H203" s="307">
        <f t="shared" ca="1" si="99"/>
        <v>42.320565945812561</v>
      </c>
      <c r="I203" s="304">
        <f t="shared" ca="1" si="100"/>
        <v>42.666677827305115</v>
      </c>
      <c r="J203" s="306">
        <f t="shared" ca="1" si="101"/>
        <v>8.9951132716108706</v>
      </c>
      <c r="K203" s="307">
        <f t="shared" ca="1" si="102"/>
        <v>83.518009313609014</v>
      </c>
      <c r="L203" s="304">
        <f t="shared" ca="1" si="87"/>
        <v>84.001011556273482</v>
      </c>
      <c r="M203" s="306">
        <f t="shared" ca="1" si="103"/>
        <v>1.4433366367117451</v>
      </c>
      <c r="N203" s="304">
        <f t="shared" ca="1" si="104"/>
        <v>82.697097700189943</v>
      </c>
      <c r="P203" s="310">
        <f t="shared" ca="1" si="105"/>
        <v>13</v>
      </c>
      <c r="Q203" s="304">
        <f t="shared" ca="1" si="106"/>
        <v>0</v>
      </c>
      <c r="R203" s="306">
        <f t="shared" ca="1" si="107"/>
        <v>0</v>
      </c>
      <c r="S203" s="307">
        <f t="shared" ca="1" si="108"/>
        <v>2.0843000000000003</v>
      </c>
      <c r="T203" s="304">
        <f t="shared" ca="1" si="88"/>
        <v>20.446983000000003</v>
      </c>
      <c r="U203" s="311">
        <f t="shared" ca="1" si="89"/>
        <v>0</v>
      </c>
      <c r="V203" s="306">
        <f t="shared" ca="1" si="90"/>
        <v>1.2148115896466223</v>
      </c>
      <c r="W203" s="304">
        <f t="shared" ca="1" si="91"/>
        <v>4.8443549189736803</v>
      </c>
      <c r="Y203" s="314" t="str">
        <f t="shared" ca="1" si="109"/>
        <v/>
      </c>
      <c r="Z203" s="315" t="str">
        <f t="shared" ca="1" si="110"/>
        <v/>
      </c>
      <c r="AA203" s="316" t="str">
        <f t="shared" ca="1" si="111"/>
        <v/>
      </c>
      <c r="AC203" s="310" t="e">
        <f t="shared" ca="1" si="112"/>
        <v>#N/A</v>
      </c>
      <c r="AD203" s="323" t="e">
        <f t="shared" ca="1" si="113"/>
        <v>#N/A</v>
      </c>
      <c r="AE203" s="324">
        <f t="shared" ca="1" si="92"/>
        <v>83.518009313609014</v>
      </c>
      <c r="AG203" s="306">
        <f t="shared" ca="1" si="114"/>
        <v>-12.068261984584616</v>
      </c>
      <c r="AH203" s="304">
        <f t="shared" ca="1" si="115"/>
        <v>-2.3374774462841561</v>
      </c>
    </row>
    <row r="204" spans="1:34" x14ac:dyDescent="0.2">
      <c r="A204" s="347">
        <f t="shared" ca="1" si="93"/>
        <v>0.01</v>
      </c>
      <c r="B204" s="304">
        <f t="shared" ca="1" si="94"/>
        <v>2.0000000000000013</v>
      </c>
      <c r="D204" s="306">
        <f t="shared" ca="1" si="95"/>
        <v>-0.29544185634675435</v>
      </c>
      <c r="E204" s="307">
        <f t="shared" ca="1" si="96"/>
        <v>-12.11535793101068</v>
      </c>
      <c r="F204" s="304">
        <f t="shared" ca="1" si="97"/>
        <v>12.118959678412375</v>
      </c>
      <c r="G204" s="306">
        <f t="shared" ca="1" si="98"/>
        <v>5.4206140418857984</v>
      </c>
      <c r="H204" s="307">
        <f t="shared" ca="1" si="99"/>
        <v>42.199412366502457</v>
      </c>
      <c r="I204" s="304">
        <f t="shared" ca="1" si="100"/>
        <v>42.546133322185817</v>
      </c>
      <c r="J204" s="306">
        <f t="shared" ca="1" si="101"/>
        <v>9.0493341841225465</v>
      </c>
      <c r="K204" s="307">
        <f t="shared" ca="1" si="102"/>
        <v>83.940609205170588</v>
      </c>
      <c r="L204" s="304">
        <f t="shared" ca="1" si="87"/>
        <v>84.426988119386905</v>
      </c>
      <c r="M204" s="306">
        <f t="shared" ca="1" si="103"/>
        <v>1.4430435438678333</v>
      </c>
      <c r="N204" s="304">
        <f t="shared" ca="1" si="104"/>
        <v>82.68030471722831</v>
      </c>
      <c r="P204" s="310">
        <f t="shared" ca="1" si="105"/>
        <v>13</v>
      </c>
      <c r="Q204" s="304">
        <f t="shared" ca="1" si="106"/>
        <v>0</v>
      </c>
      <c r="R204" s="306">
        <f t="shared" ca="1" si="107"/>
        <v>0</v>
      </c>
      <c r="S204" s="307">
        <f t="shared" ca="1" si="108"/>
        <v>2.0843000000000003</v>
      </c>
      <c r="T204" s="304">
        <f t="shared" ca="1" si="88"/>
        <v>20.446983000000003</v>
      </c>
      <c r="U204" s="311">
        <f t="shared" ca="1" si="89"/>
        <v>0</v>
      </c>
      <c r="V204" s="306">
        <f t="shared" ca="1" si="90"/>
        <v>1.2147602519070182</v>
      </c>
      <c r="W204" s="304">
        <f t="shared" ca="1" si="91"/>
        <v>4.8168168855904279</v>
      </c>
      <c r="Y204" s="314" t="str">
        <f t="shared" ca="1" si="109"/>
        <v/>
      </c>
      <c r="Z204" s="315" t="str">
        <f t="shared" ca="1" si="110"/>
        <v/>
      </c>
      <c r="AA204" s="316" t="str">
        <f t="shared" ca="1" si="111"/>
        <v/>
      </c>
      <c r="AC204" s="310">
        <f t="shared" ca="1" si="112"/>
        <v>2.0000000000000013</v>
      </c>
      <c r="AD204" s="323">
        <f t="shared" ca="1" si="113"/>
        <v>9.0493341841225465</v>
      </c>
      <c r="AE204" s="324">
        <f t="shared" ca="1" si="92"/>
        <v>83.940609205170588</v>
      </c>
      <c r="AG204" s="306">
        <f t="shared" ca="1" si="114"/>
        <v>-12.054633254836784</v>
      </c>
      <c r="AH204" s="304">
        <f t="shared" ca="1" si="115"/>
        <v>-2.3242119267733434</v>
      </c>
    </row>
    <row r="205" spans="1:34" x14ac:dyDescent="0.2">
      <c r="A205" s="347">
        <f t="shared" ca="1" si="93"/>
        <v>0.1</v>
      </c>
      <c r="B205" s="304">
        <f t="shared" ca="1" si="94"/>
        <v>2.1000000000000014</v>
      </c>
      <c r="D205" s="306">
        <f t="shared" ca="1" si="95"/>
        <v>-0.29443422926792301</v>
      </c>
      <c r="E205" s="307">
        <f t="shared" ca="1" si="96"/>
        <v>-12.102166783999223</v>
      </c>
      <c r="F205" s="304">
        <f t="shared" ca="1" si="97"/>
        <v>12.105747906804384</v>
      </c>
      <c r="G205" s="306">
        <f t="shared" ca="1" si="98"/>
        <v>5.3911706189590065</v>
      </c>
      <c r="H205" s="307">
        <f t="shared" ca="1" si="99"/>
        <v>40.989195688102534</v>
      </c>
      <c r="I205" s="304">
        <f t="shared" ca="1" si="100"/>
        <v>41.342216725767017</v>
      </c>
      <c r="J205" s="306">
        <f t="shared" ca="1" si="101"/>
        <v>9.5899234171647869</v>
      </c>
      <c r="K205" s="307">
        <f t="shared" ca="1" si="102"/>
        <v>88.10003960790084</v>
      </c>
      <c r="L205" s="304">
        <f t="shared" ca="1" si="87"/>
        <v>88.620446907363217</v>
      </c>
      <c r="M205" s="306">
        <f t="shared" ca="1" si="103"/>
        <v>1.4400203618289007</v>
      </c>
      <c r="N205" s="304">
        <f t="shared" ca="1" si="104"/>
        <v>82.507089145697719</v>
      </c>
      <c r="P205" s="310">
        <f t="shared" ca="1" si="105"/>
        <v>23</v>
      </c>
      <c r="Q205" s="304">
        <f t="shared" ca="1" si="106"/>
        <v>0</v>
      </c>
      <c r="R205" s="306">
        <f t="shared" ca="1" si="107"/>
        <v>0</v>
      </c>
      <c r="S205" s="307">
        <f t="shared" ca="1" si="108"/>
        <v>2.0843000000000003</v>
      </c>
      <c r="T205" s="304">
        <f t="shared" ca="1" si="88"/>
        <v>20.446983000000003</v>
      </c>
      <c r="U205" s="311">
        <f t="shared" ca="1" si="89"/>
        <v>0</v>
      </c>
      <c r="V205" s="306">
        <f t="shared" ca="1" si="90"/>
        <v>1.2142550765570777</v>
      </c>
      <c r="W205" s="304">
        <f t="shared" ca="1" si="91"/>
        <v>4.5461819869513249</v>
      </c>
      <c r="Y205" s="314" t="str">
        <f t="shared" ca="1" si="109"/>
        <v/>
      </c>
      <c r="Z205" s="315" t="str">
        <f t="shared" ca="1" si="110"/>
        <v/>
      </c>
      <c r="AA205" s="316" t="str">
        <f t="shared" ca="1" si="111"/>
        <v/>
      </c>
      <c r="AC205" s="310" t="e">
        <f t="shared" ca="1" si="112"/>
        <v>#N/A</v>
      </c>
      <c r="AD205" s="323" t="e">
        <f t="shared" ca="1" si="113"/>
        <v>#N/A</v>
      </c>
      <c r="AE205" s="324">
        <f t="shared" ca="1" si="92"/>
        <v>88.10003960790084</v>
      </c>
      <c r="AG205" s="306">
        <f t="shared" ca="1" si="114"/>
        <v>-12.041055225495969</v>
      </c>
      <c r="AH205" s="304">
        <f t="shared" ca="1" si="115"/>
        <v>-2.3109998011756594</v>
      </c>
    </row>
    <row r="206" spans="1:34" x14ac:dyDescent="0.2">
      <c r="A206" s="347">
        <f t="shared" ca="1" si="93"/>
        <v>0.1</v>
      </c>
      <c r="B206" s="304">
        <f t="shared" ca="1" si="94"/>
        <v>2.2000000000000015</v>
      </c>
      <c r="D206" s="306">
        <f t="shared" ca="1" si="95"/>
        <v>-0.2844303302416355</v>
      </c>
      <c r="E206" s="307">
        <f t="shared" ca="1" si="96"/>
        <v>-11.9725304205559</v>
      </c>
      <c r="F206" s="304">
        <f t="shared" ca="1" si="97"/>
        <v>11.975908536887621</v>
      </c>
      <c r="G206" s="306">
        <f t="shared" ca="1" si="98"/>
        <v>5.3627275859348433</v>
      </c>
      <c r="H206" s="307">
        <f t="shared" ca="1" si="99"/>
        <v>39.791942646046941</v>
      </c>
      <c r="I206" s="304">
        <f t="shared" ca="1" si="100"/>
        <v>40.151681741954917</v>
      </c>
      <c r="J206" s="306">
        <f t="shared" ca="1" si="101"/>
        <v>10.127618327409479</v>
      </c>
      <c r="K206" s="307">
        <f t="shared" ca="1" si="102"/>
        <v>92.13909652460832</v>
      </c>
      <c r="L206" s="304">
        <f t="shared" ca="1" si="87"/>
        <v>92.694022252552898</v>
      </c>
      <c r="M206" s="306">
        <f t="shared" ca="1" si="103"/>
        <v>1.4368342917867269</v>
      </c>
      <c r="N206" s="304">
        <f t="shared" ca="1" si="104"/>
        <v>82.324540779048093</v>
      </c>
      <c r="P206" s="310">
        <f t="shared" ca="1" si="105"/>
        <v>23</v>
      </c>
      <c r="Q206" s="304">
        <f t="shared" ca="1" si="106"/>
        <v>0</v>
      </c>
      <c r="R206" s="306">
        <f t="shared" ca="1" si="107"/>
        <v>0</v>
      </c>
      <c r="S206" s="307">
        <f t="shared" ca="1" si="108"/>
        <v>2.0843000000000003</v>
      </c>
      <c r="T206" s="304">
        <f t="shared" ca="1" si="88"/>
        <v>20.446983000000003</v>
      </c>
      <c r="U206" s="311">
        <f t="shared" ca="1" si="89"/>
        <v>0</v>
      </c>
      <c r="V206" s="306">
        <f t="shared" ca="1" si="90"/>
        <v>1.2137647210980964</v>
      </c>
      <c r="W206" s="304">
        <f t="shared" ca="1" si="91"/>
        <v>4.2863868235136504</v>
      </c>
      <c r="Y206" s="314" t="str">
        <f t="shared" ca="1" si="109"/>
        <v/>
      </c>
      <c r="Z206" s="315" t="str">
        <f t="shared" ca="1" si="110"/>
        <v/>
      </c>
      <c r="AA206" s="316" t="str">
        <f t="shared" ca="1" si="111"/>
        <v/>
      </c>
      <c r="AC206" s="310" t="e">
        <f t="shared" ca="1" si="112"/>
        <v>#N/A</v>
      </c>
      <c r="AD206" s="323" t="e">
        <f t="shared" ca="1" si="113"/>
        <v>#N/A</v>
      </c>
      <c r="AE206" s="324">
        <f t="shared" ca="1" si="92"/>
        <v>92.13909652460832</v>
      </c>
      <c r="AG206" s="306">
        <f t="shared" ca="1" si="114"/>
        <v>-11.907387743498717</v>
      </c>
      <c r="AH206" s="304">
        <f t="shared" ca="1" si="115"/>
        <v>-2.1811552976785129</v>
      </c>
    </row>
    <row r="207" spans="1:34" x14ac:dyDescent="0.2">
      <c r="A207" s="347">
        <f t="shared" ca="1" si="93"/>
        <v>0.1</v>
      </c>
      <c r="B207" s="304">
        <f t="shared" ca="1" si="94"/>
        <v>2.3000000000000016</v>
      </c>
      <c r="D207" s="306">
        <f t="shared" ca="1" si="95"/>
        <v>-0.27467120246378934</v>
      </c>
      <c r="E207" s="307">
        <f t="shared" ca="1" si="96"/>
        <v>-11.848086134307074</v>
      </c>
      <c r="F207" s="304">
        <f t="shared" ca="1" si="97"/>
        <v>11.851269523364255</v>
      </c>
      <c r="G207" s="306">
        <f t="shared" ca="1" si="98"/>
        <v>5.3352604656884646</v>
      </c>
      <c r="H207" s="307">
        <f t="shared" ca="1" si="99"/>
        <v>38.60713403261623</v>
      </c>
      <c r="I207" s="304">
        <f t="shared" ca="1" si="100"/>
        <v>38.974040109400164</v>
      </c>
      <c r="J207" s="306">
        <f t="shared" ca="1" si="101"/>
        <v>10.662517729990645</v>
      </c>
      <c r="K207" s="307">
        <f t="shared" ca="1" si="102"/>
        <v>96.059050358541484</v>
      </c>
      <c r="L207" s="304">
        <f t="shared" ca="1" si="87"/>
        <v>96.649006410449829</v>
      </c>
      <c r="M207" s="306">
        <f t="shared" ca="1" si="103"/>
        <v>1.4334724567910069</v>
      </c>
      <c r="N207" s="304">
        <f t="shared" ca="1" si="104"/>
        <v>82.131921822373954</v>
      </c>
      <c r="P207" s="310">
        <f t="shared" ca="1" si="105"/>
        <v>23</v>
      </c>
      <c r="Q207" s="304">
        <f t="shared" ca="1" si="106"/>
        <v>0</v>
      </c>
      <c r="R207" s="306">
        <f t="shared" ca="1" si="107"/>
        <v>0</v>
      </c>
      <c r="S207" s="307">
        <f t="shared" ca="1" si="108"/>
        <v>2.0843000000000003</v>
      </c>
      <c r="T207" s="304">
        <f t="shared" ca="1" si="88"/>
        <v>20.446983000000003</v>
      </c>
      <c r="U207" s="311">
        <f t="shared" ca="1" si="89"/>
        <v>0</v>
      </c>
      <c r="V207" s="306">
        <f t="shared" ca="1" si="90"/>
        <v>1.2132890136424921</v>
      </c>
      <c r="W207" s="304">
        <f t="shared" ca="1" si="91"/>
        <v>4.0370533711712913</v>
      </c>
      <c r="Y207" s="314" t="str">
        <f t="shared" ca="1" si="109"/>
        <v/>
      </c>
      <c r="Z207" s="315" t="str">
        <f t="shared" ca="1" si="110"/>
        <v/>
      </c>
      <c r="AA207" s="316" t="str">
        <f t="shared" ca="1" si="111"/>
        <v/>
      </c>
      <c r="AC207" s="310" t="e">
        <f t="shared" ca="1" si="112"/>
        <v>#N/A</v>
      </c>
      <c r="AD207" s="323" t="e">
        <f t="shared" ca="1" si="113"/>
        <v>#N/A</v>
      </c>
      <c r="AE207" s="324">
        <f t="shared" ca="1" si="92"/>
        <v>96.059050358541484</v>
      </c>
      <c r="AG207" s="306">
        <f t="shared" ca="1" si="114"/>
        <v>-11.77861873372329</v>
      </c>
      <c r="AH207" s="304">
        <f t="shared" ca="1" si="115"/>
        <v>-2.0565114539719089</v>
      </c>
    </row>
    <row r="208" spans="1:34" x14ac:dyDescent="0.2">
      <c r="A208" s="347">
        <f t="shared" ca="1" si="93"/>
        <v>0.1</v>
      </c>
      <c r="B208" s="304">
        <f t="shared" ca="1" si="94"/>
        <v>2.4000000000000017</v>
      </c>
      <c r="D208" s="306">
        <f t="shared" ca="1" si="95"/>
        <v>-0.26514562229511685</v>
      </c>
      <c r="E208" s="307">
        <f t="shared" ca="1" si="96"/>
        <v>-11.728652827531278</v>
      </c>
      <c r="F208" s="304">
        <f t="shared" ca="1" si="97"/>
        <v>11.731649472677731</v>
      </c>
      <c r="G208" s="306">
        <f t="shared" ca="1" si="98"/>
        <v>5.308745903458953</v>
      </c>
      <c r="H208" s="307">
        <f t="shared" ca="1" si="99"/>
        <v>37.434268749863101</v>
      </c>
      <c r="I208" s="304">
        <f t="shared" ca="1" si="100"/>
        <v>37.808825159008435</v>
      </c>
      <c r="J208" s="306">
        <f t="shared" ca="1" si="101"/>
        <v>11.194718048448015</v>
      </c>
      <c r="K208" s="307">
        <f t="shared" ca="1" si="102"/>
        <v>99.861120497665453</v>
      </c>
      <c r="L208" s="304">
        <f t="shared" ca="1" si="87"/>
        <v>100.48664139692154</v>
      </c>
      <c r="M208" s="306">
        <f t="shared" ca="1" si="103"/>
        <v>1.4299205878175281</v>
      </c>
      <c r="N208" s="304">
        <f t="shared" ca="1" si="104"/>
        <v>81.928414720810153</v>
      </c>
      <c r="P208" s="310">
        <f t="shared" ca="1" si="105"/>
        <v>23</v>
      </c>
      <c r="Q208" s="304">
        <f t="shared" ca="1" si="106"/>
        <v>0</v>
      </c>
      <c r="R208" s="306">
        <f t="shared" ca="1" si="107"/>
        <v>0</v>
      </c>
      <c r="S208" s="307">
        <f t="shared" ca="1" si="108"/>
        <v>2.0843000000000003</v>
      </c>
      <c r="T208" s="304">
        <f t="shared" ca="1" si="88"/>
        <v>20.446983000000003</v>
      </c>
      <c r="U208" s="311">
        <f t="shared" ca="1" si="89"/>
        <v>0</v>
      </c>
      <c r="V208" s="306">
        <f t="shared" ca="1" si="90"/>
        <v>1.2128277892691617</v>
      </c>
      <c r="W208" s="304">
        <f t="shared" ca="1" si="91"/>
        <v>3.797824352615919</v>
      </c>
      <c r="Y208" s="314" t="str">
        <f t="shared" ca="1" si="109"/>
        <v/>
      </c>
      <c r="Z208" s="315" t="str">
        <f t="shared" ca="1" si="110"/>
        <v/>
      </c>
      <c r="AA208" s="316" t="str">
        <f t="shared" ca="1" si="111"/>
        <v/>
      </c>
      <c r="AC208" s="310" t="e">
        <f t="shared" ca="1" si="112"/>
        <v>#N/A</v>
      </c>
      <c r="AD208" s="323" t="e">
        <f t="shared" ca="1" si="113"/>
        <v>#N/A</v>
      </c>
      <c r="AE208" s="324">
        <f t="shared" ca="1" si="92"/>
        <v>99.861120497665453</v>
      </c>
      <c r="AG208" s="306">
        <f t="shared" ca="1" si="114"/>
        <v>-11.654534439226646</v>
      </c>
      <c r="AH208" s="304">
        <f t="shared" ca="1" si="115"/>
        <v>-1.9368869026393949</v>
      </c>
    </row>
    <row r="209" spans="1:34" x14ac:dyDescent="0.2">
      <c r="A209" s="347">
        <f t="shared" ca="1" si="93"/>
        <v>0.1</v>
      </c>
      <c r="B209" s="304">
        <f t="shared" ca="1" si="94"/>
        <v>2.5000000000000018</v>
      </c>
      <c r="D209" s="306">
        <f t="shared" ca="1" si="95"/>
        <v>-0.25584291971675749</v>
      </c>
      <c r="E209" s="307">
        <f t="shared" ca="1" si="96"/>
        <v>-11.614059336911678</v>
      </c>
      <c r="F209" s="304">
        <f t="shared" ca="1" si="97"/>
        <v>11.616876941797848</v>
      </c>
      <c r="G209" s="306">
        <f t="shared" ca="1" si="98"/>
        <v>5.2831616114872775</v>
      </c>
      <c r="H209" s="307">
        <f t="shared" ca="1" si="99"/>
        <v>36.27286281617193</v>
      </c>
      <c r="I209" s="304">
        <f t="shared" ca="1" si="100"/>
        <v>36.655591299199102</v>
      </c>
      <c r="J209" s="306">
        <f t="shared" ca="1" si="101"/>
        <v>11.724313424195326</v>
      </c>
      <c r="K209" s="307">
        <f t="shared" ca="1" si="102"/>
        <v>103.5464770759672</v>
      </c>
      <c r="L209" s="304">
        <f t="shared" ca="1" si="87"/>
        <v>104.2081207973379</v>
      </c>
      <c r="M209" s="306">
        <f t="shared" ca="1" si="103"/>
        <v>1.4261628319976478</v>
      </c>
      <c r="N209" s="304">
        <f t="shared" ca="1" si="104"/>
        <v>81.71311117189029</v>
      </c>
      <c r="P209" s="310">
        <f t="shared" ca="1" si="105"/>
        <v>23</v>
      </c>
      <c r="Q209" s="304">
        <f t="shared" ca="1" si="106"/>
        <v>0</v>
      </c>
      <c r="R209" s="306">
        <f t="shared" ca="1" si="107"/>
        <v>0</v>
      </c>
      <c r="S209" s="307">
        <f t="shared" ca="1" si="108"/>
        <v>2.0843000000000003</v>
      </c>
      <c r="T209" s="304">
        <f t="shared" ca="1" si="88"/>
        <v>20.446983000000003</v>
      </c>
      <c r="U209" s="311">
        <f t="shared" ca="1" si="89"/>
        <v>0</v>
      </c>
      <c r="V209" s="306">
        <f t="shared" ca="1" si="90"/>
        <v>1.2123808897785571</v>
      </c>
      <c r="W209" s="304">
        <f t="shared" ca="1" si="91"/>
        <v>3.5683620481123932</v>
      </c>
      <c r="Y209" s="314" t="str">
        <f t="shared" ca="1" si="109"/>
        <v/>
      </c>
      <c r="Z209" s="315" t="str">
        <f t="shared" ca="1" si="110"/>
        <v/>
      </c>
      <c r="AA209" s="316" t="str">
        <f t="shared" ca="1" si="111"/>
        <v/>
      </c>
      <c r="AC209" s="310" t="e">
        <f t="shared" ca="1" si="112"/>
        <v>#N/A</v>
      </c>
      <c r="AD209" s="323" t="e">
        <f t="shared" ca="1" si="113"/>
        <v>#N/A</v>
      </c>
      <c r="AE209" s="324">
        <f t="shared" ca="1" si="92"/>
        <v>103.5464770759672</v>
      </c>
      <c r="AG209" s="306">
        <f t="shared" ca="1" si="114"/>
        <v>-11.53492661336694</v>
      </c>
      <c r="AH209" s="304">
        <f t="shared" ca="1" si="115"/>
        <v>-1.8221102301088703</v>
      </c>
    </row>
    <row r="210" spans="1:34" x14ac:dyDescent="0.2">
      <c r="A210" s="347">
        <f t="shared" ca="1" si="93"/>
        <v>0.1</v>
      </c>
      <c r="B210" s="304">
        <f t="shared" ca="1" si="94"/>
        <v>2.6000000000000019</v>
      </c>
      <c r="D210" s="306">
        <f t="shared" ca="1" si="95"/>
        <v>-0.24675294774391043</v>
      </c>
      <c r="E210" s="307">
        <f t="shared" ca="1" si="96"/>
        <v>-11.504143863314688</v>
      </c>
      <c r="F210" s="304">
        <f t="shared" ca="1" si="97"/>
        <v>11.506789867076799</v>
      </c>
      <c r="G210" s="306">
        <f t="shared" ca="1" si="98"/>
        <v>5.2584863167128866</v>
      </c>
      <c r="H210" s="307">
        <f t="shared" ca="1" si="99"/>
        <v>35.12244842984046</v>
      </c>
      <c r="I210" s="304">
        <f t="shared" ca="1" si="100"/>
        <v>35.513913640288358</v>
      </c>
      <c r="J210" s="306">
        <f t="shared" ca="1" si="101"/>
        <v>12.251395820605335</v>
      </c>
      <c r="K210" s="307">
        <f t="shared" ca="1" si="102"/>
        <v>107.11624263826782</v>
      </c>
      <c r="L210" s="304">
        <f t="shared" ca="1" si="87"/>
        <v>107.81459148229153</v>
      </c>
      <c r="M210" s="306">
        <f t="shared" ca="1" si="103"/>
        <v>1.4221815284878974</v>
      </c>
      <c r="N210" s="304">
        <f t="shared" ca="1" si="104"/>
        <v>81.484999283820969</v>
      </c>
      <c r="P210" s="310">
        <f t="shared" ca="1" si="105"/>
        <v>23</v>
      </c>
      <c r="Q210" s="304">
        <f t="shared" ca="1" si="106"/>
        <v>0</v>
      </c>
      <c r="R210" s="306">
        <f t="shared" ca="1" si="107"/>
        <v>0</v>
      </c>
      <c r="S210" s="307">
        <f t="shared" ca="1" si="108"/>
        <v>2.0843000000000003</v>
      </c>
      <c r="T210" s="304">
        <f t="shared" ca="1" si="88"/>
        <v>20.446983000000003</v>
      </c>
      <c r="U210" s="311">
        <f t="shared" ca="1" si="89"/>
        <v>0</v>
      </c>
      <c r="V210" s="306">
        <f t="shared" ca="1" si="90"/>
        <v>1.2119481634612899</v>
      </c>
      <c r="W210" s="304">
        <f t="shared" ca="1" si="91"/>
        <v>3.3483471914620164</v>
      </c>
      <c r="Y210" s="314" t="str">
        <f t="shared" ca="1" si="109"/>
        <v/>
      </c>
      <c r="Z210" s="315" t="str">
        <f t="shared" ca="1" si="110"/>
        <v/>
      </c>
      <c r="AA210" s="316" t="str">
        <f t="shared" ca="1" si="111"/>
        <v/>
      </c>
      <c r="AC210" s="310" t="e">
        <f t="shared" ca="1" si="112"/>
        <v>#N/A</v>
      </c>
      <c r="AD210" s="323" t="e">
        <f t="shared" ca="1" si="113"/>
        <v>#N/A</v>
      </c>
      <c r="AE210" s="324">
        <f t="shared" ca="1" si="92"/>
        <v>107.11624263826782</v>
      </c>
      <c r="AG210" s="306">
        <f t="shared" ca="1" si="114"/>
        <v>-11.419591201130281</v>
      </c>
      <c r="AH210" s="304">
        <f t="shared" ca="1" si="115"/>
        <v>-1.7120194060895231</v>
      </c>
    </row>
    <row r="211" spans="1:34" x14ac:dyDescent="0.2">
      <c r="A211" s="347">
        <f t="shared" ca="1" si="93"/>
        <v>0.1</v>
      </c>
      <c r="B211" s="304">
        <f t="shared" ca="1" si="94"/>
        <v>2.700000000000002</v>
      </c>
      <c r="D211" s="306">
        <f t="shared" ca="1" si="95"/>
        <v>-0.23786605462356045</v>
      </c>
      <c r="E211" s="307">
        <f t="shared" ca="1" si="96"/>
        <v>-11.398753442254467</v>
      </c>
      <c r="F211" s="304">
        <f t="shared" ca="1" si="97"/>
        <v>11.401235033857088</v>
      </c>
      <c r="G211" s="306">
        <f t="shared" ca="1" si="98"/>
        <v>5.2346997112505305</v>
      </c>
      <c r="H211" s="307">
        <f t="shared" ca="1" si="99"/>
        <v>33.982573085615016</v>
      </c>
      <c r="I211" s="304">
        <f t="shared" ca="1" si="100"/>
        <v>34.383387770639068</v>
      </c>
      <c r="J211" s="306">
        <f t="shared" ca="1" si="101"/>
        <v>12.776055122003505</v>
      </c>
      <c r="K211" s="307">
        <f t="shared" ca="1" si="102"/>
        <v>110.5714937140406</v>
      </c>
      <c r="L211" s="304">
        <f t="shared" ca="1" si="87"/>
        <v>111.30715523556692</v>
      </c>
      <c r="M211" s="306">
        <f t="shared" ca="1" si="103"/>
        <v>1.4179569454798777</v>
      </c>
      <c r="N211" s="304">
        <f t="shared" ca="1" si="104"/>
        <v>81.24294850725876</v>
      </c>
      <c r="P211" s="310">
        <f t="shared" ca="1" si="105"/>
        <v>23</v>
      </c>
      <c r="Q211" s="304">
        <f t="shared" ca="1" si="106"/>
        <v>0</v>
      </c>
      <c r="R211" s="306">
        <f t="shared" ca="1" si="107"/>
        <v>0</v>
      </c>
      <c r="S211" s="307">
        <f t="shared" ca="1" si="108"/>
        <v>2.0843000000000003</v>
      </c>
      <c r="T211" s="304">
        <f t="shared" ca="1" si="88"/>
        <v>20.446983000000003</v>
      </c>
      <c r="U211" s="311">
        <f t="shared" ca="1" si="89"/>
        <v>0</v>
      </c>
      <c r="V211" s="306">
        <f t="shared" ca="1" si="90"/>
        <v>1.2115294648795001</v>
      </c>
      <c r="W211" s="304">
        <f t="shared" ca="1" si="91"/>
        <v>3.1374779445319976</v>
      </c>
      <c r="Y211" s="314" t="str">
        <f t="shared" ca="1" si="109"/>
        <v/>
      </c>
      <c r="Z211" s="315" t="str">
        <f t="shared" ca="1" si="110"/>
        <v/>
      </c>
      <c r="AA211" s="316" t="str">
        <f t="shared" ca="1" si="111"/>
        <v/>
      </c>
      <c r="AC211" s="310" t="e">
        <f t="shared" ca="1" si="112"/>
        <v>#N/A</v>
      </c>
      <c r="AD211" s="323" t="e">
        <f t="shared" ca="1" si="113"/>
        <v>#N/A</v>
      </c>
      <c r="AE211" s="324">
        <f t="shared" ca="1" si="92"/>
        <v>110.5714937140406</v>
      </c>
      <c r="AG211" s="306">
        <f t="shared" ca="1" si="114"/>
        <v>-11.308326911002666</v>
      </c>
      <c r="AH211" s="304">
        <f t="shared" ca="1" si="115"/>
        <v>-1.6064612538799674</v>
      </c>
    </row>
    <row r="212" spans="1:34" x14ac:dyDescent="0.2">
      <c r="A212" s="347">
        <f t="shared" ca="1" si="93"/>
        <v>0.1</v>
      </c>
      <c r="B212" s="304">
        <f t="shared" ca="1" si="94"/>
        <v>2.800000000000002</v>
      </c>
      <c r="D212" s="306">
        <f t="shared" ca="1" si="95"/>
        <v>-0.22917305873680469</v>
      </c>
      <c r="E212" s="307">
        <f t="shared" ca="1" si="96"/>
        <v>-11.297743451842999</v>
      </c>
      <c r="F212" s="304">
        <f t="shared" ca="1" si="97"/>
        <v>11.300067583625868</v>
      </c>
      <c r="G212" s="306">
        <f t="shared" ca="1" si="98"/>
        <v>5.2117824053768498</v>
      </c>
      <c r="H212" s="307">
        <f t="shared" ca="1" si="99"/>
        <v>32.852798740430714</v>
      </c>
      <c r="I212" s="304">
        <f t="shared" ca="1" si="100"/>
        <v>33.263629701525986</v>
      </c>
      <c r="J212" s="306">
        <f t="shared" ca="1" si="101"/>
        <v>13.298379227834875</v>
      </c>
      <c r="K212" s="307">
        <f t="shared" ca="1" si="102"/>
        <v>113.91326230534288</v>
      </c>
      <c r="L212" s="304">
        <f t="shared" ca="1" si="87"/>
        <v>114.68687029966927</v>
      </c>
      <c r="M212" s="306">
        <f t="shared" ca="1" si="103"/>
        <v>1.4134669703288925</v>
      </c>
      <c r="N212" s="304">
        <f t="shared" ca="1" si="104"/>
        <v>80.985691880988696</v>
      </c>
      <c r="P212" s="310">
        <f t="shared" ca="1" si="105"/>
        <v>23</v>
      </c>
      <c r="Q212" s="304">
        <f t="shared" ca="1" si="106"/>
        <v>0</v>
      </c>
      <c r="R212" s="306">
        <f t="shared" ca="1" si="107"/>
        <v>0</v>
      </c>
      <c r="S212" s="307">
        <f t="shared" ca="1" si="108"/>
        <v>2.0843000000000003</v>
      </c>
      <c r="T212" s="304">
        <f t="shared" ca="1" si="88"/>
        <v>20.446983000000003</v>
      </c>
      <c r="U212" s="311">
        <f t="shared" ca="1" si="89"/>
        <v>0</v>
      </c>
      <c r="V212" s="306">
        <f t="shared" ca="1" si="90"/>
        <v>1.2111246546602585</v>
      </c>
      <c r="W212" s="304">
        <f t="shared" ca="1" si="91"/>
        <v>2.9354689443185831</v>
      </c>
      <c r="Y212" s="314" t="str">
        <f t="shared" ca="1" si="109"/>
        <v/>
      </c>
      <c r="Z212" s="315" t="str">
        <f t="shared" ca="1" si="110"/>
        <v/>
      </c>
      <c r="AA212" s="316" t="str">
        <f t="shared" ca="1" si="111"/>
        <v/>
      </c>
      <c r="AC212" s="310" t="e">
        <f t="shared" ca="1" si="112"/>
        <v>#N/A</v>
      </c>
      <c r="AD212" s="323" t="e">
        <f t="shared" ca="1" si="113"/>
        <v>#N/A</v>
      </c>
      <c r="AE212" s="324">
        <f t="shared" ca="1" si="92"/>
        <v>113.91326230534288</v>
      </c>
      <c r="AG212" s="306">
        <f t="shared" ca="1" si="114"/>
        <v>-11.20093363889084</v>
      </c>
      <c r="AH212" s="304">
        <f t="shared" ca="1" si="115"/>
        <v>-1.5052909583706746</v>
      </c>
    </row>
    <row r="213" spans="1:34" x14ac:dyDescent="0.2">
      <c r="A213" s="347">
        <f t="shared" ca="1" si="93"/>
        <v>0.1</v>
      </c>
      <c r="B213" s="304">
        <f t="shared" ca="1" si="94"/>
        <v>2.9000000000000021</v>
      </c>
      <c r="D213" s="306">
        <f t="shared" ca="1" si="95"/>
        <v>-0.22066522616686343</v>
      </c>
      <c r="E213" s="307">
        <f t="shared" ca="1" si="96"/>
        <v>-11.200977155299601</v>
      </c>
      <c r="F213" s="304">
        <f t="shared" ca="1" si="97"/>
        <v>11.203150555784868</v>
      </c>
      <c r="G213" s="306">
        <f t="shared" ca="1" si="98"/>
        <v>5.1897158827601633</v>
      </c>
      <c r="H213" s="307">
        <f t="shared" ca="1" si="99"/>
        <v>31.732701024900756</v>
      </c>
      <c r="I213" s="304">
        <f t="shared" ca="1" si="100"/>
        <v>32.154276003037459</v>
      </c>
      <c r="J213" s="306">
        <f t="shared" ca="1" si="101"/>
        <v>13.818454142241725</v>
      </c>
      <c r="K213" s="307">
        <f t="shared" ca="1" si="102"/>
        <v>117.14253729360945</v>
      </c>
      <c r="L213" s="304">
        <f t="shared" ca="1" si="87"/>
        <v>117.95475284390163</v>
      </c>
      <c r="M213" s="306">
        <f t="shared" ca="1" si="103"/>
        <v>1.4086867428496155</v>
      </c>
      <c r="N213" s="304">
        <f t="shared" ca="1" si="104"/>
        <v>80.711805021313666</v>
      </c>
      <c r="P213" s="310">
        <f t="shared" ca="1" si="105"/>
        <v>23</v>
      </c>
      <c r="Q213" s="304">
        <f t="shared" ca="1" si="106"/>
        <v>0</v>
      </c>
      <c r="R213" s="306">
        <f t="shared" ca="1" si="107"/>
        <v>0</v>
      </c>
      <c r="S213" s="307">
        <f t="shared" ca="1" si="108"/>
        <v>2.0843000000000003</v>
      </c>
      <c r="T213" s="304">
        <f t="shared" ca="1" si="88"/>
        <v>20.446983000000003</v>
      </c>
      <c r="U213" s="311">
        <f t="shared" ca="1" si="89"/>
        <v>0</v>
      </c>
      <c r="V213" s="306">
        <f t="shared" ca="1" si="90"/>
        <v>1.2107335993003332</v>
      </c>
      <c r="W213" s="304">
        <f t="shared" ca="1" si="91"/>
        <v>2.7420504170434747</v>
      </c>
      <c r="Y213" s="314" t="str">
        <f t="shared" ca="1" si="109"/>
        <v/>
      </c>
      <c r="Z213" s="315" t="str">
        <f t="shared" ca="1" si="110"/>
        <v/>
      </c>
      <c r="AA213" s="316" t="str">
        <f t="shared" ca="1" si="111"/>
        <v/>
      </c>
      <c r="AC213" s="310" t="e">
        <f t="shared" ca="1" si="112"/>
        <v>#N/A</v>
      </c>
      <c r="AD213" s="323" t="e">
        <f t="shared" ca="1" si="113"/>
        <v>#N/A</v>
      </c>
      <c r="AE213" s="324">
        <f t="shared" ca="1" si="92"/>
        <v>117.14253729360945</v>
      </c>
      <c r="AG213" s="306">
        <f t="shared" ca="1" si="114"/>
        <v>-11.097210696327007</v>
      </c>
      <c r="AH213" s="304">
        <f t="shared" ca="1" si="115"/>
        <v>-1.4083716088464149</v>
      </c>
    </row>
    <row r="214" spans="1:34" x14ac:dyDescent="0.2">
      <c r="A214" s="347">
        <f t="shared" ca="1" si="93"/>
        <v>0.1</v>
      </c>
      <c r="B214" s="304">
        <f t="shared" ca="1" si="94"/>
        <v>3.0000000000000022</v>
      </c>
      <c r="D214" s="306">
        <f t="shared" ca="1" si="95"/>
        <v>-0.21233425093958924</v>
      </c>
      <c r="E214" s="307">
        <f t="shared" ca="1" si="96"/>
        <v>-11.10832527533832</v>
      </c>
      <c r="F214" s="304">
        <f t="shared" ca="1" si="97"/>
        <v>11.110354461350108</v>
      </c>
      <c r="G214" s="306">
        <f t="shared" ca="1" si="98"/>
        <v>5.1684824576662045</v>
      </c>
      <c r="H214" s="307">
        <f t="shared" ca="1" si="99"/>
        <v>30.621868497366926</v>
      </c>
      <c r="I214" s="304">
        <f t="shared" ca="1" si="100"/>
        <v>31.054984160118906</v>
      </c>
      <c r="J214" s="306">
        <f t="shared" ca="1" si="101"/>
        <v>14.336364059263044</v>
      </c>
      <c r="K214" s="307">
        <f t="shared" ca="1" si="102"/>
        <v>120.26026576972284</v>
      </c>
      <c r="L214" s="304">
        <f t="shared" ca="1" si="87"/>
        <v>121.11177835967936</v>
      </c>
      <c r="M214" s="306">
        <f t="shared" ca="1" si="103"/>
        <v>1.4035882193644993</v>
      </c>
      <c r="N214" s="304">
        <f t="shared" ca="1" si="104"/>
        <v>80.419681143868175</v>
      </c>
      <c r="P214" s="310">
        <f t="shared" ca="1" si="105"/>
        <v>23</v>
      </c>
      <c r="Q214" s="304">
        <f t="shared" ca="1" si="106"/>
        <v>0</v>
      </c>
      <c r="R214" s="306">
        <f t="shared" ca="1" si="107"/>
        <v>0</v>
      </c>
      <c r="S214" s="307">
        <f t="shared" ca="1" si="108"/>
        <v>2.0843000000000003</v>
      </c>
      <c r="T214" s="304">
        <f t="shared" ca="1" si="88"/>
        <v>20.446983000000003</v>
      </c>
      <c r="U214" s="311">
        <f t="shared" ca="1" si="89"/>
        <v>0</v>
      </c>
      <c r="V214" s="306">
        <f t="shared" ca="1" si="90"/>
        <v>1.2103561709816903</v>
      </c>
      <c r="W214" s="304">
        <f t="shared" ca="1" si="91"/>
        <v>2.5569673542644007</v>
      </c>
      <c r="Y214" s="314" t="str">
        <f t="shared" ca="1" si="109"/>
        <v/>
      </c>
      <c r="Z214" s="315" t="str">
        <f t="shared" ca="1" si="110"/>
        <v/>
      </c>
      <c r="AA214" s="316" t="str">
        <f t="shared" ca="1" si="111"/>
        <v/>
      </c>
      <c r="AC214" s="310">
        <f t="shared" ca="1" si="112"/>
        <v>3.0000000000000022</v>
      </c>
      <c r="AD214" s="323">
        <f t="shared" ca="1" si="113"/>
        <v>14.336364059263044</v>
      </c>
      <c r="AE214" s="324">
        <f t="shared" ca="1" si="92"/>
        <v>120.26026576972284</v>
      </c>
      <c r="AG214" s="306">
        <f t="shared" ca="1" si="114"/>
        <v>-10.996954782959866</v>
      </c>
      <c r="AH214" s="304">
        <f t="shared" ca="1" si="115"/>
        <v>-1.3155737739497551</v>
      </c>
    </row>
    <row r="215" spans="1:34" x14ac:dyDescent="0.2">
      <c r="A215" s="347">
        <f t="shared" ca="1" si="93"/>
        <v>0.1</v>
      </c>
      <c r="B215" s="304">
        <f t="shared" ca="1" si="94"/>
        <v>3.1000000000000023</v>
      </c>
      <c r="D215" s="306">
        <f t="shared" ca="1" si="95"/>
        <v>-0.20417223799649872</v>
      </c>
      <c r="E215" s="307">
        <f t="shared" ca="1" si="96"/>
        <v>-11.019665597968384</v>
      </c>
      <c r="F215" s="304">
        <f t="shared" ca="1" si="97"/>
        <v>11.021556886112615</v>
      </c>
      <c r="G215" s="306">
        <f t="shared" ca="1" si="98"/>
        <v>5.1480652338665545</v>
      </c>
      <c r="H215" s="307">
        <f t="shared" ca="1" si="99"/>
        <v>29.519901937570086</v>
      </c>
      <c r="I215" s="304">
        <f t="shared" ca="1" si="100"/>
        <v>29.965433186521761</v>
      </c>
      <c r="J215" s="306">
        <f t="shared" ca="1" si="101"/>
        <v>14.852191443839683</v>
      </c>
      <c r="K215" s="307">
        <f t="shared" ca="1" si="102"/>
        <v>123.26735429146969</v>
      </c>
      <c r="L215" s="304">
        <f t="shared" ca="1" si="87"/>
        <v>124.15888298749782</v>
      </c>
      <c r="M215" s="306">
        <f t="shared" ca="1" si="103"/>
        <v>1.3981396519295766</v>
      </c>
      <c r="N215" s="304">
        <f t="shared" ca="1" si="104"/>
        <v>80.107501225454683</v>
      </c>
      <c r="P215" s="310">
        <f t="shared" ca="1" si="105"/>
        <v>23</v>
      </c>
      <c r="Q215" s="304">
        <f t="shared" ca="1" si="106"/>
        <v>0</v>
      </c>
      <c r="R215" s="306">
        <f t="shared" ca="1" si="107"/>
        <v>0</v>
      </c>
      <c r="S215" s="307">
        <f t="shared" ca="1" si="108"/>
        <v>2.0843000000000003</v>
      </c>
      <c r="T215" s="304">
        <f t="shared" ca="1" si="88"/>
        <v>20.446983000000003</v>
      </c>
      <c r="U215" s="311">
        <f t="shared" ca="1" si="89"/>
        <v>0</v>
      </c>
      <c r="V215" s="306">
        <f t="shared" ca="1" si="90"/>
        <v>1.2099922473971556</v>
      </c>
      <c r="W215" s="304">
        <f t="shared" ca="1" si="91"/>
        <v>2.3799787464162905</v>
      </c>
      <c r="Y215" s="314" t="str">
        <f t="shared" ca="1" si="109"/>
        <v/>
      </c>
      <c r="Z215" s="315" t="str">
        <f t="shared" ca="1" si="110"/>
        <v/>
      </c>
      <c r="AA215" s="316" t="str">
        <f t="shared" ca="1" si="111"/>
        <v/>
      </c>
      <c r="AC215" s="310" t="e">
        <f t="shared" ca="1" si="112"/>
        <v>#N/A</v>
      </c>
      <c r="AD215" s="323" t="e">
        <f t="shared" ca="1" si="113"/>
        <v>#N/A</v>
      </c>
      <c r="AE215" s="324">
        <f t="shared" ca="1" si="92"/>
        <v>123.26735429146969</v>
      </c>
      <c r="AG215" s="306">
        <f t="shared" ca="1" si="114"/>
        <v>-10.899957627126266</v>
      </c>
      <c r="AH215" s="304">
        <f t="shared" ca="1" si="115"/>
        <v>-1.2267751063975436</v>
      </c>
    </row>
    <row r="216" spans="1:34" x14ac:dyDescent="0.2">
      <c r="A216" s="347">
        <f t="shared" ca="1" si="93"/>
        <v>0.1</v>
      </c>
      <c r="B216" s="304">
        <f t="shared" ca="1" si="94"/>
        <v>3.2000000000000024</v>
      </c>
      <c r="D216" s="306">
        <f t="shared" ca="1" si="95"/>
        <v>-0.19617168902397195</v>
      </c>
      <c r="E216" s="307">
        <f t="shared" ca="1" si="96"/>
        <v>-10.934882603433081</v>
      </c>
      <c r="F216" s="304">
        <f t="shared" ca="1" si="97"/>
        <v>10.936642120982013</v>
      </c>
      <c r="G216" s="306">
        <f t="shared" ca="1" si="98"/>
        <v>5.1284480649641573</v>
      </c>
      <c r="H216" s="307">
        <f t="shared" ca="1" si="99"/>
        <v>28.42641367722678</v>
      </c>
      <c r="I216" s="304">
        <f t="shared" ca="1" si="100"/>
        <v>28.885324545586471</v>
      </c>
      <c r="J216" s="306">
        <f t="shared" ca="1" si="101"/>
        <v>15.366017108781218</v>
      </c>
      <c r="K216" s="307">
        <f t="shared" ca="1" si="102"/>
        <v>126.16467007220953</v>
      </c>
      <c r="L216" s="304">
        <f t="shared" ca="1" si="87"/>
        <v>127.09696477971785</v>
      </c>
      <c r="M216" s="306">
        <f t="shared" ca="1" si="103"/>
        <v>1.3923049630788675</v>
      </c>
      <c r="N216" s="304">
        <f t="shared" ca="1" si="104"/>
        <v>79.773198179537019</v>
      </c>
      <c r="P216" s="310">
        <f t="shared" ca="1" si="105"/>
        <v>23</v>
      </c>
      <c r="Q216" s="304">
        <f t="shared" ca="1" si="106"/>
        <v>0</v>
      </c>
      <c r="R216" s="306">
        <f t="shared" ca="1" si="107"/>
        <v>0</v>
      </c>
      <c r="S216" s="307">
        <f t="shared" ca="1" si="108"/>
        <v>2.0843000000000003</v>
      </c>
      <c r="T216" s="304">
        <f t="shared" ca="1" si="88"/>
        <v>20.446983000000003</v>
      </c>
      <c r="U216" s="311">
        <f t="shared" ca="1" si="89"/>
        <v>0</v>
      </c>
      <c r="V216" s="306">
        <f t="shared" ca="1" si="90"/>
        <v>1.2096417115856877</v>
      </c>
      <c r="W216" s="304">
        <f t="shared" ca="1" si="91"/>
        <v>2.2108568695941369</v>
      </c>
      <c r="Y216" s="314" t="str">
        <f t="shared" ca="1" si="109"/>
        <v/>
      </c>
      <c r="Z216" s="315" t="str">
        <f t="shared" ca="1" si="110"/>
        <v/>
      </c>
      <c r="AA216" s="316" t="str">
        <f t="shared" ca="1" si="111"/>
        <v/>
      </c>
      <c r="AC216" s="310" t="e">
        <f t="shared" ca="1" si="112"/>
        <v>#N/A</v>
      </c>
      <c r="AD216" s="323" t="e">
        <f t="shared" ca="1" si="113"/>
        <v>#N/A</v>
      </c>
      <c r="AE216" s="324">
        <f t="shared" ca="1" si="92"/>
        <v>126.16467007220953</v>
      </c>
      <c r="AG216" s="306">
        <f t="shared" ca="1" si="114"/>
        <v>-10.806003196708824</v>
      </c>
      <c r="AH216" s="304">
        <f t="shared" ca="1" si="115"/>
        <v>-1.1418599752513028</v>
      </c>
    </row>
    <row r="217" spans="1:34" x14ac:dyDescent="0.2">
      <c r="A217" s="347">
        <f t="shared" ca="1" si="93"/>
        <v>0.1</v>
      </c>
      <c r="B217" s="304">
        <f t="shared" ca="1" si="94"/>
        <v>3.3000000000000025</v>
      </c>
      <c r="D217" s="306">
        <f t="shared" ca="1" si="95"/>
        <v>-0.18832549134033788</v>
      </c>
      <c r="E217" s="307">
        <f t="shared" ca="1" si="96"/>
        <v>-10.853867122176824</v>
      </c>
      <c r="F217" s="304">
        <f t="shared" ca="1" si="97"/>
        <v>10.855500817399426</v>
      </c>
      <c r="G217" s="306">
        <f t="shared" ca="1" si="98"/>
        <v>5.1096155158301233</v>
      </c>
      <c r="H217" s="307">
        <f t="shared" ca="1" si="99"/>
        <v>27.341026965009096</v>
      </c>
      <c r="I217" s="304">
        <f t="shared" ca="1" si="100"/>
        <v>27.814383441323422</v>
      </c>
      <c r="J217" s="306">
        <f t="shared" ca="1" si="101"/>
        <v>15.877920287820933</v>
      </c>
      <c r="K217" s="307">
        <f t="shared" ca="1" si="102"/>
        <v>128.95304210432133</v>
      </c>
      <c r="L217" s="304">
        <f t="shared" ca="1" si="87"/>
        <v>129.92688490310721</v>
      </c>
      <c r="M217" s="306">
        <f t="shared" ca="1" si="103"/>
        <v>1.3860429911188445</v>
      </c>
      <c r="N217" s="304">
        <f t="shared" ca="1" si="104"/>
        <v>79.414413614798434</v>
      </c>
      <c r="P217" s="310">
        <f t="shared" ca="1" si="105"/>
        <v>23</v>
      </c>
      <c r="Q217" s="304">
        <f t="shared" ca="1" si="106"/>
        <v>0</v>
      </c>
      <c r="R217" s="306">
        <f t="shared" ca="1" si="107"/>
        <v>0</v>
      </c>
      <c r="S217" s="307">
        <f t="shared" ca="1" si="108"/>
        <v>2.0843000000000003</v>
      </c>
      <c r="T217" s="304">
        <f t="shared" ca="1" si="88"/>
        <v>20.446983000000003</v>
      </c>
      <c r="U217" s="311">
        <f t="shared" ca="1" si="89"/>
        <v>0</v>
      </c>
      <c r="V217" s="306">
        <f t="shared" ca="1" si="90"/>
        <v>1.209304451776765</v>
      </c>
      <c r="W217" s="304">
        <f t="shared" ca="1" si="91"/>
        <v>2.0493866217466765</v>
      </c>
      <c r="Y217" s="314" t="str">
        <f t="shared" ca="1" si="109"/>
        <v/>
      </c>
      <c r="Z217" s="315" t="str">
        <f t="shared" ca="1" si="110"/>
        <v/>
      </c>
      <c r="AA217" s="316" t="str">
        <f t="shared" ca="1" si="111"/>
        <v/>
      </c>
      <c r="AC217" s="310" t="e">
        <f t="shared" ca="1" si="112"/>
        <v>#N/A</v>
      </c>
      <c r="AD217" s="323" t="e">
        <f t="shared" ca="1" si="113"/>
        <v>#N/A</v>
      </c>
      <c r="AE217" s="324">
        <f t="shared" ca="1" si="92"/>
        <v>128.95304210432133</v>
      </c>
      <c r="AG217" s="306">
        <f t="shared" ca="1" si="114"/>
        <v>-10.714864353552414</v>
      </c>
      <c r="AH217" s="304">
        <f t="shared" ca="1" si="115"/>
        <v>-1.0607191237317739</v>
      </c>
    </row>
    <row r="218" spans="1:34" x14ac:dyDescent="0.2">
      <c r="A218" s="347">
        <f t="shared" ca="1" si="93"/>
        <v>0.1</v>
      </c>
      <c r="B218" s="304">
        <f t="shared" ca="1" si="94"/>
        <v>3.4000000000000026</v>
      </c>
      <c r="D218" s="306">
        <f t="shared" ca="1" si="95"/>
        <v>-0.18062691014049745</v>
      </c>
      <c r="E218" s="307">
        <f t="shared" ca="1" si="96"/>
        <v>-10.776516013867884</v>
      </c>
      <c r="F218" s="304">
        <f t="shared" ca="1" si="97"/>
        <v>10.77802966584421</v>
      </c>
      <c r="G218" s="306">
        <f t="shared" ca="1" si="98"/>
        <v>5.0915528248160733</v>
      </c>
      <c r="H218" s="307">
        <f t="shared" ca="1" si="99"/>
        <v>26.263375363622309</v>
      </c>
      <c r="I218" s="304">
        <f t="shared" ca="1" si="100"/>
        <v>26.752360562358152</v>
      </c>
      <c r="J218" s="306">
        <f t="shared" ca="1" si="101"/>
        <v>16.387978704853243</v>
      </c>
      <c r="K218" s="307">
        <f t="shared" ca="1" si="102"/>
        <v>131.6332622207529</v>
      </c>
      <c r="L218" s="304">
        <f t="shared" ca="1" si="87"/>
        <v>132.64946878487007</v>
      </c>
      <c r="M218" s="306">
        <f t="shared" ca="1" si="103"/>
        <v>1.3793065740527068</v>
      </c>
      <c r="N218" s="304">
        <f t="shared" ca="1" si="104"/>
        <v>79.028445347868853</v>
      </c>
      <c r="P218" s="310">
        <f t="shared" ca="1" si="105"/>
        <v>23</v>
      </c>
      <c r="Q218" s="304">
        <f t="shared" ca="1" si="106"/>
        <v>0</v>
      </c>
      <c r="R218" s="306">
        <f t="shared" ca="1" si="107"/>
        <v>0</v>
      </c>
      <c r="S218" s="307">
        <f t="shared" ca="1" si="108"/>
        <v>2.0843000000000003</v>
      </c>
      <c r="T218" s="304">
        <f t="shared" ca="1" si="88"/>
        <v>20.446983000000003</v>
      </c>
      <c r="U218" s="311">
        <f t="shared" ca="1" si="89"/>
        <v>0</v>
      </c>
      <c r="V218" s="306">
        <f t="shared" ca="1" si="90"/>
        <v>1.2089803612434142</v>
      </c>
      <c r="W218" s="304">
        <f t="shared" ca="1" si="91"/>
        <v>1.8953649047748389</v>
      </c>
      <c r="Y218" s="314" t="str">
        <f t="shared" ca="1" si="109"/>
        <v/>
      </c>
      <c r="Z218" s="315" t="str">
        <f t="shared" ca="1" si="110"/>
        <v/>
      </c>
      <c r="AA218" s="316" t="str">
        <f t="shared" ca="1" si="111"/>
        <v/>
      </c>
      <c r="AC218" s="310" t="e">
        <f t="shared" ca="1" si="112"/>
        <v>#N/A</v>
      </c>
      <c r="AD218" s="323" t="e">
        <f t="shared" ca="1" si="113"/>
        <v>#N/A</v>
      </c>
      <c r="AE218" s="324">
        <f t="shared" ca="1" si="92"/>
        <v>131.6332622207529</v>
      </c>
      <c r="AG218" s="306">
        <f t="shared" ca="1" si="114"/>
        <v>-10.626298785668192</v>
      </c>
      <c r="AH218" s="304">
        <f t="shared" ca="1" si="115"/>
        <v>-0.98324935073966135</v>
      </c>
    </row>
    <row r="219" spans="1:34" x14ac:dyDescent="0.2">
      <c r="A219" s="347">
        <f t="shared" ca="1" si="93"/>
        <v>0.1</v>
      </c>
      <c r="B219" s="304">
        <f t="shared" ca="1" si="94"/>
        <v>3.5000000000000027</v>
      </c>
      <c r="D219" s="306">
        <f t="shared" ca="1" si="95"/>
        <v>-0.17306958452297469</v>
      </c>
      <c r="E219" s="307">
        <f t="shared" ca="1" si="96"/>
        <v>-10.702731867613933</v>
      </c>
      <c r="F219" s="304">
        <f t="shared" ca="1" si="97"/>
        <v>10.704131095568934</v>
      </c>
      <c r="G219" s="306">
        <f t="shared" ca="1" si="98"/>
        <v>5.0742458663637757</v>
      </c>
      <c r="H219" s="307">
        <f t="shared" ca="1" si="99"/>
        <v>25.193102176860915</v>
      </c>
      <c r="I219" s="304">
        <f t="shared" ca="1" si="100"/>
        <v>25.699034386646982</v>
      </c>
      <c r="J219" s="306">
        <f t="shared" ca="1" si="101"/>
        <v>16.896268639412234</v>
      </c>
      <c r="K219" s="307">
        <f t="shared" ca="1" si="102"/>
        <v>134.20608609777705</v>
      </c>
      <c r="L219" s="304">
        <f t="shared" ca="1" si="87"/>
        <v>135.26550720571424</v>
      </c>
      <c r="M219" s="306">
        <f t="shared" ca="1" si="103"/>
        <v>1.3720414310483324</v>
      </c>
      <c r="N219" s="304">
        <f t="shared" ca="1" si="104"/>
        <v>78.612183316159204</v>
      </c>
      <c r="P219" s="310">
        <f t="shared" ca="1" si="105"/>
        <v>23</v>
      </c>
      <c r="Q219" s="304">
        <f t="shared" ca="1" si="106"/>
        <v>0</v>
      </c>
      <c r="R219" s="306">
        <f t="shared" ca="1" si="107"/>
        <v>0</v>
      </c>
      <c r="S219" s="307">
        <f t="shared" ca="1" si="108"/>
        <v>2.0843000000000003</v>
      </c>
      <c r="T219" s="304">
        <f t="shared" ca="1" si="88"/>
        <v>20.446983000000003</v>
      </c>
      <c r="U219" s="311">
        <f t="shared" ca="1" si="89"/>
        <v>0</v>
      </c>
      <c r="V219" s="306">
        <f t="shared" ca="1" si="90"/>
        <v>1.2086693381634459</v>
      </c>
      <c r="W219" s="304">
        <f t="shared" ca="1" si="91"/>
        <v>1.7486000493241498</v>
      </c>
      <c r="Y219" s="314" t="str">
        <f t="shared" ca="1" si="109"/>
        <v/>
      </c>
      <c r="Z219" s="315" t="str">
        <f t="shared" ca="1" si="110"/>
        <v/>
      </c>
      <c r="AA219" s="316" t="str">
        <f t="shared" ca="1" si="111"/>
        <v>Satellite</v>
      </c>
      <c r="AC219" s="310" t="e">
        <f t="shared" ca="1" si="112"/>
        <v>#N/A</v>
      </c>
      <c r="AD219" s="323" t="e">
        <f t="shared" ca="1" si="113"/>
        <v>#N/A</v>
      </c>
      <c r="AE219" s="324">
        <f t="shared" ca="1" si="92"/>
        <v>134.20608609777705</v>
      </c>
      <c r="AG219" s="306">
        <f t="shared" ca="1" si="114"/>
        <v>-10.540043998362579</v>
      </c>
      <c r="AH219" s="304">
        <f t="shared" ca="1" si="115"/>
        <v>-0.9093532144004407</v>
      </c>
    </row>
    <row r="220" spans="1:34" x14ac:dyDescent="0.2">
      <c r="A220" s="347">
        <f t="shared" ca="1" si="93"/>
        <v>0.1</v>
      </c>
      <c r="B220" s="304">
        <f t="shared" ca="1" si="94"/>
        <v>3.6000000000000028</v>
      </c>
      <c r="D220" s="306">
        <f t="shared" ca="1" si="95"/>
        <v>-0.16564752788719464</v>
      </c>
      <c r="E220" s="307">
        <f t="shared" ca="1" si="96"/>
        <v>-10.632422721585035</v>
      </c>
      <c r="F220" s="304">
        <f t="shared" ca="1" si="97"/>
        <v>10.633712993774699</v>
      </c>
      <c r="G220" s="306">
        <f t="shared" ca="1" si="98"/>
        <v>5.0576811135750566</v>
      </c>
      <c r="H220" s="307">
        <f t="shared" ca="1" si="99"/>
        <v>24.12985990470241</v>
      </c>
      <c r="I220" s="304">
        <f t="shared" ca="1" si="100"/>
        <v>24.65421418879902</v>
      </c>
      <c r="J220" s="306">
        <f t="shared" ca="1" si="101"/>
        <v>17.402864988409178</v>
      </c>
      <c r="K220" s="307">
        <f t="shared" ca="1" si="102"/>
        <v>136.67223420185522</v>
      </c>
      <c r="L220" s="304">
        <f t="shared" ca="1" si="87"/>
        <v>137.77575734334238</v>
      </c>
      <c r="M220" s="306">
        <f t="shared" ca="1" si="103"/>
        <v>1.3641847881899682</v>
      </c>
      <c r="N220" s="304">
        <f t="shared" ca="1" si="104"/>
        <v>78.162030839233324</v>
      </c>
      <c r="P220" s="310">
        <f t="shared" ca="1" si="105"/>
        <v>23</v>
      </c>
      <c r="Q220" s="304">
        <f t="shared" ca="1" si="106"/>
        <v>0</v>
      </c>
      <c r="R220" s="306">
        <f t="shared" ca="1" si="107"/>
        <v>0</v>
      </c>
      <c r="S220" s="307">
        <f t="shared" ca="1" si="108"/>
        <v>2.0843000000000003</v>
      </c>
      <c r="T220" s="304">
        <f t="shared" ca="1" si="88"/>
        <v>20.446983000000003</v>
      </c>
      <c r="U220" s="311">
        <f t="shared" ca="1" si="89"/>
        <v>0</v>
      </c>
      <c r="V220" s="306">
        <f t="shared" ca="1" si="90"/>
        <v>1.2083712854884825</v>
      </c>
      <c r="W220" s="304">
        <f t="shared" ca="1" si="91"/>
        <v>1.60891127932839</v>
      </c>
      <c r="Y220" s="314" t="str">
        <f t="shared" ca="1" si="109"/>
        <v/>
      </c>
      <c r="Z220" s="315" t="str">
        <f t="shared" ca="1" si="110"/>
        <v/>
      </c>
      <c r="AA220" s="316" t="str">
        <f t="shared" ca="1" si="111"/>
        <v/>
      </c>
      <c r="AC220" s="310" t="e">
        <f t="shared" ca="1" si="112"/>
        <v>#N/A</v>
      </c>
      <c r="AD220" s="323" t="e">
        <f t="shared" ca="1" si="113"/>
        <v>#N/A</v>
      </c>
      <c r="AE220" s="324">
        <f t="shared" ca="1" si="92"/>
        <v>136.67223420185522</v>
      </c>
      <c r="AG220" s="306">
        <f t="shared" ca="1" si="114"/>
        <v>-10.45581107264252</v>
      </c>
      <c r="AH220" s="304">
        <f t="shared" ca="1" si="115"/>
        <v>-0.8389387560927648</v>
      </c>
    </row>
    <row r="221" spans="1:34" x14ac:dyDescent="0.2">
      <c r="A221" s="347">
        <f t="shared" ca="1" si="93"/>
        <v>0.1</v>
      </c>
      <c r="B221" s="304">
        <f t="shared" ca="1" si="94"/>
        <v>3.7000000000000028</v>
      </c>
      <c r="D221" s="306">
        <f t="shared" ca="1" si="95"/>
        <v>-0.15835513350389946</v>
      </c>
      <c r="E221" s="307">
        <f t="shared" ca="1" si="96"/>
        <v>-10.565501800298078</v>
      </c>
      <c r="F221" s="304">
        <f t="shared" ca="1" si="97"/>
        <v>10.566688442478512</v>
      </c>
      <c r="G221" s="306">
        <f t="shared" ca="1" si="98"/>
        <v>5.0418456002246668</v>
      </c>
      <c r="H221" s="307">
        <f t="shared" ca="1" si="99"/>
        <v>23.073309724672601</v>
      </c>
      <c r="I221" s="304">
        <f t="shared" ca="1" si="100"/>
        <v>23.617743937708703</v>
      </c>
      <c r="J221" s="306">
        <f t="shared" ca="1" si="101"/>
        <v>17.907841324099163</v>
      </c>
      <c r="K221" s="307">
        <f t="shared" ca="1" si="102"/>
        <v>139.03239268332396</v>
      </c>
      <c r="L221" s="304">
        <f t="shared" ca="1" si="87"/>
        <v>140.18094376961196</v>
      </c>
      <c r="M221" s="306">
        <f t="shared" ca="1" si="103"/>
        <v>1.355663678963404</v>
      </c>
      <c r="N221" s="304">
        <f t="shared" ca="1" si="104"/>
        <v>77.673807243781212</v>
      </c>
      <c r="P221" s="310">
        <f t="shared" ca="1" si="105"/>
        <v>23</v>
      </c>
      <c r="Q221" s="304">
        <f t="shared" ca="1" si="106"/>
        <v>0</v>
      </c>
      <c r="R221" s="306">
        <f t="shared" ca="1" si="107"/>
        <v>0</v>
      </c>
      <c r="S221" s="307">
        <f t="shared" ca="1" si="108"/>
        <v>2.0843000000000003</v>
      </c>
      <c r="T221" s="304">
        <f t="shared" ca="1" si="88"/>
        <v>20.446983000000003</v>
      </c>
      <c r="U221" s="311">
        <f t="shared" ca="1" si="89"/>
        <v>0</v>
      </c>
      <c r="V221" s="306">
        <f t="shared" ca="1" si="90"/>
        <v>1.2080861108204042</v>
      </c>
      <c r="W221" s="304">
        <f t="shared" ca="1" si="91"/>
        <v>1.476128213605701</v>
      </c>
      <c r="Y221" s="314" t="str">
        <f t="shared" ca="1" si="109"/>
        <v/>
      </c>
      <c r="Z221" s="315" t="str">
        <f t="shared" ca="1" si="110"/>
        <v/>
      </c>
      <c r="AA221" s="316" t="str">
        <f t="shared" ca="1" si="111"/>
        <v/>
      </c>
      <c r="AC221" s="310" t="e">
        <f t="shared" ca="1" si="112"/>
        <v>#N/A</v>
      </c>
      <c r="AD221" s="323" t="e">
        <f t="shared" ca="1" si="113"/>
        <v>#N/A</v>
      </c>
      <c r="AE221" s="324">
        <f t="shared" ca="1" si="92"/>
        <v>139.03239268332396</v>
      </c>
      <c r="AG221" s="306">
        <f t="shared" ca="1" si="114"/>
        <v>-10.373276798585815</v>
      </c>
      <c r="AH221" s="304">
        <f t="shared" ca="1" si="115"/>
        <v>-0.77191924354862052</v>
      </c>
    </row>
    <row r="222" spans="1:34" x14ac:dyDescent="0.2">
      <c r="A222" s="347">
        <f t="shared" ca="1" si="93"/>
        <v>0.1</v>
      </c>
      <c r="B222" s="304">
        <f t="shared" ca="1" si="94"/>
        <v>3.8000000000000029</v>
      </c>
      <c r="D222" s="306">
        <f t="shared" ca="1" si="95"/>
        <v>-0.15118718634958714</v>
      </c>
      <c r="E222" s="307">
        <f t="shared" ca="1" si="96"/>
        <v>-10.501887267807323</v>
      </c>
      <c r="F222" s="304">
        <f t="shared" ca="1" si="97"/>
        <v>10.502975471315253</v>
      </c>
      <c r="G222" s="306">
        <f t="shared" ca="1" si="98"/>
        <v>5.0267268815897079</v>
      </c>
      <c r="H222" s="307">
        <f t="shared" ca="1" si="99"/>
        <v>22.023120997891869</v>
      </c>
      <c r="I222" s="304">
        <f t="shared" ca="1" si="100"/>
        <v>22.589507334819906</v>
      </c>
      <c r="J222" s="306">
        <f t="shared" ca="1" si="101"/>
        <v>18.411269948189883</v>
      </c>
      <c r="K222" s="307">
        <f t="shared" ca="1" si="102"/>
        <v>141.28721421945218</v>
      </c>
      <c r="L222" s="304">
        <f t="shared" ca="1" si="87"/>
        <v>142.48175940448829</v>
      </c>
      <c r="M222" s="306">
        <f t="shared" ca="1" si="103"/>
        <v>1.3463928279583606</v>
      </c>
      <c r="N222" s="304">
        <f t="shared" ca="1" si="104"/>
        <v>77.142626608697611</v>
      </c>
      <c r="P222" s="310">
        <f t="shared" ca="1" si="105"/>
        <v>23</v>
      </c>
      <c r="Q222" s="304">
        <f t="shared" ca="1" si="106"/>
        <v>0</v>
      </c>
      <c r="R222" s="306">
        <f t="shared" ca="1" si="107"/>
        <v>0</v>
      </c>
      <c r="S222" s="307">
        <f t="shared" ca="1" si="108"/>
        <v>2.0843000000000003</v>
      </c>
      <c r="T222" s="304">
        <f t="shared" ca="1" si="88"/>
        <v>20.446983000000003</v>
      </c>
      <c r="U222" s="311">
        <f t="shared" ca="1" si="89"/>
        <v>0</v>
      </c>
      <c r="V222" s="306">
        <f t="shared" ca="1" si="90"/>
        <v>1.2078137262948476</v>
      </c>
      <c r="W222" s="304">
        <f t="shared" ca="1" si="91"/>
        <v>1.3500904020297393</v>
      </c>
      <c r="Y222" s="314" t="str">
        <f t="shared" ca="1" si="109"/>
        <v/>
      </c>
      <c r="Z222" s="315" t="str">
        <f t="shared" ca="1" si="110"/>
        <v/>
      </c>
      <c r="AA222" s="316" t="str">
        <f t="shared" ca="1" si="111"/>
        <v/>
      </c>
      <c r="AC222" s="310" t="e">
        <f t="shared" ca="1" si="112"/>
        <v>#N/A</v>
      </c>
      <c r="AD222" s="323" t="e">
        <f t="shared" ca="1" si="113"/>
        <v>#N/A</v>
      </c>
      <c r="AE222" s="324">
        <f t="shared" ca="1" si="92"/>
        <v>141.28721421945218</v>
      </c>
      <c r="AG222" s="306">
        <f t="shared" ca="1" si="114"/>
        <v>-10.292073650858768</v>
      </c>
      <c r="AH222" s="304">
        <f t="shared" ca="1" si="115"/>
        <v>-0.70821293173041344</v>
      </c>
    </row>
    <row r="223" spans="1:34" x14ac:dyDescent="0.2">
      <c r="A223" s="347">
        <f t="shared" ca="1" si="93"/>
        <v>0.1</v>
      </c>
      <c r="B223" s="304">
        <f t="shared" ca="1" si="94"/>
        <v>3.900000000000003</v>
      </c>
      <c r="D223" s="306">
        <f t="shared" ca="1" si="95"/>
        <v>-0.14413888268630656</v>
      </c>
      <c r="E223" s="307">
        <f t="shared" ca="1" si="96"/>
        <v>-10.44150199497164</v>
      </c>
      <c r="F223" s="304">
        <f t="shared" ca="1" si="97"/>
        <v>10.44249682444284</v>
      </c>
      <c r="G223" s="306">
        <f t="shared" ca="1" si="98"/>
        <v>5.0123129933210775</v>
      </c>
      <c r="H223" s="307">
        <f t="shared" ca="1" si="99"/>
        <v>20.978970798394705</v>
      </c>
      <c r="I223" s="304">
        <f t="shared" ca="1" si="100"/>
        <v>21.569434329692402</v>
      </c>
      <c r="J223" s="306">
        <f t="shared" ca="1" si="101"/>
        <v>18.913221941935422</v>
      </c>
      <c r="K223" s="307">
        <f t="shared" ca="1" si="102"/>
        <v>143.43731880926651</v>
      </c>
      <c r="L223" s="304">
        <f t="shared" ca="1" si="87"/>
        <v>144.67886642981438</v>
      </c>
      <c r="M223" s="306">
        <f t="shared" ca="1" si="103"/>
        <v>1.3362719964231964</v>
      </c>
      <c r="N223" s="304">
        <f t="shared" ca="1" si="104"/>
        <v>76.56274567656979</v>
      </c>
      <c r="P223" s="310">
        <f t="shared" ca="1" si="105"/>
        <v>23</v>
      </c>
      <c r="Q223" s="304">
        <f t="shared" ca="1" si="106"/>
        <v>0</v>
      </c>
      <c r="R223" s="306">
        <f t="shared" ca="1" si="107"/>
        <v>0</v>
      </c>
      <c r="S223" s="307">
        <f t="shared" ca="1" si="108"/>
        <v>2.0843000000000003</v>
      </c>
      <c r="T223" s="304">
        <f t="shared" ca="1" si="88"/>
        <v>20.446983000000003</v>
      </c>
      <c r="U223" s="311">
        <f t="shared" ca="1" si="89"/>
        <v>0</v>
      </c>
      <c r="V223" s="306">
        <f t="shared" ca="1" si="90"/>
        <v>1.207554048471432</v>
      </c>
      <c r="W223" s="304">
        <f t="shared" ca="1" si="91"/>
        <v>1.2306468939995567</v>
      </c>
      <c r="Y223" s="314" t="str">
        <f t="shared" ca="1" si="109"/>
        <v/>
      </c>
      <c r="Z223" s="315" t="str">
        <f t="shared" ca="1" si="110"/>
        <v/>
      </c>
      <c r="AA223" s="316" t="str">
        <f t="shared" ca="1" si="111"/>
        <v/>
      </c>
      <c r="AC223" s="310" t="e">
        <f t="shared" ca="1" si="112"/>
        <v>#N/A</v>
      </c>
      <c r="AD223" s="323" t="e">
        <f t="shared" ca="1" si="113"/>
        <v>#N/A</v>
      </c>
      <c r="AE223" s="324">
        <f t="shared" ca="1" si="92"/>
        <v>143.43731880926651</v>
      </c>
      <c r="AG223" s="306">
        <f t="shared" ca="1" si="114"/>
        <v>-10.211776875527436</v>
      </c>
      <c r="AH223" s="304">
        <f t="shared" ca="1" si="115"/>
        <v>-0.6477428402963773</v>
      </c>
    </row>
    <row r="224" spans="1:34" x14ac:dyDescent="0.2">
      <c r="A224" s="347">
        <f t="shared" ca="1" si="93"/>
        <v>0.1</v>
      </c>
      <c r="B224" s="304">
        <f t="shared" ca="1" si="94"/>
        <v>4.0000000000000027</v>
      </c>
      <c r="D224" s="306">
        <f t="shared" ca="1" si="95"/>
        <v>-0.1372058594040772</v>
      </c>
      <c r="E224" s="307">
        <f t="shared" ca="1" si="96"/>
        <v>-10.384273338804324</v>
      </c>
      <c r="F224" s="304">
        <f t="shared" ca="1" si="97"/>
        <v>10.385179739554685</v>
      </c>
      <c r="G224" s="306">
        <f t="shared" ca="1" si="98"/>
        <v>4.99859240738067</v>
      </c>
      <c r="H224" s="307">
        <f t="shared" ca="1" si="99"/>
        <v>19.940543464514274</v>
      </c>
      <c r="I224" s="304">
        <f t="shared" ca="1" si="100"/>
        <v>20.557509569870241</v>
      </c>
      <c r="J224" s="306">
        <f t="shared" ca="1" si="101"/>
        <v>19.413767211970509</v>
      </c>
      <c r="K224" s="307">
        <f t="shared" ca="1" si="102"/>
        <v>145.48329452241197</v>
      </c>
      <c r="L224" s="304">
        <f t="shared" ca="1" si="87"/>
        <v>146.77289716584411</v>
      </c>
      <c r="M224" s="306">
        <f t="shared" ca="1" si="103"/>
        <v>1.3251826274343541</v>
      </c>
      <c r="N224" s="304">
        <f t="shared" ca="1" si="104"/>
        <v>75.927371636045876</v>
      </c>
      <c r="P224" s="310">
        <f t="shared" ca="1" si="105"/>
        <v>23</v>
      </c>
      <c r="Q224" s="304">
        <f t="shared" ca="1" si="106"/>
        <v>0</v>
      </c>
      <c r="R224" s="306">
        <f t="shared" ca="1" si="107"/>
        <v>0</v>
      </c>
      <c r="S224" s="307">
        <f t="shared" ca="1" si="108"/>
        <v>2.0843000000000003</v>
      </c>
      <c r="T224" s="304">
        <f t="shared" ca="1" si="88"/>
        <v>20.446983000000003</v>
      </c>
      <c r="U224" s="311">
        <f t="shared" ca="1" si="89"/>
        <v>0</v>
      </c>
      <c r="V224" s="306">
        <f t="shared" ca="1" si="90"/>
        <v>1.2073069982303766</v>
      </c>
      <c r="W224" s="304">
        <f t="shared" ca="1" si="91"/>
        <v>1.1176558371137606</v>
      </c>
      <c r="Y224" s="314" t="str">
        <f t="shared" ca="1" si="109"/>
        <v/>
      </c>
      <c r="Z224" s="315" t="str">
        <f t="shared" ca="1" si="110"/>
        <v/>
      </c>
      <c r="AA224" s="316" t="str">
        <f t="shared" ca="1" si="111"/>
        <v/>
      </c>
      <c r="AC224" s="310">
        <f t="shared" ca="1" si="112"/>
        <v>4.0000000000000027</v>
      </c>
      <c r="AD224" s="323">
        <f t="shared" ca="1" si="113"/>
        <v>19.413767211970509</v>
      </c>
      <c r="AE224" s="324">
        <f t="shared" ca="1" si="92"/>
        <v>145.48329452241197</v>
      </c>
      <c r="AG224" s="306">
        <f t="shared" ca="1" si="114"/>
        <v>-10.131887675345077</v>
      </c>
      <c r="AH224" s="304">
        <f t="shared" ca="1" si="115"/>
        <v>-0.59043654656218225</v>
      </c>
    </row>
    <row r="225" spans="1:34" x14ac:dyDescent="0.2">
      <c r="A225" s="347">
        <f t="shared" ca="1" si="93"/>
        <v>0.1</v>
      </c>
      <c r="B225" s="304">
        <f t="shared" ca="1" si="94"/>
        <v>4.1000000000000023</v>
      </c>
      <c r="D225" s="306">
        <f t="shared" ca="1" si="95"/>
        <v>-0.13038423588759226</v>
      </c>
      <c r="E225" s="307">
        <f t="shared" ca="1" si="96"/>
        <v>-10.330132931615926</v>
      </c>
      <c r="F225" s="304">
        <f t="shared" ca="1" si="97"/>
        <v>10.330955736708189</v>
      </c>
      <c r="G225" s="306">
        <f t="shared" ca="1" si="98"/>
        <v>4.9855539837919105</v>
      </c>
      <c r="H225" s="307">
        <f t="shared" ca="1" si="99"/>
        <v>18.907530171352683</v>
      </c>
      <c r="I225" s="304">
        <f t="shared" ca="1" si="100"/>
        <v>19.553783411552747</v>
      </c>
      <c r="J225" s="306">
        <f t="shared" ca="1" si="101"/>
        <v>19.912974531529137</v>
      </c>
      <c r="K225" s="307">
        <f t="shared" ca="1" si="102"/>
        <v>147.4256982042053</v>
      </c>
      <c r="L225" s="304">
        <f t="shared" ca="1" si="87"/>
        <v>148.7644549134327</v>
      </c>
      <c r="M225" s="306">
        <f t="shared" ca="1" si="103"/>
        <v>1.3129835720550609</v>
      </c>
      <c r="N225" s="304">
        <f t="shared" ca="1" si="104"/>
        <v>75.228417248766007</v>
      </c>
      <c r="P225" s="310">
        <f t="shared" ca="1" si="105"/>
        <v>23</v>
      </c>
      <c r="Q225" s="304">
        <f t="shared" ca="1" si="106"/>
        <v>0</v>
      </c>
      <c r="R225" s="306">
        <f t="shared" ca="1" si="107"/>
        <v>0</v>
      </c>
      <c r="S225" s="307">
        <f t="shared" ca="1" si="108"/>
        <v>2.0843000000000003</v>
      </c>
      <c r="T225" s="304">
        <f t="shared" ca="1" si="88"/>
        <v>20.446983000000003</v>
      </c>
      <c r="U225" s="311">
        <f t="shared" ca="1" si="89"/>
        <v>0</v>
      </c>
      <c r="V225" s="306">
        <f t="shared" ca="1" si="90"/>
        <v>1.2070725006752352</v>
      </c>
      <c r="W225" s="304">
        <f t="shared" ca="1" si="91"/>
        <v>1.0109841041184704</v>
      </c>
      <c r="Y225" s="314" t="str">
        <f t="shared" ca="1" si="109"/>
        <v/>
      </c>
      <c r="Z225" s="315" t="str">
        <f t="shared" ca="1" si="110"/>
        <v/>
      </c>
      <c r="AA225" s="316" t="str">
        <f t="shared" ca="1" si="111"/>
        <v/>
      </c>
      <c r="AC225" s="310" t="e">
        <f t="shared" ca="1" si="112"/>
        <v>#N/A</v>
      </c>
      <c r="AD225" s="323" t="e">
        <f t="shared" ca="1" si="113"/>
        <v>#N/A</v>
      </c>
      <c r="AE225" s="324">
        <f t="shared" ca="1" si="92"/>
        <v>147.4256982042053</v>
      </c>
      <c r="AG225" s="306">
        <f t="shared" ca="1" si="114"/>
        <v>-10.051811074990626</v>
      </c>
      <c r="AH225" s="304">
        <f t="shared" ca="1" si="115"/>
        <v>-0.53622599295387441</v>
      </c>
    </row>
    <row r="226" spans="1:34" x14ac:dyDescent="0.2">
      <c r="A226" s="347">
        <f t="shared" ca="1" si="93"/>
        <v>0.1</v>
      </c>
      <c r="B226" s="304">
        <f t="shared" ca="1" si="94"/>
        <v>4.200000000000002</v>
      </c>
      <c r="D226" s="306">
        <f t="shared" ca="1" si="95"/>
        <v>-0.12367067221515501</v>
      </c>
      <c r="E226" s="307">
        <f t="shared" ca="1" si="96"/>
        <v>-10.279016477170115</v>
      </c>
      <c r="F226" s="304">
        <f t="shared" ca="1" si="97"/>
        <v>10.27976041418772</v>
      </c>
      <c r="G226" s="306">
        <f t="shared" ca="1" si="98"/>
        <v>4.9731869165703948</v>
      </c>
      <c r="H226" s="307">
        <f t="shared" ca="1" si="99"/>
        <v>17.87962852363567</v>
      </c>
      <c r="I226" s="304">
        <f t="shared" ca="1" si="100"/>
        <v>18.558386359011745</v>
      </c>
      <c r="J226" s="306">
        <f t="shared" ca="1" si="101"/>
        <v>20.410911576547253</v>
      </c>
      <c r="K226" s="307">
        <f t="shared" ca="1" si="102"/>
        <v>149.26505613895472</v>
      </c>
      <c r="L226" s="304">
        <f t="shared" ca="1" si="87"/>
        <v>150.65411476475157</v>
      </c>
      <c r="M226" s="306">
        <f t="shared" ca="1" si="103"/>
        <v>1.2995055995196951</v>
      </c>
      <c r="N226" s="304">
        <f t="shared" ca="1" si="104"/>
        <v>74.456186306096313</v>
      </c>
      <c r="P226" s="310">
        <f t="shared" ca="1" si="105"/>
        <v>23</v>
      </c>
      <c r="Q226" s="304">
        <f t="shared" ca="1" si="106"/>
        <v>0</v>
      </c>
      <c r="R226" s="306">
        <f t="shared" ca="1" si="107"/>
        <v>0</v>
      </c>
      <c r="S226" s="307">
        <f t="shared" ca="1" si="108"/>
        <v>2.0843000000000003</v>
      </c>
      <c r="T226" s="304">
        <f t="shared" ca="1" si="88"/>
        <v>20.446983000000003</v>
      </c>
      <c r="U226" s="311">
        <f t="shared" ca="1" si="89"/>
        <v>0</v>
      </c>
      <c r="V226" s="306">
        <f t="shared" ca="1" si="90"/>
        <v>1.2068504850414372</v>
      </c>
      <c r="W226" s="304">
        <f t="shared" ca="1" si="91"/>
        <v>0.91050694634483675</v>
      </c>
      <c r="Y226" s="314" t="str">
        <f t="shared" ca="1" si="109"/>
        <v/>
      </c>
      <c r="Z226" s="315" t="str">
        <f t="shared" ca="1" si="110"/>
        <v/>
      </c>
      <c r="AA226" s="316" t="str">
        <f t="shared" ca="1" si="111"/>
        <v/>
      </c>
      <c r="AC226" s="310" t="e">
        <f t="shared" ca="1" si="112"/>
        <v>#N/A</v>
      </c>
      <c r="AD226" s="323" t="e">
        <f t="shared" ca="1" si="113"/>
        <v>#N/A</v>
      </c>
      <c r="AE226" s="324">
        <f t="shared" ca="1" si="92"/>
        <v>149.26505613895472</v>
      </c>
      <c r="AG226" s="306">
        <f t="shared" ca="1" si="114"/>
        <v>-9.9708264576192143</v>
      </c>
      <c r="AH226" s="304">
        <f t="shared" ca="1" si="115"/>
        <v>-0.4850473080259417</v>
      </c>
    </row>
    <row r="227" spans="1:34" x14ac:dyDescent="0.2">
      <c r="A227" s="347">
        <f t="shared" ca="1" si="93"/>
        <v>0.1</v>
      </c>
      <c r="B227" s="304">
        <f t="shared" ca="1" si="94"/>
        <v>4.3000000000000016</v>
      </c>
      <c r="D227" s="306">
        <f t="shared" ca="1" si="95"/>
        <v>-0.11706244898585257</v>
      </c>
      <c r="E227" s="307">
        <f t="shared" ca="1" si="96"/>
        <v>-10.230863550284068</v>
      </c>
      <c r="F227" s="304">
        <f t="shared" ca="1" si="97"/>
        <v>10.2315332478321</v>
      </c>
      <c r="G227" s="306">
        <f t="shared" ca="1" si="98"/>
        <v>4.9614806716718096</v>
      </c>
      <c r="H227" s="307">
        <f t="shared" ca="1" si="99"/>
        <v>16.856542168607263</v>
      </c>
      <c r="I227" s="304">
        <f t="shared" ca="1" si="100"/>
        <v>17.571548148566983</v>
      </c>
      <c r="J227" s="306">
        <f t="shared" ca="1" si="101"/>
        <v>20.907644955959363</v>
      </c>
      <c r="K227" s="307">
        <f t="shared" ca="1" si="102"/>
        <v>151.00186467356687</v>
      </c>
      <c r="L227" s="304">
        <f t="shared" ca="1" si="87"/>
        <v>152.44242438540084</v>
      </c>
      <c r="M227" s="306">
        <f t="shared" ca="1" si="103"/>
        <v>1.2845442849833828</v>
      </c>
      <c r="N227" s="304">
        <f t="shared" ca="1" si="104"/>
        <v>73.598966127197883</v>
      </c>
      <c r="P227" s="310">
        <f t="shared" ca="1" si="105"/>
        <v>23</v>
      </c>
      <c r="Q227" s="304">
        <f t="shared" ca="1" si="106"/>
        <v>0</v>
      </c>
      <c r="R227" s="306">
        <f t="shared" ca="1" si="107"/>
        <v>0</v>
      </c>
      <c r="S227" s="307">
        <f t="shared" ca="1" si="108"/>
        <v>2.0843000000000003</v>
      </c>
      <c r="T227" s="304">
        <f t="shared" ca="1" si="88"/>
        <v>20.446983000000003</v>
      </c>
      <c r="U227" s="311">
        <f t="shared" ca="1" si="89"/>
        <v>0</v>
      </c>
      <c r="V227" s="306">
        <f t="shared" ca="1" si="90"/>
        <v>1.206640884610368</v>
      </c>
      <c r="W227" s="304">
        <f t="shared" ca="1" si="91"/>
        <v>0.81610767198056955</v>
      </c>
      <c r="Y227" s="314" t="str">
        <f t="shared" ca="1" si="109"/>
        <v/>
      </c>
      <c r="Z227" s="315" t="str">
        <f t="shared" ca="1" si="110"/>
        <v/>
      </c>
      <c r="AA227" s="316" t="str">
        <f t="shared" ca="1" si="111"/>
        <v/>
      </c>
      <c r="AC227" s="310" t="e">
        <f t="shared" ca="1" si="112"/>
        <v>#N/A</v>
      </c>
      <c r="AD227" s="323" t="e">
        <f t="shared" ca="1" si="113"/>
        <v>#N/A</v>
      </c>
      <c r="AE227" s="324">
        <f t="shared" ca="1" si="92"/>
        <v>151.00186467356687</v>
      </c>
      <c r="AG227" s="306">
        <f t="shared" ca="1" si="114"/>
        <v>-9.8880478962381932</v>
      </c>
      <c r="AH227" s="304">
        <f t="shared" ca="1" si="115"/>
        <v>-0.43684064018847413</v>
      </c>
    </row>
    <row r="228" spans="1:34" x14ac:dyDescent="0.2">
      <c r="A228" s="347">
        <f t="shared" ca="1" si="93"/>
        <v>0.1</v>
      </c>
      <c r="B228" s="304">
        <f t="shared" ca="1" si="94"/>
        <v>4.4000000000000012</v>
      </c>
      <c r="D228" s="306">
        <f t="shared" ca="1" si="95"/>
        <v>-0.11055757621266391</v>
      </c>
      <c r="E228" s="307">
        <f t="shared" ca="1" si="96"/>
        <v>-10.185617395050704</v>
      </c>
      <c r="F228" s="304">
        <f t="shared" ca="1" si="97"/>
        <v>10.186217389002529</v>
      </c>
      <c r="G228" s="306">
        <f t="shared" ca="1" si="98"/>
        <v>4.9504249140505436</v>
      </c>
      <c r="H228" s="307">
        <f t="shared" ca="1" si="99"/>
        <v>15.837980429102192</v>
      </c>
      <c r="I228" s="304">
        <f t="shared" ca="1" si="100"/>
        <v>16.593623199960774</v>
      </c>
      <c r="J228" s="306">
        <f t="shared" ca="1" si="101"/>
        <v>21.40324023524548</v>
      </c>
      <c r="K228" s="307">
        <f t="shared" ca="1" si="102"/>
        <v>152.63659080345235</v>
      </c>
      <c r="L228" s="304">
        <f t="shared" ca="1" si="87"/>
        <v>154.12990477083991</v>
      </c>
      <c r="M228" s="306">
        <f t="shared" ca="1" si="103"/>
        <v>1.267850714636739</v>
      </c>
      <c r="N228" s="304">
        <f t="shared" ca="1" si="104"/>
        <v>72.64249500133046</v>
      </c>
      <c r="P228" s="310">
        <f t="shared" ca="1" si="105"/>
        <v>23</v>
      </c>
      <c r="Q228" s="304">
        <f t="shared" ca="1" si="106"/>
        <v>0</v>
      </c>
      <c r="R228" s="306">
        <f t="shared" ca="1" si="107"/>
        <v>0</v>
      </c>
      <c r="S228" s="307">
        <f t="shared" ca="1" si="108"/>
        <v>2.0843000000000003</v>
      </c>
      <c r="T228" s="304">
        <f t="shared" ca="1" si="88"/>
        <v>20.446983000000003</v>
      </c>
      <c r="U228" s="311">
        <f t="shared" ca="1" si="89"/>
        <v>0</v>
      </c>
      <c r="V228" s="306">
        <f t="shared" ca="1" si="90"/>
        <v>1.2064436366287121</v>
      </c>
      <c r="W228" s="304">
        <f t="shared" ca="1" si="91"/>
        <v>0.72767734762967273</v>
      </c>
      <c r="Y228" s="314" t="str">
        <f t="shared" ca="1" si="109"/>
        <v/>
      </c>
      <c r="Z228" s="315" t="str">
        <f t="shared" ca="1" si="110"/>
        <v/>
      </c>
      <c r="AA228" s="316" t="str">
        <f t="shared" ca="1" si="111"/>
        <v/>
      </c>
      <c r="AC228" s="310" t="e">
        <f t="shared" ca="1" si="112"/>
        <v>#N/A</v>
      </c>
      <c r="AD228" s="323" t="e">
        <f t="shared" ca="1" si="113"/>
        <v>#N/A</v>
      </c>
      <c r="AE228" s="324">
        <f t="shared" ca="1" si="92"/>
        <v>152.63659080345235</v>
      </c>
      <c r="AG228" s="306">
        <f t="shared" ca="1" si="114"/>
        <v>-9.8023701129888678</v>
      </c>
      <c r="AH228" s="304">
        <f t="shared" ca="1" si="115"/>
        <v>-0.39155000334911932</v>
      </c>
    </row>
    <row r="229" spans="1:34" x14ac:dyDescent="0.2">
      <c r="A229" s="347">
        <f t="shared" ca="1" si="93"/>
        <v>0.1</v>
      </c>
      <c r="B229" s="304">
        <f t="shared" ca="1" si="94"/>
        <v>4.5000000000000009</v>
      </c>
      <c r="D229" s="306">
        <f t="shared" ca="1" si="95"/>
        <v>-0.10415494183835222</v>
      </c>
      <c r="E229" s="307">
        <f t="shared" ca="1" si="96"/>
        <v>-10.143224714861974</v>
      </c>
      <c r="F229" s="304">
        <f t="shared" ca="1" si="97"/>
        <v>10.143759454368785</v>
      </c>
      <c r="G229" s="306">
        <f t="shared" ca="1" si="98"/>
        <v>4.9400094198667084</v>
      </c>
      <c r="H229" s="307">
        <f t="shared" ca="1" si="99"/>
        <v>14.823657957615994</v>
      </c>
      <c r="I229" s="304">
        <f t="shared" ca="1" si="100"/>
        <v>15.625124905509198</v>
      </c>
      <c r="J229" s="306">
        <f t="shared" ca="1" si="101"/>
        <v>21.897761951941344</v>
      </c>
      <c r="K229" s="307">
        <f t="shared" ca="1" si="102"/>
        <v>154.16967272278825</v>
      </c>
      <c r="L229" s="304">
        <f t="shared" ca="1" si="87"/>
        <v>155.71705098015289</v>
      </c>
      <c r="M229" s="306">
        <f t="shared" ca="1" si="103"/>
        <v>1.2491192317339619</v>
      </c>
      <c r="N229" s="304">
        <f t="shared" ca="1" si="104"/>
        <v>71.569260086979867</v>
      </c>
      <c r="P229" s="310">
        <f t="shared" ca="1" si="105"/>
        <v>23</v>
      </c>
      <c r="Q229" s="304">
        <f t="shared" ca="1" si="106"/>
        <v>0</v>
      </c>
      <c r="R229" s="306">
        <f t="shared" ca="1" si="107"/>
        <v>0</v>
      </c>
      <c r="S229" s="307">
        <f t="shared" ca="1" si="108"/>
        <v>2.0843000000000003</v>
      </c>
      <c r="T229" s="304">
        <f t="shared" ca="1" si="88"/>
        <v>20.446983000000003</v>
      </c>
      <c r="U229" s="311">
        <f t="shared" ca="1" si="89"/>
        <v>0</v>
      </c>
      <c r="V229" s="306">
        <f t="shared" ca="1" si="90"/>
        <v>1.2062586822327865</v>
      </c>
      <c r="W229" s="304">
        <f t="shared" ca="1" si="91"/>
        <v>0.64511452170300854</v>
      </c>
      <c r="Y229" s="314" t="str">
        <f t="shared" ca="1" si="109"/>
        <v/>
      </c>
      <c r="Z229" s="315" t="str">
        <f t="shared" ca="1" si="110"/>
        <v/>
      </c>
      <c r="AA229" s="316" t="str">
        <f t="shared" ca="1" si="111"/>
        <v/>
      </c>
      <c r="AC229" s="310" t="e">
        <f t="shared" ca="1" si="112"/>
        <v>#N/A</v>
      </c>
      <c r="AD229" s="323" t="e">
        <f t="shared" ca="1" si="113"/>
        <v>#N/A</v>
      </c>
      <c r="AE229" s="324">
        <f t="shared" ca="1" si="92"/>
        <v>154.16967272278825</v>
      </c>
      <c r="AG229" s="306">
        <f t="shared" ca="1" si="114"/>
        <v>-9.7123939599489422</v>
      </c>
      <c r="AH229" s="304">
        <f t="shared" ca="1" si="115"/>
        <v>-0.34912313372819298</v>
      </c>
    </row>
    <row r="230" spans="1:34" x14ac:dyDescent="0.2">
      <c r="A230" s="347">
        <f t="shared" ca="1" si="93"/>
        <v>0.1</v>
      </c>
      <c r="B230" s="304">
        <f t="shared" ca="1" si="94"/>
        <v>4.6000000000000005</v>
      </c>
      <c r="D230" s="306">
        <f t="shared" ca="1" si="95"/>
        <v>-9.7854515027038513E-2</v>
      </c>
      <c r="E230" s="307">
        <f t="shared" ca="1" si="96"/>
        <v>-10.103635444202929</v>
      </c>
      <c r="F230" s="304">
        <f t="shared" ca="1" si="97"/>
        <v>10.104109297482134</v>
      </c>
      <c r="G230" s="306">
        <f t="shared" ca="1" si="98"/>
        <v>4.9302239683640048</v>
      </c>
      <c r="H230" s="307">
        <f t="shared" ca="1" si="99"/>
        <v>13.813294413195701</v>
      </c>
      <c r="I230" s="304">
        <f t="shared" ca="1" si="100"/>
        <v>14.666772341720399</v>
      </c>
      <c r="J230" s="306">
        <f t="shared" ca="1" si="101"/>
        <v>22.39127362135288</v>
      </c>
      <c r="K230" s="307">
        <f t="shared" ca="1" si="102"/>
        <v>155.60152034132884</v>
      </c>
      <c r="L230" s="304">
        <f t="shared" ca="1" si="87"/>
        <v>157.2043328503361</v>
      </c>
      <c r="M230" s="306">
        <f t="shared" ca="1" si="103"/>
        <v>1.227971143742377</v>
      </c>
      <c r="N230" s="304">
        <f t="shared" ca="1" si="104"/>
        <v>70.357563900290756</v>
      </c>
      <c r="P230" s="310">
        <f t="shared" ca="1" si="105"/>
        <v>23</v>
      </c>
      <c r="Q230" s="304">
        <f t="shared" ca="1" si="106"/>
        <v>0</v>
      </c>
      <c r="R230" s="306">
        <f t="shared" ca="1" si="107"/>
        <v>0</v>
      </c>
      <c r="S230" s="307">
        <f t="shared" ca="1" si="108"/>
        <v>2.0843000000000003</v>
      </c>
      <c r="T230" s="304">
        <f t="shared" ca="1" si="88"/>
        <v>20.446983000000003</v>
      </c>
      <c r="U230" s="311">
        <f t="shared" ca="1" si="89"/>
        <v>0</v>
      </c>
      <c r="V230" s="306">
        <f t="shared" ca="1" si="90"/>
        <v>1.2060859663775589</v>
      </c>
      <c r="W230" s="304">
        <f t="shared" ca="1" si="91"/>
        <v>0.56832496824462519</v>
      </c>
      <c r="Y230" s="314" t="str">
        <f t="shared" ca="1" si="109"/>
        <v/>
      </c>
      <c r="Z230" s="315" t="str">
        <f t="shared" ca="1" si="110"/>
        <v/>
      </c>
      <c r="AA230" s="316" t="str">
        <f t="shared" ca="1" si="111"/>
        <v/>
      </c>
      <c r="AC230" s="310" t="e">
        <f t="shared" ca="1" si="112"/>
        <v>#N/A</v>
      </c>
      <c r="AD230" s="323" t="e">
        <f t="shared" ca="1" si="113"/>
        <v>#N/A</v>
      </c>
      <c r="AE230" s="324">
        <f t="shared" ca="1" si="92"/>
        <v>155.60152034132884</v>
      </c>
      <c r="AG230" s="306">
        <f t="shared" ca="1" si="114"/>
        <v>-9.616322371051357</v>
      </c>
      <c r="AH230" s="304">
        <f t="shared" ca="1" si="115"/>
        <v>-0.30951135714772754</v>
      </c>
    </row>
    <row r="231" spans="1:34" x14ac:dyDescent="0.2">
      <c r="A231" s="347">
        <f t="shared" ca="1" si="93"/>
        <v>0.1</v>
      </c>
      <c r="B231" s="304">
        <f t="shared" ca="1" si="94"/>
        <v>4.7</v>
      </c>
      <c r="D231" s="306">
        <f t="shared" ca="1" si="95"/>
        <v>-9.1657626232267878E-2</v>
      </c>
      <c r="E231" s="307">
        <f t="shared" ca="1" si="96"/>
        <v>-10.066802486963102</v>
      </c>
      <c r="F231" s="304">
        <f t="shared" ca="1" si="97"/>
        <v>10.06721974688012</v>
      </c>
      <c r="G231" s="306">
        <f t="shared" ca="1" si="98"/>
        <v>4.9210582057407777</v>
      </c>
      <c r="H231" s="307">
        <f t="shared" ca="1" si="99"/>
        <v>12.80661416449939</v>
      </c>
      <c r="I231" s="304">
        <f t="shared" ca="1" si="100"/>
        <v>13.719554665609413</v>
      </c>
      <c r="J231" s="306">
        <f t="shared" ca="1" si="101"/>
        <v>22.883837730058119</v>
      </c>
      <c r="K231" s="307">
        <f t="shared" ca="1" si="102"/>
        <v>156.9325157702136</v>
      </c>
      <c r="L231" s="304">
        <f t="shared" ca="1" si="87"/>
        <v>158.59219569456744</v>
      </c>
      <c r="M231" s="306">
        <f t="shared" ca="1" si="103"/>
        <v>1.2039328899108652</v>
      </c>
      <c r="N231" s="304">
        <f t="shared" ca="1" si="104"/>
        <v>68.980273408880947</v>
      </c>
      <c r="P231" s="310">
        <f t="shared" ca="1" si="105"/>
        <v>23</v>
      </c>
      <c r="Q231" s="304">
        <f t="shared" ca="1" si="106"/>
        <v>0</v>
      </c>
      <c r="R231" s="306">
        <f t="shared" ca="1" si="107"/>
        <v>0</v>
      </c>
      <c r="S231" s="307">
        <f t="shared" ca="1" si="108"/>
        <v>2.0843000000000003</v>
      </c>
      <c r="T231" s="304">
        <f t="shared" ca="1" si="88"/>
        <v>20.446983000000003</v>
      </c>
      <c r="U231" s="311">
        <f t="shared" ca="1" si="89"/>
        <v>0</v>
      </c>
      <c r="V231" s="306">
        <f t="shared" ca="1" si="90"/>
        <v>1.205925437770047</v>
      </c>
      <c r="W231" s="304">
        <f t="shared" ca="1" si="91"/>
        <v>0.49722144982667654</v>
      </c>
      <c r="Y231" s="314" t="str">
        <f t="shared" ca="1" si="109"/>
        <v/>
      </c>
      <c r="Z231" s="315" t="str">
        <f t="shared" ca="1" si="110"/>
        <v/>
      </c>
      <c r="AA231" s="316" t="str">
        <f t="shared" ca="1" si="111"/>
        <v/>
      </c>
      <c r="AC231" s="310" t="e">
        <f t="shared" ca="1" si="112"/>
        <v>#N/A</v>
      </c>
      <c r="AD231" s="323" t="e">
        <f t="shared" ca="1" si="113"/>
        <v>#N/A</v>
      </c>
      <c r="AE231" s="324">
        <f t="shared" ca="1" si="92"/>
        <v>156.9325157702136</v>
      </c>
      <c r="AG231" s="306">
        <f t="shared" ca="1" si="114"/>
        <v>-9.5118132283821559</v>
      </c>
      <c r="AH231" s="304">
        <f t="shared" ca="1" si="115"/>
        <v>-0.27266946612513798</v>
      </c>
    </row>
    <row r="232" spans="1:34" x14ac:dyDescent="0.2">
      <c r="A232" s="347">
        <f t="shared" ca="1" si="93"/>
        <v>0.1</v>
      </c>
      <c r="B232" s="304">
        <f t="shared" ca="1" si="94"/>
        <v>4.8</v>
      </c>
      <c r="D232" s="306">
        <f t="shared" ca="1" si="95"/>
        <v>-8.5567356347446735E-2</v>
      </c>
      <c r="E232" s="307">
        <f t="shared" ca="1" si="96"/>
        <v>-10.032681397374983</v>
      </c>
      <c r="F232" s="304">
        <f t="shared" ca="1" si="97"/>
        <v>10.033046286831649</v>
      </c>
      <c r="G232" s="306">
        <f t="shared" ca="1" si="98"/>
        <v>4.912501470106033</v>
      </c>
      <c r="H232" s="307">
        <f t="shared" ca="1" si="99"/>
        <v>11.803346024761892</v>
      </c>
      <c r="I232" s="304">
        <f t="shared" ca="1" si="100"/>
        <v>12.784821002816436</v>
      </c>
      <c r="J232" s="306">
        <f t="shared" ca="1" si="101"/>
        <v>23.375515713850458</v>
      </c>
      <c r="K232" s="307">
        <f t="shared" ca="1" si="102"/>
        <v>158.16301377967667</v>
      </c>
      <c r="L232" s="304">
        <f t="shared" ca="1" si="87"/>
        <v>159.88106098834427</v>
      </c>
      <c r="M232" s="306">
        <f t="shared" ca="1" si="103"/>
        <v>1.1764065994621145</v>
      </c>
      <c r="N232" s="304">
        <f t="shared" ca="1" si="104"/>
        <v>67.40313314051626</v>
      </c>
      <c r="P232" s="310">
        <f t="shared" ca="1" si="105"/>
        <v>23</v>
      </c>
      <c r="Q232" s="304">
        <f t="shared" ca="1" si="106"/>
        <v>0</v>
      </c>
      <c r="R232" s="306">
        <f t="shared" ca="1" si="107"/>
        <v>0</v>
      </c>
      <c r="S232" s="307">
        <f t="shared" ca="1" si="108"/>
        <v>2.0843000000000003</v>
      </c>
      <c r="T232" s="304">
        <f t="shared" ca="1" si="88"/>
        <v>20.446983000000003</v>
      </c>
      <c r="U232" s="311">
        <f t="shared" ca="1" si="89"/>
        <v>0</v>
      </c>
      <c r="V232" s="306">
        <f t="shared" ca="1" si="90"/>
        <v>1.205777048806713</v>
      </c>
      <c r="W232" s="304">
        <f t="shared" ca="1" si="91"/>
        <v>0.43172349812492955</v>
      </c>
      <c r="Y232" s="314" t="str">
        <f t="shared" ca="1" si="109"/>
        <v/>
      </c>
      <c r="Z232" s="315" t="str">
        <f t="shared" ca="1" si="110"/>
        <v/>
      </c>
      <c r="AA232" s="316" t="str">
        <f t="shared" ca="1" si="111"/>
        <v/>
      </c>
      <c r="AC232" s="310" t="e">
        <f t="shared" ca="1" si="112"/>
        <v>#N/A</v>
      </c>
      <c r="AD232" s="323" t="e">
        <f t="shared" ca="1" si="113"/>
        <v>#N/A</v>
      </c>
      <c r="AE232" s="324">
        <f t="shared" ca="1" si="92"/>
        <v>158.16301377967667</v>
      </c>
      <c r="AG232" s="306">
        <f t="shared" ca="1" si="114"/>
        <v>-9.395768650986545</v>
      </c>
      <c r="AH232" s="304">
        <f t="shared" ca="1" si="115"/>
        <v>-0.23855560611556709</v>
      </c>
    </row>
    <row r="233" spans="1:34" x14ac:dyDescent="0.2">
      <c r="A233" s="347">
        <f t="shared" ca="1" si="93"/>
        <v>0.1</v>
      </c>
      <c r="B233" s="304">
        <f t="shared" ca="1" si="94"/>
        <v>4.8999999999999995</v>
      </c>
      <c r="D233" s="306">
        <f t="shared" ca="1" si="95"/>
        <v>-7.9589082871771993E-2</v>
      </c>
      <c r="E233" s="307">
        <f t="shared" ca="1" si="96"/>
        <v>-10.001229965150261</v>
      </c>
      <c r="F233" s="304">
        <f t="shared" ca="1" si="97"/>
        <v>10.001546642291474</v>
      </c>
      <c r="G233" s="306">
        <f t="shared" ca="1" si="98"/>
        <v>4.9045425618188556</v>
      </c>
      <c r="H233" s="307">
        <f t="shared" ca="1" si="99"/>
        <v>10.803223028246865</v>
      </c>
      <c r="I233" s="304">
        <f t="shared" ca="1" si="100"/>
        <v>11.864407508962932</v>
      </c>
      <c r="J233" s="306">
        <f t="shared" ca="1" si="101"/>
        <v>23.866367915446702</v>
      </c>
      <c r="K233" s="307">
        <f t="shared" ca="1" si="102"/>
        <v>159.29334223232712</v>
      </c>
      <c r="L233" s="304">
        <f t="shared" ca="1" si="87"/>
        <v>161.07132704805269</v>
      </c>
      <c r="M233" s="306">
        <f t="shared" ca="1" si="103"/>
        <v>1.1446302441221512</v>
      </c>
      <c r="N233" s="304">
        <f t="shared" ca="1" si="104"/>
        <v>65.582482091228371</v>
      </c>
      <c r="P233" s="310">
        <f t="shared" ca="1" si="105"/>
        <v>23</v>
      </c>
      <c r="Q233" s="304">
        <f t="shared" ca="1" si="106"/>
        <v>0</v>
      </c>
      <c r="R233" s="306">
        <f t="shared" ca="1" si="107"/>
        <v>0</v>
      </c>
      <c r="S233" s="307">
        <f t="shared" ca="1" si="108"/>
        <v>2.0843000000000003</v>
      </c>
      <c r="T233" s="304">
        <f t="shared" ca="1" si="88"/>
        <v>20.446983000000003</v>
      </c>
      <c r="U233" s="311">
        <f t="shared" ca="1" si="89"/>
        <v>0</v>
      </c>
      <c r="V233" s="306">
        <f t="shared" ca="1" si="90"/>
        <v>1.2056407555144004</v>
      </c>
      <c r="W233" s="304">
        <f t="shared" ca="1" si="91"/>
        <v>0.37175721069287915</v>
      </c>
      <c r="Y233" s="314" t="str">
        <f t="shared" ca="1" si="109"/>
        <v/>
      </c>
      <c r="Z233" s="315" t="str">
        <f t="shared" ca="1" si="110"/>
        <v/>
      </c>
      <c r="AA233" s="316" t="str">
        <f t="shared" ca="1" si="111"/>
        <v/>
      </c>
      <c r="AC233" s="310" t="e">
        <f t="shared" ca="1" si="112"/>
        <v>#N/A</v>
      </c>
      <c r="AD233" s="323" t="e">
        <f t="shared" ca="1" si="113"/>
        <v>#N/A</v>
      </c>
      <c r="AE233" s="324">
        <f t="shared" ca="1" si="92"/>
        <v>159.29334223232712</v>
      </c>
      <c r="AG233" s="306">
        <f t="shared" ca="1" si="114"/>
        <v>-9.2640295403749686</v>
      </c>
      <c r="AH233" s="304">
        <f t="shared" ca="1" si="115"/>
        <v>-0.20713117023697619</v>
      </c>
    </row>
    <row r="234" spans="1:34" x14ac:dyDescent="0.2">
      <c r="A234" s="347">
        <f t="shared" ca="1" si="93"/>
        <v>0.1</v>
      </c>
      <c r="B234" s="304">
        <f t="shared" ca="1" si="94"/>
        <v>4.9999999999999991</v>
      </c>
      <c r="D234" s="306">
        <f t="shared" ca="1" si="95"/>
        <v>-7.3731254806537694E-2</v>
      </c>
      <c r="E234" s="307">
        <f t="shared" ca="1" si="96"/>
        <v>-9.9724076414441658</v>
      </c>
      <c r="F234" s="304">
        <f t="shared" ca="1" si="97"/>
        <v>9.9726802046926846</v>
      </c>
      <c r="G234" s="306">
        <f t="shared" ca="1" si="98"/>
        <v>4.8971694363382019</v>
      </c>
      <c r="H234" s="307">
        <f t="shared" ca="1" si="99"/>
        <v>9.8059822641024486</v>
      </c>
      <c r="I234" s="304">
        <f t="shared" ca="1" si="100"/>
        <v>10.960819159720536</v>
      </c>
      <c r="J234" s="306">
        <f t="shared" ca="1" si="101"/>
        <v>24.356453515354556</v>
      </c>
      <c r="K234" s="307">
        <f t="shared" ca="1" si="102"/>
        <v>160.32380249694458</v>
      </c>
      <c r="L234" s="304">
        <f t="shared" ca="1" si="87"/>
        <v>162.16336970760358</v>
      </c>
      <c r="M234" s="306">
        <f t="shared" ca="1" si="103"/>
        <v>1.1076237811140339</v>
      </c>
      <c r="N234" s="304">
        <f t="shared" ca="1" si="104"/>
        <v>63.462167946156242</v>
      </c>
      <c r="P234" s="310">
        <f t="shared" ca="1" si="105"/>
        <v>23</v>
      </c>
      <c r="Q234" s="304">
        <f t="shared" ca="1" si="106"/>
        <v>0</v>
      </c>
      <c r="R234" s="306">
        <f t="shared" ca="1" si="107"/>
        <v>0</v>
      </c>
      <c r="S234" s="307">
        <f t="shared" ca="1" si="108"/>
        <v>2.0843000000000003</v>
      </c>
      <c r="T234" s="304">
        <f t="shared" ca="1" si="88"/>
        <v>20.446983000000003</v>
      </c>
      <c r="U234" s="311">
        <f t="shared" ca="1" si="89"/>
        <v>0</v>
      </c>
      <c r="V234" s="306">
        <f t="shared" ca="1" si="90"/>
        <v>1.2055165174941853</v>
      </c>
      <c r="W234" s="304">
        <f t="shared" ca="1" si="91"/>
        <v>0.31725506224311056</v>
      </c>
      <c r="Y234" s="314" t="str">
        <f t="shared" ca="1" si="109"/>
        <v/>
      </c>
      <c r="Z234" s="315" t="str">
        <f t="shared" ca="1" si="110"/>
        <v/>
      </c>
      <c r="AA234" s="316" t="str">
        <f t="shared" ca="1" si="111"/>
        <v/>
      </c>
      <c r="AC234" s="310">
        <f t="shared" ca="1" si="112"/>
        <v>4.9999999999999991</v>
      </c>
      <c r="AD234" s="323">
        <f t="shared" ca="1" si="113"/>
        <v>24.356453515354556</v>
      </c>
      <c r="AE234" s="324">
        <f t="shared" ca="1" si="92"/>
        <v>160.32380249694458</v>
      </c>
      <c r="AG234" s="306">
        <f t="shared" ca="1" si="114"/>
        <v>-9.1109279477115876</v>
      </c>
      <c r="AH234" s="304">
        <f t="shared" ca="1" si="115"/>
        <v>-0.17836070176696209</v>
      </c>
    </row>
    <row r="235" spans="1:34" x14ac:dyDescent="0.2">
      <c r="A235" s="347">
        <f t="shared" ca="1" si="93"/>
        <v>0.1</v>
      </c>
      <c r="B235" s="304">
        <f t="shared" ca="1" si="94"/>
        <v>5.0999999999999988</v>
      </c>
      <c r="D235" s="306">
        <f t="shared" ca="1" si="95"/>
        <v>-6.8006504037419965E-2</v>
      </c>
      <c r="E235" s="307">
        <f t="shared" ca="1" si="96"/>
        <v>-9.946174698691495</v>
      </c>
      <c r="F235" s="304">
        <f t="shared" ca="1" si="97"/>
        <v>9.9464071916186025</v>
      </c>
      <c r="G235" s="306">
        <f t="shared" ca="1" si="98"/>
        <v>4.8903687859344602</v>
      </c>
      <c r="H235" s="307">
        <f t="shared" ca="1" si="99"/>
        <v>8.8113647942332989</v>
      </c>
      <c r="I235" s="304">
        <f t="shared" ca="1" si="100"/>
        <v>10.077492565092575</v>
      </c>
      <c r="J235" s="306">
        <f t="shared" ca="1" si="101"/>
        <v>24.84583042646819</v>
      </c>
      <c r="K235" s="307">
        <f t="shared" ca="1" si="102"/>
        <v>161.25466984986136</v>
      </c>
      <c r="L235" s="304">
        <f t="shared" ca="1" si="87"/>
        <v>163.15754300052632</v>
      </c>
      <c r="M235" s="306">
        <f t="shared" ca="1" si="103"/>
        <v>1.0641171300140446</v>
      </c>
      <c r="N235" s="304">
        <f t="shared" ca="1" si="104"/>
        <v>60.969420457378654</v>
      </c>
      <c r="P235" s="310">
        <f t="shared" ca="1" si="105"/>
        <v>23</v>
      </c>
      <c r="Q235" s="304">
        <f t="shared" ca="1" si="106"/>
        <v>0</v>
      </c>
      <c r="R235" s="306">
        <f t="shared" ca="1" si="107"/>
        <v>0</v>
      </c>
      <c r="S235" s="307">
        <f t="shared" ca="1" si="108"/>
        <v>2.0843000000000003</v>
      </c>
      <c r="T235" s="304">
        <f t="shared" ca="1" si="88"/>
        <v>20.446983000000003</v>
      </c>
      <c r="U235" s="311">
        <f t="shared" ca="1" si="89"/>
        <v>0</v>
      </c>
      <c r="V235" s="306">
        <f t="shared" ca="1" si="90"/>
        <v>1.2054042978672861</v>
      </c>
      <c r="W235" s="304">
        <f t="shared" ca="1" si="91"/>
        <v>0.26815572834592916</v>
      </c>
      <c r="Y235" s="314" t="str">
        <f t="shared" ca="1" si="109"/>
        <v/>
      </c>
      <c r="Z235" s="315" t="str">
        <f t="shared" ca="1" si="110"/>
        <v/>
      </c>
      <c r="AA235" s="316" t="str">
        <f t="shared" ca="1" si="111"/>
        <v/>
      </c>
      <c r="AC235" s="310" t="e">
        <f t="shared" ca="1" si="112"/>
        <v>#N/A</v>
      </c>
      <c r="AD235" s="323" t="e">
        <f t="shared" ca="1" si="113"/>
        <v>#N/A</v>
      </c>
      <c r="AE235" s="324">
        <f t="shared" ca="1" si="92"/>
        <v>161.25466984986136</v>
      </c>
      <c r="AG235" s="306">
        <f t="shared" ca="1" si="114"/>
        <v>-8.9286257384592052</v>
      </c>
      <c r="AH235" s="304">
        <f t="shared" ca="1" si="115"/>
        <v>-0.15221180359982273</v>
      </c>
    </row>
    <row r="236" spans="1:34" x14ac:dyDescent="0.2">
      <c r="A236" s="347">
        <f t="shared" ca="1" si="93"/>
        <v>0.1</v>
      </c>
      <c r="B236" s="304">
        <f t="shared" ca="1" si="94"/>
        <v>5.1999999999999984</v>
      </c>
      <c r="D236" s="306">
        <f t="shared" ca="1" si="95"/>
        <v>-6.2433254553477077E-2</v>
      </c>
      <c r="E236" s="307">
        <f t="shared" ca="1" si="96"/>
        <v>-9.9224909398947911</v>
      </c>
      <c r="F236" s="304">
        <f t="shared" ca="1" si="97"/>
        <v>9.9226873559317763</v>
      </c>
      <c r="G236" s="306">
        <f t="shared" ca="1" si="98"/>
        <v>4.8841254604791127</v>
      </c>
      <c r="H236" s="307">
        <f t="shared" ca="1" si="99"/>
        <v>7.8191157002438194</v>
      </c>
      <c r="I236" s="304">
        <f t="shared" ca="1" si="100"/>
        <v>9.2191784800761774</v>
      </c>
      <c r="J236" s="306">
        <f t="shared" ca="1" si="101"/>
        <v>25.334555138788868</v>
      </c>
      <c r="K236" s="307">
        <f t="shared" ca="1" si="102"/>
        <v>162.08619387458521</v>
      </c>
      <c r="L236" s="304">
        <f t="shared" ca="1" si="87"/>
        <v>164.05417985784439</v>
      </c>
      <c r="M236" s="306">
        <f t="shared" ca="1" si="103"/>
        <v>1.0124565710085258</v>
      </c>
      <c r="N236" s="304">
        <f t="shared" ca="1" si="104"/>
        <v>58.009488459075868</v>
      </c>
      <c r="P236" s="310">
        <f t="shared" ca="1" si="105"/>
        <v>23</v>
      </c>
      <c r="Q236" s="304">
        <f t="shared" ca="1" si="106"/>
        <v>0</v>
      </c>
      <c r="R236" s="306">
        <f t="shared" ca="1" si="107"/>
        <v>0</v>
      </c>
      <c r="S236" s="307">
        <f t="shared" ca="1" si="108"/>
        <v>2.0843000000000003</v>
      </c>
      <c r="T236" s="304">
        <f t="shared" ca="1" si="88"/>
        <v>20.446983000000003</v>
      </c>
      <c r="U236" s="311">
        <f t="shared" ca="1" si="89"/>
        <v>0</v>
      </c>
      <c r="V236" s="306">
        <f t="shared" ca="1" si="90"/>
        <v>1.2053040632217227</v>
      </c>
      <c r="W236" s="304">
        <f t="shared" ca="1" si="91"/>
        <v>0.22440391873634305</v>
      </c>
      <c r="Y236" s="314" t="str">
        <f t="shared" ca="1" si="109"/>
        <v/>
      </c>
      <c r="Z236" s="315" t="str">
        <f t="shared" ca="1" si="110"/>
        <v/>
      </c>
      <c r="AA236" s="316" t="str">
        <f t="shared" ca="1" si="111"/>
        <v/>
      </c>
      <c r="AC236" s="310" t="e">
        <f t="shared" ca="1" si="112"/>
        <v>#N/A</v>
      </c>
      <c r="AD236" s="323" t="e">
        <f t="shared" ca="1" si="113"/>
        <v>#N/A</v>
      </c>
      <c r="AE236" s="324">
        <f t="shared" ca="1" si="92"/>
        <v>162.08619387458521</v>
      </c>
      <c r="AG236" s="306">
        <f t="shared" ca="1" si="114"/>
        <v>-8.706134825846382</v>
      </c>
      <c r="AH236" s="304">
        <f t="shared" ca="1" si="115"/>
        <v>-0.12865505366114721</v>
      </c>
    </row>
    <row r="237" spans="1:34" x14ac:dyDescent="0.2">
      <c r="A237" s="347">
        <f t="shared" ca="1" si="93"/>
        <v>0.1</v>
      </c>
      <c r="B237" s="304">
        <f t="shared" ca="1" si="94"/>
        <v>5.299999999999998</v>
      </c>
      <c r="D237" s="306">
        <f t="shared" ca="1" si="95"/>
        <v>-5.7038066686013043E-2</v>
      </c>
      <c r="E237" s="307">
        <f t="shared" ca="1" si="96"/>
        <v>-9.9013136335962209</v>
      </c>
      <c r="F237" s="304">
        <f t="shared" ca="1" si="97"/>
        <v>9.9014779205878991</v>
      </c>
      <c r="G237" s="306">
        <f t="shared" ca="1" si="98"/>
        <v>4.878421653810511</v>
      </c>
      <c r="H237" s="307">
        <f t="shared" ca="1" si="99"/>
        <v>6.8289843368841971</v>
      </c>
      <c r="I237" s="304">
        <f t="shared" ca="1" si="100"/>
        <v>8.3924981326049153</v>
      </c>
      <c r="J237" s="306">
        <f t="shared" ca="1" si="101"/>
        <v>25.822682494503351</v>
      </c>
      <c r="K237" s="307">
        <f t="shared" ca="1" si="102"/>
        <v>162.8185988764416</v>
      </c>
      <c r="L237" s="304">
        <f t="shared" ca="1" si="87"/>
        <v>164.85359283709749</v>
      </c>
      <c r="M237" s="306">
        <f t="shared" ca="1" si="103"/>
        <v>0.95049102126328322</v>
      </c>
      <c r="N237" s="304">
        <f t="shared" ca="1" si="104"/>
        <v>54.459123983465517</v>
      </c>
      <c r="P237" s="310">
        <f t="shared" ca="1" si="105"/>
        <v>23</v>
      </c>
      <c r="Q237" s="304">
        <f t="shared" ca="1" si="106"/>
        <v>0</v>
      </c>
      <c r="R237" s="306">
        <f t="shared" ca="1" si="107"/>
        <v>0</v>
      </c>
      <c r="S237" s="307">
        <f t="shared" ca="1" si="108"/>
        <v>2.0843000000000003</v>
      </c>
      <c r="T237" s="304">
        <f t="shared" ca="1" si="88"/>
        <v>20.446983000000003</v>
      </c>
      <c r="U237" s="311">
        <f t="shared" ca="1" si="89"/>
        <v>0</v>
      </c>
      <c r="V237" s="306">
        <f t="shared" ca="1" si="90"/>
        <v>1.2052157835576864</v>
      </c>
      <c r="W237" s="304">
        <f t="shared" ca="1" si="91"/>
        <v>0.18595021614584278</v>
      </c>
      <c r="Y237" s="314" t="str">
        <f t="shared" ca="1" si="109"/>
        <v/>
      </c>
      <c r="Z237" s="315" t="str">
        <f t="shared" ca="1" si="110"/>
        <v/>
      </c>
      <c r="AA237" s="316" t="str">
        <f t="shared" ca="1" si="111"/>
        <v/>
      </c>
      <c r="AC237" s="310" t="e">
        <f t="shared" ca="1" si="112"/>
        <v>#N/A</v>
      </c>
      <c r="AD237" s="323" t="e">
        <f t="shared" ca="1" si="113"/>
        <v>#N/A</v>
      </c>
      <c r="AE237" s="324">
        <f t="shared" ca="1" si="92"/>
        <v>162.8185988764416</v>
      </c>
      <c r="AG237" s="306">
        <f t="shared" ca="1" si="114"/>
        <v>-8.4278765322879412</v>
      </c>
      <c r="AH237" s="304">
        <f t="shared" ca="1" si="115"/>
        <v>-0.10766392493227607</v>
      </c>
    </row>
    <row r="238" spans="1:34" x14ac:dyDescent="0.2">
      <c r="A238" s="347">
        <f t="shared" ca="1" si="93"/>
        <v>0.1</v>
      </c>
      <c r="B238" s="304">
        <f t="shared" ca="1" si="94"/>
        <v>5.3999999999999977</v>
      </c>
      <c r="D238" s="306">
        <f t="shared" ca="1" si="95"/>
        <v>-5.1859048054672001E-2</v>
      </c>
      <c r="E238" s="307">
        <f t="shared" ca="1" si="96"/>
        <v>-9.8825940994900385</v>
      </c>
      <c r="F238" s="304">
        <f t="shared" ca="1" si="97"/>
        <v>9.8827301640862615</v>
      </c>
      <c r="G238" s="306">
        <f t="shared" ca="1" si="98"/>
        <v>4.873235749005044</v>
      </c>
      <c r="H238" s="307">
        <f t="shared" ca="1" si="99"/>
        <v>5.8407249269351933</v>
      </c>
      <c r="I238" s="304">
        <f t="shared" ca="1" si="100"/>
        <v>7.6067400598089892</v>
      </c>
      <c r="J238" s="306">
        <f t="shared" ca="1" si="101"/>
        <v>26.310265364644128</v>
      </c>
      <c r="K238" s="307">
        <f t="shared" ca="1" si="102"/>
        <v>163.45208433963256</v>
      </c>
      <c r="L238" s="304">
        <f t="shared" ca="1" si="87"/>
        <v>165.55607490674677</v>
      </c>
      <c r="M238" s="306">
        <f t="shared" ca="1" si="103"/>
        <v>0.87545563456108744</v>
      </c>
      <c r="N238" s="304">
        <f t="shared" ca="1" si="104"/>
        <v>50.15991301129764</v>
      </c>
      <c r="P238" s="310">
        <f t="shared" ca="1" si="105"/>
        <v>23</v>
      </c>
      <c r="Q238" s="304">
        <f t="shared" ca="1" si="106"/>
        <v>0</v>
      </c>
      <c r="R238" s="306">
        <f t="shared" ca="1" si="107"/>
        <v>0</v>
      </c>
      <c r="S238" s="307">
        <f t="shared" ca="1" si="108"/>
        <v>2.0843000000000003</v>
      </c>
      <c r="T238" s="304">
        <f t="shared" ca="1" si="88"/>
        <v>20.446983000000003</v>
      </c>
      <c r="U238" s="311">
        <f t="shared" ca="1" si="89"/>
        <v>0</v>
      </c>
      <c r="V238" s="306">
        <f t="shared" ca="1" si="90"/>
        <v>1.2051394322283178</v>
      </c>
      <c r="W238" s="304">
        <f t="shared" ca="1" si="91"/>
        <v>0.15275091432016935</v>
      </c>
      <c r="Y238" s="314" t="str">
        <f t="shared" ca="1" si="109"/>
        <v/>
      </c>
      <c r="Z238" s="315" t="str">
        <f t="shared" ca="1" si="110"/>
        <v/>
      </c>
      <c r="AA238" s="316" t="str">
        <f t="shared" ca="1" si="111"/>
        <v/>
      </c>
      <c r="AC238" s="310" t="e">
        <f t="shared" ca="1" si="112"/>
        <v>#N/A</v>
      </c>
      <c r="AD238" s="323" t="e">
        <f t="shared" ca="1" si="113"/>
        <v>#N/A</v>
      </c>
      <c r="AE238" s="324">
        <f t="shared" ca="1" si="92"/>
        <v>163.45208433963256</v>
      </c>
      <c r="AG238" s="306">
        <f t="shared" ca="1" si="114"/>
        <v>-8.0716217681363602</v>
      </c>
      <c r="AH238" s="304">
        <f t="shared" ca="1" si="115"/>
        <v>-8.9214708125434319E-2</v>
      </c>
    </row>
    <row r="239" spans="1:34" x14ac:dyDescent="0.2">
      <c r="A239" s="347">
        <f t="shared" ca="1" si="93"/>
        <v>0.1</v>
      </c>
      <c r="B239" s="304">
        <f t="shared" ca="1" si="94"/>
        <v>5.4999999999999973</v>
      </c>
      <c r="D239" s="306">
        <f t="shared" ca="1" si="95"/>
        <v>-4.6950739360545807E-2</v>
      </c>
      <c r="E239" s="307">
        <f t="shared" ca="1" si="96"/>
        <v>-9.8662719244143204</v>
      </c>
      <c r="F239" s="304">
        <f t="shared" ca="1" si="97"/>
        <v>9.8663836362880577</v>
      </c>
      <c r="G239" s="306">
        <f t="shared" ca="1" si="98"/>
        <v>4.8685406750689895</v>
      </c>
      <c r="H239" s="307">
        <f t="shared" ca="1" si="99"/>
        <v>4.8540977344937613</v>
      </c>
      <c r="I239" s="304">
        <f t="shared" ca="1" si="100"/>
        <v>6.8749511358858886</v>
      </c>
      <c r="J239" s="306">
        <f t="shared" ca="1" si="101"/>
        <v>26.79735418584783</v>
      </c>
      <c r="K239" s="307">
        <f t="shared" ca="1" si="102"/>
        <v>163.986825472704</v>
      </c>
      <c r="L239" s="304">
        <f t="shared" ca="1" si="87"/>
        <v>166.16190032608816</v>
      </c>
      <c r="M239" s="306">
        <f t="shared" ca="1" si="103"/>
        <v>0.78391266847898056</v>
      </c>
      <c r="N239" s="304">
        <f t="shared" ca="1" si="104"/>
        <v>44.914887410683669</v>
      </c>
      <c r="P239" s="310">
        <f t="shared" ca="1" si="105"/>
        <v>23</v>
      </c>
      <c r="Q239" s="304">
        <f t="shared" ca="1" si="106"/>
        <v>0</v>
      </c>
      <c r="R239" s="306">
        <f t="shared" ca="1" si="107"/>
        <v>0</v>
      </c>
      <c r="S239" s="307">
        <f t="shared" ca="1" si="108"/>
        <v>2.0843000000000003</v>
      </c>
      <c r="T239" s="304">
        <f t="shared" ca="1" si="88"/>
        <v>20.446983000000003</v>
      </c>
      <c r="U239" s="311">
        <f t="shared" ca="1" si="89"/>
        <v>0</v>
      </c>
      <c r="V239" s="306">
        <f t="shared" ca="1" si="90"/>
        <v>1.2050749858703251</v>
      </c>
      <c r="W239" s="304">
        <f t="shared" ca="1" si="91"/>
        <v>0.12476784488973927</v>
      </c>
      <c r="Y239" s="314" t="str">
        <f t="shared" ca="1" si="109"/>
        <v/>
      </c>
      <c r="Z239" s="315" t="str">
        <f t="shared" ca="1" si="110"/>
        <v/>
      </c>
      <c r="AA239" s="316" t="str">
        <f t="shared" ca="1" si="111"/>
        <v/>
      </c>
      <c r="AC239" s="310" t="e">
        <f t="shared" ca="1" si="112"/>
        <v>#N/A</v>
      </c>
      <c r="AD239" s="323" t="e">
        <f t="shared" ca="1" si="113"/>
        <v>#N/A</v>
      </c>
      <c r="AE239" s="324">
        <f t="shared" ca="1" si="92"/>
        <v>163.986825472704</v>
      </c>
      <c r="AG239" s="306">
        <f t="shared" ca="1" si="114"/>
        <v>-7.6057525209812935</v>
      </c>
      <c r="AH239" s="304">
        <f t="shared" ca="1" si="115"/>
        <v>-7.3286433968319978E-2</v>
      </c>
    </row>
    <row r="240" spans="1:34" x14ac:dyDescent="0.2">
      <c r="A240" s="347">
        <f t="shared" ca="1" si="93"/>
        <v>0.1</v>
      </c>
      <c r="B240" s="304">
        <f t="shared" ca="1" si="94"/>
        <v>5.599999999999997</v>
      </c>
      <c r="D240" s="306">
        <f t="shared" ca="1" si="95"/>
        <v>-4.2390801895204222E-2</v>
      </c>
      <c r="E240" s="307">
        <f t="shared" ca="1" si="96"/>
        <v>-9.8522650459708796</v>
      </c>
      <c r="F240" s="304">
        <f t="shared" ca="1" si="97"/>
        <v>9.8523562418410808</v>
      </c>
      <c r="G240" s="306">
        <f t="shared" ca="1" si="98"/>
        <v>4.8643015948794694</v>
      </c>
      <c r="H240" s="307">
        <f t="shared" ca="1" si="99"/>
        <v>3.8688712298966732</v>
      </c>
      <c r="I240" s="304">
        <f t="shared" ca="1" si="100"/>
        <v>6.2152710801274909</v>
      </c>
      <c r="J240" s="306">
        <f t="shared" ca="1" si="101"/>
        <v>27.283996299345254</v>
      </c>
      <c r="K240" s="307">
        <f t="shared" ca="1" si="102"/>
        <v>164.42297392092351</v>
      </c>
      <c r="L240" s="304">
        <f t="shared" ca="1" si="87"/>
        <v>166.67132568940397</v>
      </c>
      <c r="M240" s="306">
        <f t="shared" ca="1" si="103"/>
        <v>0.67190530265992243</v>
      </c>
      <c r="N240" s="304">
        <f t="shared" ca="1" si="104"/>
        <v>38.49733807487376</v>
      </c>
      <c r="P240" s="310">
        <f t="shared" ca="1" si="105"/>
        <v>23</v>
      </c>
      <c r="Q240" s="304">
        <f t="shared" ca="1" si="106"/>
        <v>0</v>
      </c>
      <c r="R240" s="306">
        <f t="shared" ca="1" si="107"/>
        <v>0</v>
      </c>
      <c r="S240" s="307">
        <f t="shared" ca="1" si="108"/>
        <v>2.0843000000000003</v>
      </c>
      <c r="T240" s="304">
        <f t="shared" ca="1" si="88"/>
        <v>20.446983000000003</v>
      </c>
      <c r="U240" s="311">
        <f t="shared" ca="1" si="89"/>
        <v>0</v>
      </c>
      <c r="V240" s="306">
        <f t="shared" ca="1" si="90"/>
        <v>1.2050224243149801</v>
      </c>
      <c r="W240" s="304">
        <f t="shared" ca="1" si="91"/>
        <v>0.10196817573060736</v>
      </c>
      <c r="Y240" s="314" t="str">
        <f t="shared" ca="1" si="109"/>
        <v/>
      </c>
      <c r="Z240" s="315" t="str">
        <f t="shared" ca="1" si="110"/>
        <v/>
      </c>
      <c r="AA240" s="316" t="str">
        <f t="shared" ca="1" si="111"/>
        <v/>
      </c>
      <c r="AC240" s="310" t="e">
        <f t="shared" ca="1" si="112"/>
        <v>#N/A</v>
      </c>
      <c r="AD240" s="323" t="e">
        <f t="shared" ca="1" si="113"/>
        <v>#N/A</v>
      </c>
      <c r="AE240" s="324">
        <f t="shared" ca="1" si="92"/>
        <v>164.42297392092351</v>
      </c>
      <c r="AG240" s="306">
        <f t="shared" ca="1" si="114"/>
        <v>-6.9862662051293034</v>
      </c>
      <c r="AH240" s="304">
        <f t="shared" ca="1" si="115"/>
        <v>-5.9860790140449677E-2</v>
      </c>
    </row>
    <row r="241" spans="1:34" x14ac:dyDescent="0.2">
      <c r="A241" s="347">
        <f t="shared" ca="1" si="93"/>
        <v>0.1</v>
      </c>
      <c r="B241" s="304">
        <f t="shared" ca="1" si="94"/>
        <v>5.6999999999999966</v>
      </c>
      <c r="D241" s="306">
        <f t="shared" ca="1" si="95"/>
        <v>-3.8288190311322273E-2</v>
      </c>
      <c r="E241" s="307">
        <f t="shared" ca="1" si="96"/>
        <v>-9.8404528975128152</v>
      </c>
      <c r="F241" s="304">
        <f t="shared" ca="1" si="97"/>
        <v>9.8405273849365251</v>
      </c>
      <c r="G241" s="306">
        <f t="shared" ca="1" si="98"/>
        <v>4.8604727758483373</v>
      </c>
      <c r="H241" s="307">
        <f t="shared" ca="1" si="99"/>
        <v>2.8848259401453915</v>
      </c>
      <c r="I241" s="304">
        <f t="shared" ca="1" si="100"/>
        <v>5.6521160913147019</v>
      </c>
      <c r="J241" s="306">
        <f t="shared" ca="1" si="101"/>
        <v>27.770235017881646</v>
      </c>
      <c r="K241" s="307">
        <f t="shared" ca="1" si="102"/>
        <v>164.76065877942563</v>
      </c>
      <c r="L241" s="304">
        <f t="shared" ca="1" si="87"/>
        <v>167.0845912535884</v>
      </c>
      <c r="M241" s="306">
        <f t="shared" ca="1" si="103"/>
        <v>0.53564697279174145</v>
      </c>
      <c r="N241" s="304">
        <f t="shared" ca="1" si="104"/>
        <v>30.690310849925623</v>
      </c>
      <c r="P241" s="310">
        <f t="shared" ca="1" si="105"/>
        <v>23</v>
      </c>
      <c r="Q241" s="304">
        <f t="shared" ca="1" si="106"/>
        <v>0</v>
      </c>
      <c r="R241" s="306">
        <f t="shared" ca="1" si="107"/>
        <v>0</v>
      </c>
      <c r="S241" s="307">
        <f t="shared" ca="1" si="108"/>
        <v>2.0843000000000003</v>
      </c>
      <c r="T241" s="304">
        <f t="shared" ca="1" si="88"/>
        <v>20.446983000000003</v>
      </c>
      <c r="U241" s="311">
        <f t="shared" ca="1" si="89"/>
        <v>0</v>
      </c>
      <c r="V241" s="306">
        <f t="shared" ca="1" si="90"/>
        <v>1.2049817304633448</v>
      </c>
      <c r="W241" s="304">
        <f t="shared" ca="1" si="91"/>
        <v>8.4324151443173984E-2</v>
      </c>
      <c r="Y241" s="314" t="str">
        <f t="shared" ca="1" si="109"/>
        <v/>
      </c>
      <c r="Z241" s="315" t="str">
        <f t="shared" ca="1" si="110"/>
        <v/>
      </c>
      <c r="AA241" s="316" t="str">
        <f t="shared" ca="1" si="111"/>
        <v/>
      </c>
      <c r="AC241" s="310" t="e">
        <f t="shared" ca="1" si="112"/>
        <v>#N/A</v>
      </c>
      <c r="AD241" s="323" t="e">
        <f t="shared" ca="1" si="113"/>
        <v>#N/A</v>
      </c>
      <c r="AE241" s="324">
        <f t="shared" ca="1" si="92"/>
        <v>164.76065877942563</v>
      </c>
      <c r="AG241" s="306">
        <f t="shared" ca="1" si="114"/>
        <v>-6.1554339169309955</v>
      </c>
      <c r="AH241" s="304">
        <f t="shared" ca="1" si="115"/>
        <v>-4.8922024531308998E-2</v>
      </c>
    </row>
    <row r="242" spans="1:34" x14ac:dyDescent="0.2">
      <c r="A242" s="347">
        <f t="shared" ca="1" si="93"/>
        <v>0.1</v>
      </c>
      <c r="B242" s="304">
        <f t="shared" ca="1" si="94"/>
        <v>5.7999999999999963</v>
      </c>
      <c r="D242" s="306">
        <f t="shared" ca="1" si="95"/>
        <v>-3.4790381614335113E-2</v>
      </c>
      <c r="E242" s="307">
        <f t="shared" ca="1" si="96"/>
        <v>-9.830649060282223</v>
      </c>
      <c r="F242" s="304">
        <f t="shared" ca="1" si="97"/>
        <v>9.8307106211647088</v>
      </c>
      <c r="G242" s="306">
        <f t="shared" ca="1" si="98"/>
        <v>4.8569937376869037</v>
      </c>
      <c r="H242" s="307">
        <f t="shared" ca="1" si="99"/>
        <v>1.9017610341171691</v>
      </c>
      <c r="I242" s="304">
        <f t="shared" ca="1" si="100"/>
        <v>5.2160409506460166</v>
      </c>
      <c r="J242" s="306">
        <f t="shared" ca="1" si="101"/>
        <v>28.25610834355841</v>
      </c>
      <c r="K242" s="307">
        <f t="shared" ca="1" si="102"/>
        <v>164.99998812813877</v>
      </c>
      <c r="L242" s="304">
        <f t="shared" ca="1" si="87"/>
        <v>167.40192275182758</v>
      </c>
      <c r="M242" s="306">
        <f t="shared" ca="1" si="103"/>
        <v>0.37320165372538444</v>
      </c>
      <c r="N242" s="304">
        <f t="shared" ca="1" si="104"/>
        <v>21.382879665767327</v>
      </c>
      <c r="P242" s="310">
        <f t="shared" ca="1" si="105"/>
        <v>23</v>
      </c>
      <c r="Q242" s="304">
        <f t="shared" ca="1" si="106"/>
        <v>0</v>
      </c>
      <c r="R242" s="306">
        <f t="shared" ca="1" si="107"/>
        <v>0</v>
      </c>
      <c r="S242" s="307">
        <f t="shared" ca="1" si="108"/>
        <v>2.0843000000000003</v>
      </c>
      <c r="T242" s="304">
        <f t="shared" ca="1" si="88"/>
        <v>20.446983000000003</v>
      </c>
      <c r="U242" s="311">
        <f t="shared" ca="1" si="89"/>
        <v>0</v>
      </c>
      <c r="V242" s="306">
        <f t="shared" ca="1" si="90"/>
        <v>1.2049528900990858</v>
      </c>
      <c r="W242" s="304">
        <f t="shared" ca="1" si="91"/>
        <v>7.1812727643368657E-2</v>
      </c>
      <c r="Y242" s="314" t="str">
        <f t="shared" ca="1" si="109"/>
        <v/>
      </c>
      <c r="Z242" s="315" t="str">
        <f t="shared" ca="1" si="110"/>
        <v/>
      </c>
      <c r="AA242" s="316" t="str">
        <f t="shared" ca="1" si="111"/>
        <v/>
      </c>
      <c r="AC242" s="310" t="e">
        <f t="shared" ca="1" si="112"/>
        <v>#N/A</v>
      </c>
      <c r="AD242" s="323" t="e">
        <f t="shared" ca="1" si="113"/>
        <v>#N/A</v>
      </c>
      <c r="AE242" s="324">
        <f t="shared" ca="1" si="92"/>
        <v>164.99998812813877</v>
      </c>
      <c r="AG242" s="306">
        <f t="shared" ca="1" si="114"/>
        <v>-5.0474563259775556</v>
      </c>
      <c r="AH242" s="304">
        <f t="shared" ca="1" si="115"/>
        <v>-4.0456820727905761E-2</v>
      </c>
    </row>
    <row r="243" spans="1:34" x14ac:dyDescent="0.2">
      <c r="A243" s="347">
        <f t="shared" ca="1" si="93"/>
        <v>0.1</v>
      </c>
      <c r="B243" s="304">
        <f t="shared" ca="1" si="94"/>
        <v>5.8999999999999959</v>
      </c>
      <c r="D243" s="306">
        <f t="shared" ca="1" si="95"/>
        <v>-3.208246619900966E-2</v>
      </c>
      <c r="E243" s="307">
        <f t="shared" ca="1" si="96"/>
        <v>-9.8225619235664734</v>
      </c>
      <c r="F243" s="304">
        <f t="shared" ca="1" si="97"/>
        <v>9.8226143173258773</v>
      </c>
      <c r="G243" s="306">
        <f t="shared" ca="1" si="98"/>
        <v>4.8537854910670024</v>
      </c>
      <c r="H243" s="307">
        <f t="shared" ca="1" si="99"/>
        <v>0.91950484176052172</v>
      </c>
      <c r="I243" s="304">
        <f t="shared" ca="1" si="100"/>
        <v>4.94011363708504</v>
      </c>
      <c r="J243" s="306">
        <f t="shared" ca="1" si="101"/>
        <v>28.741647304996103</v>
      </c>
      <c r="K243" s="307">
        <f t="shared" ca="1" si="102"/>
        <v>165.14105142193264</v>
      </c>
      <c r="L243" s="304">
        <f t="shared" ca="1" si="87"/>
        <v>167.62353401162437</v>
      </c>
      <c r="M243" s="306">
        <f t="shared" ca="1" si="103"/>
        <v>0.18722214221510711</v>
      </c>
      <c r="N243" s="304">
        <f t="shared" ca="1" si="104"/>
        <v>10.727038580323718</v>
      </c>
      <c r="P243" s="310">
        <f t="shared" ca="1" si="105"/>
        <v>23</v>
      </c>
      <c r="Q243" s="304">
        <f t="shared" ca="1" si="106"/>
        <v>0</v>
      </c>
      <c r="R243" s="306">
        <f t="shared" ca="1" si="107"/>
        <v>0</v>
      </c>
      <c r="S243" s="307">
        <f t="shared" ca="1" si="108"/>
        <v>2.0843000000000003</v>
      </c>
      <c r="T243" s="304">
        <f t="shared" ca="1" si="88"/>
        <v>20.446983000000003</v>
      </c>
      <c r="U243" s="311">
        <f t="shared" ca="1" si="89"/>
        <v>0</v>
      </c>
      <c r="V243" s="306">
        <f t="shared" ca="1" si="90"/>
        <v>1.2049358915986754</v>
      </c>
      <c r="W243" s="304">
        <f t="shared" ca="1" si="91"/>
        <v>6.4415026455523383E-2</v>
      </c>
      <c r="Y243" s="314" t="str">
        <f t="shared" ca="1" si="109"/>
        <v>Apogée</v>
      </c>
      <c r="Z243" s="315" t="str">
        <f t="shared" ca="1" si="110"/>
        <v/>
      </c>
      <c r="AA243" s="316" t="str">
        <f t="shared" ca="1" si="111"/>
        <v/>
      </c>
      <c r="AC243" s="310" t="e">
        <f t="shared" ca="1" si="112"/>
        <v>#N/A</v>
      </c>
      <c r="AD243" s="323" t="e">
        <f t="shared" ca="1" si="113"/>
        <v>#N/A</v>
      </c>
      <c r="AE243" s="324">
        <f t="shared" ca="1" si="92"/>
        <v>165.14105142193264</v>
      </c>
      <c r="AG243" s="306">
        <f t="shared" ca="1" si="114"/>
        <v>-3.6111660236346443</v>
      </c>
      <c r="AH243" s="304">
        <f t="shared" ca="1" si="115"/>
        <v>-3.445412255595099E-2</v>
      </c>
    </row>
    <row r="244" spans="1:34" x14ac:dyDescent="0.2">
      <c r="A244" s="347">
        <f t="shared" ca="1" si="93"/>
        <v>0.1</v>
      </c>
      <c r="B244" s="304">
        <f t="shared" ca="1" si="94"/>
        <v>5.9999999999999956</v>
      </c>
      <c r="D244" s="306">
        <f t="shared" ca="1" si="95"/>
        <v>-3.0364812310510039E-2</v>
      </c>
      <c r="E244" s="307">
        <f t="shared" ca="1" si="96"/>
        <v>-9.8157523333056336</v>
      </c>
      <c r="F244" s="304">
        <f t="shared" ca="1" si="97"/>
        <v>9.8157992996302461</v>
      </c>
      <c r="G244" s="306">
        <f t="shared" ca="1" si="98"/>
        <v>4.8507490098359511</v>
      </c>
      <c r="H244" s="307">
        <f t="shared" ca="1" si="99"/>
        <v>-6.2070391570041683E-2</v>
      </c>
      <c r="I244" s="304">
        <f t="shared" ca="1" si="100"/>
        <v>4.8511461212721798</v>
      </c>
      <c r="J244" s="306">
        <f t="shared" ca="1" si="101"/>
        <v>29.226874030041252</v>
      </c>
      <c r="K244" s="307">
        <f t="shared" ca="1" si="102"/>
        <v>165.18392314444216</v>
      </c>
      <c r="L244" s="304">
        <f t="shared" ca="1" si="87"/>
        <v>167.74963079231165</v>
      </c>
      <c r="M244" s="306">
        <f t="shared" ca="1" si="103"/>
        <v>-1.2795344389434624E-2</v>
      </c>
      <c r="N244" s="304">
        <f t="shared" ca="1" si="104"/>
        <v>-0.73311923093100118</v>
      </c>
      <c r="P244" s="310">
        <f t="shared" ca="1" si="105"/>
        <v>23</v>
      </c>
      <c r="Q244" s="304">
        <f t="shared" ca="1" si="106"/>
        <v>0</v>
      </c>
      <c r="R244" s="306">
        <f t="shared" ca="1" si="107"/>
        <v>0</v>
      </c>
      <c r="S244" s="307">
        <f t="shared" ca="1" si="108"/>
        <v>2.0843000000000003</v>
      </c>
      <c r="T244" s="304">
        <f t="shared" ca="1" si="88"/>
        <v>20.446983000000003</v>
      </c>
      <c r="U244" s="311">
        <f t="shared" ca="1" si="89"/>
        <v>0</v>
      </c>
      <c r="V244" s="306">
        <f t="shared" ca="1" si="90"/>
        <v>1.2049307254897192</v>
      </c>
      <c r="W244" s="304">
        <f t="shared" ca="1" si="91"/>
        <v>6.2115525210767145E-2</v>
      </c>
      <c r="Y244" s="314" t="str">
        <f t="shared" ca="1" si="109"/>
        <v/>
      </c>
      <c r="Z244" s="315" t="str">
        <f t="shared" ca="1" si="110"/>
        <v/>
      </c>
      <c r="AA244" s="316" t="str">
        <f t="shared" ca="1" si="111"/>
        <v/>
      </c>
      <c r="AC244" s="310">
        <f t="shared" ca="1" si="112"/>
        <v>5.9999999999999956</v>
      </c>
      <c r="AD244" s="323">
        <f t="shared" ca="1" si="113"/>
        <v>29.226874030041252</v>
      </c>
      <c r="AE244" s="324">
        <f t="shared" ca="1" si="92"/>
        <v>165.18392314444216</v>
      </c>
      <c r="AG244" s="306">
        <f t="shared" ca="1" si="114"/>
        <v>-1.8568431326290338</v>
      </c>
      <c r="AH244" s="304">
        <f t="shared" ca="1" si="115"/>
        <v>-3.090487283765455E-2</v>
      </c>
    </row>
    <row r="245" spans="1:34" x14ac:dyDescent="0.2">
      <c r="A245" s="347">
        <f t="shared" ca="1" si="93"/>
        <v>0.1</v>
      </c>
      <c r="B245" s="304">
        <f t="shared" ca="1" si="94"/>
        <v>6.0999999999999952</v>
      </c>
      <c r="D245" s="306">
        <f t="shared" ca="1" si="95"/>
        <v>-2.9799184607407398E-2</v>
      </c>
      <c r="E245" s="307">
        <f t="shared" ca="1" si="96"/>
        <v>-9.8096186883606435</v>
      </c>
      <c r="F245" s="304">
        <f t="shared" ca="1" si="97"/>
        <v>9.8096639495161941</v>
      </c>
      <c r="G245" s="306">
        <f t="shared" ca="1" si="98"/>
        <v>4.8477690913752101</v>
      </c>
      <c r="H245" s="307">
        <f t="shared" ca="1" si="99"/>
        <v>-1.0430322604061062</v>
      </c>
      <c r="I245" s="304">
        <f t="shared" ca="1" si="100"/>
        <v>4.9587076400550885</v>
      </c>
      <c r="J245" s="306">
        <f t="shared" ca="1" si="101"/>
        <v>29.711799935101809</v>
      </c>
      <c r="K245" s="307">
        <f t="shared" ca="1" si="102"/>
        <v>165.12866801184336</v>
      </c>
      <c r="L245" s="304">
        <f t="shared" ca="1" si="87"/>
        <v>167.78041618362107</v>
      </c>
      <c r="M245" s="306">
        <f t="shared" ca="1" si="103"/>
        <v>-0.2119263774088104</v>
      </c>
      <c r="N245" s="304">
        <f t="shared" ca="1" si="104"/>
        <v>-12.142486993021471</v>
      </c>
      <c r="P245" s="310">
        <f t="shared" ca="1" si="105"/>
        <v>23</v>
      </c>
      <c r="Q245" s="304">
        <f t="shared" ca="1" si="106"/>
        <v>0</v>
      </c>
      <c r="R245" s="306">
        <f t="shared" ca="1" si="107"/>
        <v>0</v>
      </c>
      <c r="S245" s="307">
        <f t="shared" ca="1" si="108"/>
        <v>2.0843000000000003</v>
      </c>
      <c r="T245" s="304">
        <f t="shared" ca="1" si="88"/>
        <v>20.446983000000003</v>
      </c>
      <c r="U245" s="311">
        <f t="shared" ca="1" si="89"/>
        <v>0</v>
      </c>
      <c r="V245" s="306">
        <f t="shared" ca="1" si="90"/>
        <v>1.2049373838228576</v>
      </c>
      <c r="W245" s="304">
        <f t="shared" ca="1" si="91"/>
        <v>6.490092045511657E-2</v>
      </c>
      <c r="Y245" s="314" t="str">
        <f t="shared" ca="1" si="109"/>
        <v/>
      </c>
      <c r="Z245" s="315" t="str">
        <f t="shared" ca="1" si="110"/>
        <v/>
      </c>
      <c r="AA245" s="316" t="str">
        <f t="shared" ca="1" si="111"/>
        <v/>
      </c>
      <c r="AC245" s="310" t="e">
        <f t="shared" ca="1" si="112"/>
        <v>#N/A</v>
      </c>
      <c r="AD245" s="323" t="e">
        <f t="shared" ca="1" si="113"/>
        <v>#N/A</v>
      </c>
      <c r="AE245" s="324">
        <f t="shared" ca="1" si="92"/>
        <v>165.12866801184336</v>
      </c>
      <c r="AG245" s="306">
        <f t="shared" ca="1" si="114"/>
        <v>9.5717279237359718E-2</v>
      </c>
      <c r="AH245" s="304">
        <f t="shared" ca="1" si="115"/>
        <v>-2.9801624147563755E-2</v>
      </c>
    </row>
    <row r="246" spans="1:34" x14ac:dyDescent="0.2">
      <c r="A246" s="347">
        <f t="shared" ca="1" si="93"/>
        <v>0.1</v>
      </c>
      <c r="B246" s="304">
        <f t="shared" ca="1" si="94"/>
        <v>6.1999999999999948</v>
      </c>
      <c r="D246" s="306">
        <f t="shared" ca="1" si="95"/>
        <v>-3.0441359889833632E-2</v>
      </c>
      <c r="E246" s="307">
        <f t="shared" ca="1" si="96"/>
        <v>-9.8034503232688586</v>
      </c>
      <c r="F246" s="304">
        <f t="shared" ca="1" si="97"/>
        <v>9.8034975859227007</v>
      </c>
      <c r="G246" s="306">
        <f t="shared" ca="1" si="98"/>
        <v>4.8447249553862264</v>
      </c>
      <c r="H246" s="307">
        <f t="shared" ca="1" si="99"/>
        <v>-2.023377292732992</v>
      </c>
      <c r="I246" s="304">
        <f t="shared" ca="1" si="100"/>
        <v>5.2502776652372933</v>
      </c>
      <c r="J246" s="306">
        <f t="shared" ca="1" si="101"/>
        <v>30.196424637439879</v>
      </c>
      <c r="K246" s="307">
        <f t="shared" ca="1" si="102"/>
        <v>164.9753475341864</v>
      </c>
      <c r="L246" s="304">
        <f t="shared" ca="1" si="87"/>
        <v>167.71609748294935</v>
      </c>
      <c r="M246" s="306">
        <f t="shared" ca="1" si="103"/>
        <v>-0.39562481542296002</v>
      </c>
      <c r="N246" s="304">
        <f t="shared" ca="1" si="104"/>
        <v>-22.667632194377809</v>
      </c>
      <c r="P246" s="310">
        <f t="shared" ca="1" si="105"/>
        <v>23</v>
      </c>
      <c r="Q246" s="304">
        <f t="shared" ca="1" si="106"/>
        <v>0</v>
      </c>
      <c r="R246" s="306">
        <f t="shared" ca="1" si="107"/>
        <v>0</v>
      </c>
      <c r="S246" s="307">
        <f t="shared" ca="1" si="108"/>
        <v>2.0843000000000003</v>
      </c>
      <c r="T246" s="304">
        <f t="shared" ca="1" si="88"/>
        <v>20.446983000000003</v>
      </c>
      <c r="U246" s="311">
        <f t="shared" ca="1" si="89"/>
        <v>0</v>
      </c>
      <c r="V246" s="306">
        <f t="shared" ca="1" si="90"/>
        <v>1.2049558593803003</v>
      </c>
      <c r="W246" s="304">
        <f t="shared" ca="1" si="91"/>
        <v>7.275872035719648E-2</v>
      </c>
      <c r="Y246" s="314" t="str">
        <f t="shared" ca="1" si="109"/>
        <v/>
      </c>
      <c r="Z246" s="315" t="str">
        <f t="shared" ca="1" si="110"/>
        <v/>
      </c>
      <c r="AA246" s="316" t="str">
        <f t="shared" ca="1" si="111"/>
        <v/>
      </c>
      <c r="AC246" s="310" t="e">
        <f t="shared" ca="1" si="112"/>
        <v>#N/A</v>
      </c>
      <c r="AD246" s="323" t="e">
        <f t="shared" ca="1" si="113"/>
        <v>#N/A</v>
      </c>
      <c r="AE246" s="324">
        <f t="shared" ca="1" si="92"/>
        <v>164.9753475341864</v>
      </c>
      <c r="AG246" s="306">
        <f t="shared" ca="1" si="114"/>
        <v>2.0323324136876857</v>
      </c>
      <c r="AH246" s="304">
        <f t="shared" ca="1" si="115"/>
        <v>-3.1137993789337699E-2</v>
      </c>
    </row>
    <row r="247" spans="1:34" x14ac:dyDescent="0.2">
      <c r="A247" s="347">
        <f t="shared" ca="1" si="93"/>
        <v>0.1</v>
      </c>
      <c r="B247" s="304">
        <f t="shared" ca="1" si="94"/>
        <v>6.2999999999999945</v>
      </c>
      <c r="D247" s="306">
        <f t="shared" ca="1" si="95"/>
        <v>-3.2211554062663017E-2</v>
      </c>
      <c r="E247" s="307">
        <f t="shared" ca="1" si="96"/>
        <v>-9.7965469912834635</v>
      </c>
      <c r="F247" s="304">
        <f t="shared" ca="1" si="97"/>
        <v>9.7965999477696446</v>
      </c>
      <c r="G247" s="306">
        <f t="shared" ca="1" si="98"/>
        <v>4.8415037999799599</v>
      </c>
      <c r="H247" s="307">
        <f t="shared" ca="1" si="99"/>
        <v>-3.0030319918613384</v>
      </c>
      <c r="I247" s="304">
        <f t="shared" ca="1" si="100"/>
        <v>5.6972239019862183</v>
      </c>
      <c r="J247" s="306">
        <f t="shared" ca="1" si="101"/>
        <v>30.680736075208188</v>
      </c>
      <c r="K247" s="307">
        <f t="shared" ca="1" si="102"/>
        <v>164.72402706995669</v>
      </c>
      <c r="L247" s="304">
        <f t="shared" ca="1" si="87"/>
        <v>167.5568938010621</v>
      </c>
      <c r="M247" s="306">
        <f t="shared" ca="1" si="103"/>
        <v>-0.55518960492761604</v>
      </c>
      <c r="N247" s="304">
        <f t="shared" ca="1" si="104"/>
        <v>-31.810021191887973</v>
      </c>
      <c r="P247" s="310">
        <f t="shared" ca="1" si="105"/>
        <v>23</v>
      </c>
      <c r="Q247" s="304">
        <f t="shared" ca="1" si="106"/>
        <v>0</v>
      </c>
      <c r="R247" s="306">
        <f t="shared" ca="1" si="107"/>
        <v>0</v>
      </c>
      <c r="S247" s="307">
        <f t="shared" ca="1" si="108"/>
        <v>2.0843000000000003</v>
      </c>
      <c r="T247" s="304">
        <f t="shared" ca="1" si="88"/>
        <v>20.446983000000003</v>
      </c>
      <c r="U247" s="311">
        <f t="shared" ca="1" si="89"/>
        <v>0</v>
      </c>
      <c r="V247" s="306">
        <f t="shared" ca="1" si="90"/>
        <v>1.2049861448250117</v>
      </c>
      <c r="W247" s="304">
        <f t="shared" ca="1" si="91"/>
        <v>8.5675766588514765E-2</v>
      </c>
      <c r="Y247" s="314" t="str">
        <f t="shared" ca="1" si="109"/>
        <v/>
      </c>
      <c r="Z247" s="315" t="str">
        <f t="shared" ca="1" si="110"/>
        <v/>
      </c>
      <c r="AA247" s="316" t="str">
        <f t="shared" ca="1" si="111"/>
        <v/>
      </c>
      <c r="AC247" s="310" t="e">
        <f t="shared" ca="1" si="112"/>
        <v>#N/A</v>
      </c>
      <c r="AD247" s="323" t="e">
        <f t="shared" ca="1" si="113"/>
        <v>#N/A</v>
      </c>
      <c r="AE247" s="324">
        <f t="shared" ca="1" si="92"/>
        <v>164.72402706995669</v>
      </c>
      <c r="AG247" s="306">
        <f t="shared" ca="1" si="114"/>
        <v>3.74571705792758</v>
      </c>
      <c r="AH247" s="304">
        <f t="shared" ca="1" si="115"/>
        <v>-3.4907988464806639E-2</v>
      </c>
    </row>
    <row r="248" spans="1:34" x14ac:dyDescent="0.2">
      <c r="A248" s="347">
        <f t="shared" ca="1" si="93"/>
        <v>0.1</v>
      </c>
      <c r="B248" s="304">
        <f t="shared" ca="1" si="94"/>
        <v>6.3999999999999941</v>
      </c>
      <c r="D248" s="306">
        <f t="shared" ca="1" si="95"/>
        <v>-3.4931300906653154E-2</v>
      </c>
      <c r="E248" s="307">
        <f t="shared" ca="1" si="96"/>
        <v>-9.7883332166050465</v>
      </c>
      <c r="F248" s="304">
        <f t="shared" ca="1" si="97"/>
        <v>9.7883955454955291</v>
      </c>
      <c r="G248" s="306">
        <f t="shared" ca="1" si="98"/>
        <v>4.8380106698892948</v>
      </c>
      <c r="H248" s="307">
        <f t="shared" ca="1" si="99"/>
        <v>-3.9818653135218431</v>
      </c>
      <c r="I248" s="304">
        <f t="shared" ca="1" si="100"/>
        <v>6.2659076451054609</v>
      </c>
      <c r="J248" s="306">
        <f t="shared" ca="1" si="101"/>
        <v>31.164711798701649</v>
      </c>
      <c r="K248" s="307">
        <f t="shared" ca="1" si="102"/>
        <v>164.37478220468753</v>
      </c>
      <c r="L248" s="304">
        <f t="shared" ca="1" si="87"/>
        <v>167.3030432668055</v>
      </c>
      <c r="M248" s="306">
        <f t="shared" ca="1" si="103"/>
        <v>-0.68863133527887443</v>
      </c>
      <c r="N248" s="304">
        <f t="shared" ca="1" si="104"/>
        <v>-39.455669151937855</v>
      </c>
      <c r="P248" s="310">
        <f t="shared" ca="1" si="105"/>
        <v>23</v>
      </c>
      <c r="Q248" s="304">
        <f t="shared" ca="1" si="106"/>
        <v>0</v>
      </c>
      <c r="R248" s="306">
        <f t="shared" ca="1" si="107"/>
        <v>0</v>
      </c>
      <c r="S248" s="307">
        <f t="shared" ca="1" si="108"/>
        <v>2.0843000000000003</v>
      </c>
      <c r="T248" s="304">
        <f t="shared" ca="1" si="88"/>
        <v>20.446983000000003</v>
      </c>
      <c r="U248" s="311">
        <f t="shared" ca="1" si="89"/>
        <v>0</v>
      </c>
      <c r="V248" s="306">
        <f t="shared" ca="1" si="90"/>
        <v>1.2050282319312531</v>
      </c>
      <c r="W248" s="304">
        <f t="shared" ca="1" si="91"/>
        <v>0.10363693751734716</v>
      </c>
      <c r="Y248" s="314" t="str">
        <f t="shared" ca="1" si="109"/>
        <v/>
      </c>
      <c r="Z248" s="315" t="str">
        <f t="shared" ca="1" si="110"/>
        <v/>
      </c>
      <c r="AA248" s="316" t="str">
        <f t="shared" ca="1" si="111"/>
        <v/>
      </c>
      <c r="AC248" s="310" t="e">
        <f t="shared" ca="1" si="112"/>
        <v>#N/A</v>
      </c>
      <c r="AD248" s="323" t="e">
        <f t="shared" ca="1" si="113"/>
        <v>#N/A</v>
      </c>
      <c r="AE248" s="324">
        <f t="shared" ca="1" si="92"/>
        <v>164.37478220468753</v>
      </c>
      <c r="AG248" s="306">
        <f t="shared" ca="1" si="114"/>
        <v>5.1297892224662736</v>
      </c>
      <c r="AH248" s="304">
        <f t="shared" ca="1" si="115"/>
        <v>-4.1105295105558104E-2</v>
      </c>
    </row>
    <row r="249" spans="1:34" x14ac:dyDescent="0.2">
      <c r="A249" s="347">
        <f t="shared" ca="1" si="93"/>
        <v>0.1</v>
      </c>
      <c r="B249" s="304">
        <f t="shared" ca="1" si="94"/>
        <v>6.4999999999999938</v>
      </c>
      <c r="D249" s="306">
        <f t="shared" ca="1" si="95"/>
        <v>-3.8391685119727958E-2</v>
      </c>
      <c r="E249" s="307">
        <f t="shared" ca="1" si="96"/>
        <v>-9.7784021946753175</v>
      </c>
      <c r="F249" s="304">
        <f t="shared" ca="1" si="97"/>
        <v>9.7784775605570324</v>
      </c>
      <c r="G249" s="306">
        <f t="shared" ca="1" si="98"/>
        <v>4.8341715013773223</v>
      </c>
      <c r="H249" s="307">
        <f t="shared" ca="1" si="99"/>
        <v>-4.9597055329893749</v>
      </c>
      <c r="I249" s="304">
        <f t="shared" ca="1" si="100"/>
        <v>6.9258857252119093</v>
      </c>
      <c r="J249" s="306">
        <f t="shared" ca="1" si="101"/>
        <v>31.648320907264981</v>
      </c>
      <c r="K249" s="307">
        <f t="shared" ca="1" si="102"/>
        <v>163.92770366236198</v>
      </c>
      <c r="L249" s="304">
        <f t="shared" ca="1" si="87"/>
        <v>166.95480898813423</v>
      </c>
      <c r="M249" s="306">
        <f t="shared" ca="1" si="103"/>
        <v>-0.7982150649316524</v>
      </c>
      <c r="N249" s="304">
        <f t="shared" ca="1" si="104"/>
        <v>-45.734354364344647</v>
      </c>
      <c r="P249" s="310">
        <f t="shared" ca="1" si="105"/>
        <v>23</v>
      </c>
      <c r="Q249" s="304">
        <f t="shared" ca="1" si="106"/>
        <v>0</v>
      </c>
      <c r="R249" s="306">
        <f t="shared" ca="1" si="107"/>
        <v>0</v>
      </c>
      <c r="S249" s="307">
        <f t="shared" ca="1" si="108"/>
        <v>2.0843000000000003</v>
      </c>
      <c r="T249" s="304">
        <f t="shared" ca="1" si="88"/>
        <v>20.446983000000003</v>
      </c>
      <c r="U249" s="311">
        <f t="shared" ca="1" si="89"/>
        <v>0</v>
      </c>
      <c r="V249" s="306">
        <f t="shared" ca="1" si="90"/>
        <v>1.2050821109917074</v>
      </c>
      <c r="W249" s="304">
        <f t="shared" ca="1" si="91"/>
        <v>0.12662418206646098</v>
      </c>
      <c r="Y249" s="314" t="str">
        <f t="shared" ca="1" si="109"/>
        <v/>
      </c>
      <c r="Z249" s="315" t="str">
        <f t="shared" ca="1" si="110"/>
        <v/>
      </c>
      <c r="AA249" s="316" t="str">
        <f t="shared" ca="1" si="111"/>
        <v/>
      </c>
      <c r="AC249" s="310" t="e">
        <f t="shared" ca="1" si="112"/>
        <v>#N/A</v>
      </c>
      <c r="AD249" s="323" t="e">
        <f t="shared" ca="1" si="113"/>
        <v>#N/A</v>
      </c>
      <c r="AE249" s="324">
        <f t="shared" ca="1" si="92"/>
        <v>163.92770366236198</v>
      </c>
      <c r="AG249" s="306">
        <f t="shared" ca="1" si="114"/>
        <v>6.1843460410190945</v>
      </c>
      <c r="AH249" s="304">
        <f t="shared" ca="1" si="115"/>
        <v>-4.9722658694692293E-2</v>
      </c>
    </row>
    <row r="250" spans="1:34" x14ac:dyDescent="0.2">
      <c r="A250" s="347">
        <f t="shared" ca="1" si="93"/>
        <v>0.1</v>
      </c>
      <c r="B250" s="304">
        <f t="shared" ca="1" si="94"/>
        <v>6.5999999999999934</v>
      </c>
      <c r="D250" s="306">
        <f t="shared" ca="1" si="95"/>
        <v>-4.2403641752444113E-2</v>
      </c>
      <c r="E250" s="307">
        <f t="shared" ca="1" si="96"/>
        <v>-9.7664952181447067</v>
      </c>
      <c r="F250" s="304">
        <f t="shared" ca="1" si="97"/>
        <v>9.7665872706323213</v>
      </c>
      <c r="G250" s="306">
        <f t="shared" ca="1" si="98"/>
        <v>4.8299311372020783</v>
      </c>
      <c r="H250" s="307">
        <f t="shared" ca="1" si="99"/>
        <v>-5.9363550548038457</v>
      </c>
      <c r="I250" s="304">
        <f t="shared" ca="1" si="100"/>
        <v>7.6530089590179715</v>
      </c>
      <c r="J250" s="306">
        <f t="shared" ca="1" si="101"/>
        <v>32.13152603919395</v>
      </c>
      <c r="K250" s="307">
        <f t="shared" ca="1" si="102"/>
        <v>163.38290063297231</v>
      </c>
      <c r="L250" s="304">
        <f t="shared" ca="1" si="87"/>
        <v>166.5124835706053</v>
      </c>
      <c r="M250" s="306">
        <f t="shared" ca="1" si="103"/>
        <v>-0.88780612079861099</v>
      </c>
      <c r="N250" s="304">
        <f t="shared" ca="1" si="104"/>
        <v>-50.867543747642145</v>
      </c>
      <c r="P250" s="310">
        <f t="shared" ca="1" si="105"/>
        <v>23</v>
      </c>
      <c r="Q250" s="304">
        <f t="shared" ca="1" si="106"/>
        <v>0</v>
      </c>
      <c r="R250" s="306">
        <f t="shared" ca="1" si="107"/>
        <v>0</v>
      </c>
      <c r="S250" s="307">
        <f t="shared" ca="1" si="108"/>
        <v>2.0843000000000003</v>
      </c>
      <c r="T250" s="304">
        <f t="shared" ca="1" si="88"/>
        <v>20.446983000000003</v>
      </c>
      <c r="U250" s="311">
        <f t="shared" ca="1" si="89"/>
        <v>0</v>
      </c>
      <c r="V250" s="306">
        <f t="shared" ca="1" si="90"/>
        <v>1.2051477704151414</v>
      </c>
      <c r="W250" s="304">
        <f t="shared" ca="1" si="91"/>
        <v>0.15461588672518553</v>
      </c>
      <c r="Y250" s="314" t="str">
        <f t="shared" ca="1" si="109"/>
        <v/>
      </c>
      <c r="Z250" s="315" t="str">
        <f t="shared" ca="1" si="110"/>
        <v/>
      </c>
      <c r="AA250" s="316" t="str">
        <f t="shared" ca="1" si="111"/>
        <v/>
      </c>
      <c r="AC250" s="310" t="e">
        <f t="shared" ca="1" si="112"/>
        <v>#N/A</v>
      </c>
      <c r="AD250" s="323" t="e">
        <f t="shared" ca="1" si="113"/>
        <v>#N/A</v>
      </c>
      <c r="AE250" s="324">
        <f t="shared" ca="1" si="92"/>
        <v>163.38290063297231</v>
      </c>
      <c r="AG250" s="306">
        <f t="shared" ca="1" si="114"/>
        <v>6.9643011462416959</v>
      </c>
      <c r="AH250" s="304">
        <f t="shared" ca="1" si="115"/>
        <v>-6.075141873360887E-2</v>
      </c>
    </row>
    <row r="251" spans="1:34" x14ac:dyDescent="0.2">
      <c r="A251" s="347">
        <f t="shared" ca="1" si="93"/>
        <v>0.1</v>
      </c>
      <c r="B251" s="304">
        <f t="shared" ca="1" si="94"/>
        <v>6.6999999999999931</v>
      </c>
      <c r="D251" s="306">
        <f t="shared" ca="1" si="95"/>
        <v>-4.6816894687249783E-2</v>
      </c>
      <c r="E251" s="307">
        <f t="shared" ca="1" si="96"/>
        <v>-9.7524584530230243</v>
      </c>
      <c r="F251" s="304">
        <f t="shared" ca="1" si="97"/>
        <v>9.7525708251500749</v>
      </c>
      <c r="G251" s="306">
        <f t="shared" ca="1" si="98"/>
        <v>4.825249447733353</v>
      </c>
      <c r="H251" s="307">
        <f t="shared" ca="1" si="99"/>
        <v>-6.9116009001061478</v>
      </c>
      <c r="I251" s="304">
        <f t="shared" ca="1" si="100"/>
        <v>8.429309534902556</v>
      </c>
      <c r="J251" s="306">
        <f t="shared" ca="1" si="101"/>
        <v>32.614285068440722</v>
      </c>
      <c r="K251" s="307">
        <f t="shared" ca="1" si="102"/>
        <v>162.74050283522681</v>
      </c>
      <c r="L251" s="304">
        <f t="shared" ca="1" si="87"/>
        <v>165.97639245865051</v>
      </c>
      <c r="M251" s="306">
        <f t="shared" ca="1" si="103"/>
        <v>-0.96132129359227203</v>
      </c>
      <c r="N251" s="304">
        <f t="shared" ca="1" si="104"/>
        <v>-55.079652878893896</v>
      </c>
      <c r="P251" s="310">
        <f t="shared" ca="1" si="105"/>
        <v>23</v>
      </c>
      <c r="Q251" s="304">
        <f t="shared" ca="1" si="106"/>
        <v>0</v>
      </c>
      <c r="R251" s="306">
        <f t="shared" ca="1" si="107"/>
        <v>0</v>
      </c>
      <c r="S251" s="307">
        <f t="shared" ca="1" si="108"/>
        <v>2.0843000000000003</v>
      </c>
      <c r="T251" s="304">
        <f t="shared" ca="1" si="88"/>
        <v>20.446983000000003</v>
      </c>
      <c r="U251" s="311">
        <f t="shared" ca="1" si="89"/>
        <v>0</v>
      </c>
      <c r="V251" s="306">
        <f t="shared" ca="1" si="90"/>
        <v>1.205225196476132</v>
      </c>
      <c r="W251" s="304">
        <f t="shared" ca="1" si="91"/>
        <v>0.18758649844214001</v>
      </c>
      <c r="Y251" s="314" t="str">
        <f t="shared" ca="1" si="109"/>
        <v/>
      </c>
      <c r="Z251" s="315" t="str">
        <f t="shared" ca="1" si="110"/>
        <v/>
      </c>
      <c r="AA251" s="316" t="str">
        <f t="shared" ca="1" si="111"/>
        <v/>
      </c>
      <c r="AC251" s="310" t="e">
        <f t="shared" ca="1" si="112"/>
        <v>#N/A</v>
      </c>
      <c r="AD251" s="323" t="e">
        <f t="shared" ca="1" si="113"/>
        <v>#N/A</v>
      </c>
      <c r="AE251" s="324">
        <f t="shared" ca="1" si="92"/>
        <v>162.74050283522681</v>
      </c>
      <c r="AG251" s="306">
        <f t="shared" ca="1" si="114"/>
        <v>7.5353281259415352</v>
      </c>
      <c r="AH251" s="304">
        <f t="shared" ca="1" si="115"/>
        <v>-7.4181205548714435E-2</v>
      </c>
    </row>
    <row r="252" spans="1:34" x14ac:dyDescent="0.2">
      <c r="A252" s="347">
        <f t="shared" ca="1" si="93"/>
        <v>0.1</v>
      </c>
      <c r="B252" s="304">
        <f t="shared" ca="1" si="94"/>
        <v>6.7999999999999927</v>
      </c>
      <c r="D252" s="306">
        <f t="shared" ca="1" si="95"/>
        <v>-5.1519200637793194E-2</v>
      </c>
      <c r="E252" s="307">
        <f t="shared" ca="1" si="96"/>
        <v>-9.7362048195936932</v>
      </c>
      <c r="F252" s="304">
        <f t="shared" ca="1" si="97"/>
        <v>9.7363411257573453</v>
      </c>
      <c r="G252" s="306">
        <f t="shared" ca="1" si="98"/>
        <v>4.8200975276695734</v>
      </c>
      <c r="H252" s="307">
        <f t="shared" ca="1" si="99"/>
        <v>-7.8852213820655175</v>
      </c>
      <c r="I252" s="304">
        <f t="shared" ca="1" si="100"/>
        <v>9.2417561329235234</v>
      </c>
      <c r="J252" s="306">
        <f t="shared" ca="1" si="101"/>
        <v>33.096552417210866</v>
      </c>
      <c r="K252" s="307">
        <f t="shared" ca="1" si="102"/>
        <v>162.00066172111823</v>
      </c>
      <c r="L252" s="304">
        <f t="shared" ca="1" si="87"/>
        <v>165.34689649335837</v>
      </c>
      <c r="M252" s="306">
        <f t="shared" ca="1" si="103"/>
        <v>-1.0221221761306281</v>
      </c>
      <c r="N252" s="304">
        <f t="shared" ca="1" si="104"/>
        <v>-58.563286839012363</v>
      </c>
      <c r="P252" s="310">
        <f t="shared" ca="1" si="105"/>
        <v>23</v>
      </c>
      <c r="Q252" s="304">
        <f t="shared" ca="1" si="106"/>
        <v>0</v>
      </c>
      <c r="R252" s="306">
        <f t="shared" ca="1" si="107"/>
        <v>0</v>
      </c>
      <c r="S252" s="307">
        <f t="shared" ca="1" si="108"/>
        <v>2.0843000000000003</v>
      </c>
      <c r="T252" s="304">
        <f t="shared" ca="1" si="88"/>
        <v>20.446983000000003</v>
      </c>
      <c r="U252" s="311">
        <f t="shared" ca="1" si="89"/>
        <v>0</v>
      </c>
      <c r="V252" s="306">
        <f t="shared" ca="1" si="90"/>
        <v>1.2053143731678235</v>
      </c>
      <c r="W252" s="304">
        <f t="shared" ca="1" si="91"/>
        <v>0.22550631831360307</v>
      </c>
      <c r="Y252" s="314" t="str">
        <f t="shared" ca="1" si="109"/>
        <v/>
      </c>
      <c r="Z252" s="315" t="str">
        <f t="shared" ca="1" si="110"/>
        <v/>
      </c>
      <c r="AA252" s="316" t="str">
        <f t="shared" ca="1" si="111"/>
        <v/>
      </c>
      <c r="AC252" s="310" t="e">
        <f t="shared" ca="1" si="112"/>
        <v>#N/A</v>
      </c>
      <c r="AD252" s="323" t="e">
        <f t="shared" ca="1" si="113"/>
        <v>#N/A</v>
      </c>
      <c r="AE252" s="324">
        <f t="shared" ca="1" si="92"/>
        <v>162.00066172111823</v>
      </c>
      <c r="AG252" s="306">
        <f t="shared" ca="1" si="114"/>
        <v>7.9536964116327749</v>
      </c>
      <c r="AH252" s="304">
        <f t="shared" ca="1" si="115"/>
        <v>-8.9999759363882353E-2</v>
      </c>
    </row>
    <row r="253" spans="1:34" x14ac:dyDescent="0.2">
      <c r="A253" s="347">
        <f t="shared" ca="1" si="93"/>
        <v>0.1</v>
      </c>
      <c r="B253" s="304">
        <f t="shared" ca="1" si="94"/>
        <v>6.8999999999999924</v>
      </c>
      <c r="D253" s="306">
        <f t="shared" ca="1" si="95"/>
        <v>-5.6428669101518565E-2</v>
      </c>
      <c r="E253" s="307">
        <f t="shared" ca="1" si="96"/>
        <v>-9.7176880611633774</v>
      </c>
      <c r="F253" s="304">
        <f t="shared" ca="1" si="97"/>
        <v>9.7178518947745758</v>
      </c>
      <c r="G253" s="306">
        <f t="shared" ca="1" si="98"/>
        <v>4.8144546607594219</v>
      </c>
      <c r="H253" s="307">
        <f t="shared" ca="1" si="99"/>
        <v>-8.8569901881818556</v>
      </c>
      <c r="I253" s="304">
        <f t="shared" ca="1" si="100"/>
        <v>10.080934920633988</v>
      </c>
      <c r="J253" s="306">
        <f t="shared" ca="1" si="101"/>
        <v>33.578280026632314</v>
      </c>
      <c r="K253" s="307">
        <f t="shared" ca="1" si="102"/>
        <v>161.16355114260585</v>
      </c>
      <c r="L253" s="304">
        <f t="shared" ca="1" si="87"/>
        <v>164.6243940199698</v>
      </c>
      <c r="M253" s="306">
        <f t="shared" ca="1" si="103"/>
        <v>-1.0728979028737724</v>
      </c>
      <c r="N253" s="304">
        <f t="shared" ca="1" si="104"/>
        <v>-61.472521683104077</v>
      </c>
      <c r="P253" s="310">
        <f t="shared" ca="1" si="105"/>
        <v>23</v>
      </c>
      <c r="Q253" s="304">
        <f t="shared" ca="1" si="106"/>
        <v>0</v>
      </c>
      <c r="R253" s="306">
        <f t="shared" ca="1" si="107"/>
        <v>0</v>
      </c>
      <c r="S253" s="307">
        <f t="shared" ca="1" si="108"/>
        <v>2.0843000000000003</v>
      </c>
      <c r="T253" s="304">
        <f t="shared" ca="1" si="88"/>
        <v>20.446983000000003</v>
      </c>
      <c r="U253" s="311">
        <f t="shared" ca="1" si="89"/>
        <v>0</v>
      </c>
      <c r="V253" s="306">
        <f t="shared" ca="1" si="90"/>
        <v>1.2054152821191213</v>
      </c>
      <c r="W253" s="304">
        <f t="shared" ca="1" si="91"/>
        <v>0.26834140269951717</v>
      </c>
      <c r="Y253" s="314" t="str">
        <f t="shared" ca="1" si="109"/>
        <v/>
      </c>
      <c r="Z253" s="315" t="str">
        <f t="shared" ca="1" si="110"/>
        <v/>
      </c>
      <c r="AA253" s="316" t="str">
        <f t="shared" ca="1" si="111"/>
        <v/>
      </c>
      <c r="AC253" s="310" t="e">
        <f t="shared" ca="1" si="112"/>
        <v>#N/A</v>
      </c>
      <c r="AD253" s="323" t="e">
        <f t="shared" ca="1" si="113"/>
        <v>#N/A</v>
      </c>
      <c r="AE253" s="324">
        <f t="shared" ca="1" si="92"/>
        <v>161.16355114260585</v>
      </c>
      <c r="AG253" s="306">
        <f t="shared" ca="1" si="114"/>
        <v>8.2618637515972395</v>
      </c>
      <c r="AH253" s="304">
        <f t="shared" ca="1" si="115"/>
        <v>-0.10819283131679847</v>
      </c>
    </row>
    <row r="254" spans="1:34" x14ac:dyDescent="0.2">
      <c r="A254" s="347">
        <f t="shared" ca="1" si="93"/>
        <v>0.1</v>
      </c>
      <c r="B254" s="304">
        <f t="shared" ca="1" si="94"/>
        <v>6.999999999999992</v>
      </c>
      <c r="D254" s="306">
        <f t="shared" ca="1" si="95"/>
        <v>-6.1485646973292403E-2</v>
      </c>
      <c r="E254" s="307">
        <f t="shared" ca="1" si="96"/>
        <v>-9.696886924827627</v>
      </c>
      <c r="F254" s="304">
        <f t="shared" ca="1" si="97"/>
        <v>9.6970818557789187</v>
      </c>
      <c r="G254" s="306">
        <f t="shared" ca="1" si="98"/>
        <v>4.8083060960620925</v>
      </c>
      <c r="H254" s="307">
        <f t="shared" ca="1" si="99"/>
        <v>-9.8266788806646179</v>
      </c>
      <c r="I254" s="304">
        <f t="shared" ca="1" si="100"/>
        <v>10.939992017233282</v>
      </c>
      <c r="J254" s="306">
        <f t="shared" ca="1" si="101"/>
        <v>34.059418064473391</v>
      </c>
      <c r="K254" s="307">
        <f t="shared" ca="1" si="102"/>
        <v>160.22936768916352</v>
      </c>
      <c r="L254" s="304">
        <f t="shared" ca="1" si="87"/>
        <v>163.8093227779168</v>
      </c>
      <c r="M254" s="306">
        <f t="shared" ca="1" si="103"/>
        <v>-1.1157360946008188</v>
      </c>
      <c r="N254" s="304">
        <f t="shared" ca="1" si="104"/>
        <v>-63.926969271036072</v>
      </c>
      <c r="P254" s="310">
        <f t="shared" ca="1" si="105"/>
        <v>23</v>
      </c>
      <c r="Q254" s="304">
        <f t="shared" ca="1" si="106"/>
        <v>0</v>
      </c>
      <c r="R254" s="306">
        <f t="shared" ca="1" si="107"/>
        <v>0</v>
      </c>
      <c r="S254" s="307">
        <f t="shared" ca="1" si="108"/>
        <v>2.0843000000000003</v>
      </c>
      <c r="T254" s="304">
        <f t="shared" ca="1" si="88"/>
        <v>20.446983000000003</v>
      </c>
      <c r="U254" s="311">
        <f t="shared" ca="1" si="89"/>
        <v>0</v>
      </c>
      <c r="V254" s="306">
        <f t="shared" ca="1" si="90"/>
        <v>1.2055279025511678</v>
      </c>
      <c r="W254" s="304">
        <f t="shared" ca="1" si="91"/>
        <v>0.31605353147816745</v>
      </c>
      <c r="Y254" s="314" t="str">
        <f t="shared" ca="1" si="109"/>
        <v/>
      </c>
      <c r="Z254" s="315" t="str">
        <f t="shared" ca="1" si="110"/>
        <v/>
      </c>
      <c r="AA254" s="316" t="str">
        <f t="shared" ca="1" si="111"/>
        <v/>
      </c>
      <c r="AC254" s="310">
        <f t="shared" ca="1" si="112"/>
        <v>6.999999999999992</v>
      </c>
      <c r="AD254" s="323">
        <f t="shared" ca="1" si="113"/>
        <v>34.059418064473391</v>
      </c>
      <c r="AE254" s="324">
        <f t="shared" ca="1" si="92"/>
        <v>160.22936768916352</v>
      </c>
      <c r="AG254" s="306">
        <f t="shared" ca="1" si="114"/>
        <v>8.4902058354012411</v>
      </c>
      <c r="AH254" s="304">
        <f t="shared" ca="1" si="115"/>
        <v>-0.12874413601665649</v>
      </c>
    </row>
    <row r="255" spans="1:34" x14ac:dyDescent="0.2">
      <c r="A255" s="347">
        <f t="shared" ca="1" si="93"/>
        <v>0.1</v>
      </c>
      <c r="B255" s="304">
        <f t="shared" ca="1" si="94"/>
        <v>7.0999999999999917</v>
      </c>
      <c r="D255" s="306">
        <f t="shared" ca="1" si="95"/>
        <v>-6.6646219743666593E-2</v>
      </c>
      <c r="E255" s="307">
        <f t="shared" ca="1" si="96"/>
        <v>-9.673795900895831</v>
      </c>
      <c r="F255" s="304">
        <f t="shared" ca="1" si="97"/>
        <v>9.6740254729246544</v>
      </c>
      <c r="G255" s="306">
        <f t="shared" ca="1" si="98"/>
        <v>4.8016414740877256</v>
      </c>
      <c r="H255" s="307">
        <f t="shared" ca="1" si="99"/>
        <v>-10.794058470754202</v>
      </c>
      <c r="I255" s="304">
        <f t="shared" ca="1" si="100"/>
        <v>11.813867237942869</v>
      </c>
      <c r="J255" s="306">
        <f t="shared" ca="1" si="101"/>
        <v>34.539915442980885</v>
      </c>
      <c r="K255" s="307">
        <f t="shared" ca="1" si="102"/>
        <v>159.19833082159258</v>
      </c>
      <c r="L255" s="304">
        <f t="shared" ca="1" si="87"/>
        <v>162.9021617265698</v>
      </c>
      <c r="M255" s="306">
        <f t="shared" ca="1" si="103"/>
        <v>-1.1522407693844448</v>
      </c>
      <c r="N255" s="304">
        <f t="shared" ca="1" si="104"/>
        <v>-66.018533068635477</v>
      </c>
      <c r="P255" s="310">
        <f t="shared" ca="1" si="105"/>
        <v>23</v>
      </c>
      <c r="Q255" s="304">
        <f t="shared" ca="1" si="106"/>
        <v>0</v>
      </c>
      <c r="R255" s="306">
        <f t="shared" ca="1" si="107"/>
        <v>0</v>
      </c>
      <c r="S255" s="307">
        <f t="shared" ca="1" si="108"/>
        <v>2.0843000000000003</v>
      </c>
      <c r="T255" s="304">
        <f t="shared" ca="1" si="88"/>
        <v>20.446983000000003</v>
      </c>
      <c r="U255" s="311">
        <f t="shared" ca="1" si="89"/>
        <v>0</v>
      </c>
      <c r="V255" s="306">
        <f t="shared" ca="1" si="90"/>
        <v>1.2056522112579957</v>
      </c>
      <c r="W255" s="304">
        <f t="shared" ca="1" si="91"/>
        <v>0.36860021943846538</v>
      </c>
      <c r="Y255" s="314" t="str">
        <f t="shared" ca="1" si="109"/>
        <v/>
      </c>
      <c r="Z255" s="315" t="str">
        <f t="shared" ca="1" si="110"/>
        <v/>
      </c>
      <c r="AA255" s="316" t="str">
        <f t="shared" ca="1" si="111"/>
        <v/>
      </c>
      <c r="AC255" s="310" t="e">
        <f t="shared" ca="1" si="112"/>
        <v>#N/A</v>
      </c>
      <c r="AD255" s="323" t="e">
        <f t="shared" ca="1" si="113"/>
        <v>#N/A</v>
      </c>
      <c r="AE255" s="324">
        <f t="shared" ca="1" si="92"/>
        <v>159.19833082159258</v>
      </c>
      <c r="AG255" s="306">
        <f t="shared" ca="1" si="114"/>
        <v>8.6600456655982079</v>
      </c>
      <c r="AH255" s="304">
        <f t="shared" ca="1" si="115"/>
        <v>-0.1516353363134709</v>
      </c>
    </row>
    <row r="256" spans="1:34" x14ac:dyDescent="0.2">
      <c r="A256" s="347">
        <f t="shared" ca="1" si="93"/>
        <v>0.1</v>
      </c>
      <c r="B256" s="304">
        <f t="shared" ca="1" si="94"/>
        <v>7.1999999999999913</v>
      </c>
      <c r="D256" s="306">
        <f t="shared" ca="1" si="95"/>
        <v>-7.1877506761354237E-2</v>
      </c>
      <c r="E256" s="307">
        <f t="shared" ca="1" si="96"/>
        <v>-9.6484198372783574</v>
      </c>
      <c r="F256" s="304">
        <f t="shared" ca="1" si="97"/>
        <v>9.6486875652787489</v>
      </c>
      <c r="G256" s="306">
        <f t="shared" ca="1" si="98"/>
        <v>4.79445372341159</v>
      </c>
      <c r="H256" s="307">
        <f t="shared" ca="1" si="99"/>
        <v>-11.758900454482037</v>
      </c>
      <c r="I256" s="304">
        <f t="shared" ca="1" si="100"/>
        <v>12.698760821605907</v>
      </c>
      <c r="J256" s="306">
        <f t="shared" ca="1" si="101"/>
        <v>35.019720202855851</v>
      </c>
      <c r="K256" s="307">
        <f t="shared" ca="1" si="102"/>
        <v>158.07068287533076</v>
      </c>
      <c r="L256" s="304">
        <f t="shared" ca="1" si="87"/>
        <v>161.90343290912548</v>
      </c>
      <c r="M256" s="306">
        <f t="shared" ca="1" si="103"/>
        <v>-1.1836441708421745</v>
      </c>
      <c r="N256" s="304">
        <f t="shared" ca="1" si="104"/>
        <v>-67.81781543451838</v>
      </c>
      <c r="P256" s="310">
        <f t="shared" ca="1" si="105"/>
        <v>23</v>
      </c>
      <c r="Q256" s="304">
        <f t="shared" ca="1" si="106"/>
        <v>0</v>
      </c>
      <c r="R256" s="306">
        <f t="shared" ca="1" si="107"/>
        <v>0</v>
      </c>
      <c r="S256" s="307">
        <f t="shared" ca="1" si="108"/>
        <v>2.0843000000000003</v>
      </c>
      <c r="T256" s="304">
        <f t="shared" ca="1" si="88"/>
        <v>20.446983000000003</v>
      </c>
      <c r="U256" s="311">
        <f t="shared" ca="1" si="89"/>
        <v>0</v>
      </c>
      <c r="V256" s="306">
        <f t="shared" ca="1" si="90"/>
        <v>1.2057881826025365</v>
      </c>
      <c r="W256" s="304">
        <f t="shared" ca="1" si="91"/>
        <v>0.42593475675915865</v>
      </c>
      <c r="Y256" s="314" t="str">
        <f t="shared" ca="1" si="109"/>
        <v/>
      </c>
      <c r="Z256" s="315" t="str">
        <f t="shared" ca="1" si="110"/>
        <v/>
      </c>
      <c r="AA256" s="316" t="str">
        <f t="shared" ca="1" si="111"/>
        <v/>
      </c>
      <c r="AC256" s="310" t="e">
        <f t="shared" ca="1" si="112"/>
        <v>#N/A</v>
      </c>
      <c r="AD256" s="323" t="e">
        <f t="shared" ca="1" si="113"/>
        <v>#N/A</v>
      </c>
      <c r="AE256" s="324">
        <f t="shared" ca="1" si="92"/>
        <v>158.07068287533076</v>
      </c>
      <c r="AG256" s="306">
        <f t="shared" ca="1" si="114"/>
        <v>8.7863250674655955</v>
      </c>
      <c r="AH256" s="304">
        <f t="shared" ca="1" si="115"/>
        <v>-0.17684604876383694</v>
      </c>
    </row>
    <row r="257" spans="1:34" x14ac:dyDescent="0.2">
      <c r="A257" s="347">
        <f t="shared" ca="1" si="93"/>
        <v>0.1</v>
      </c>
      <c r="B257" s="304">
        <f t="shared" ca="1" si="94"/>
        <v>7.2999999999999909</v>
      </c>
      <c r="D257" s="306">
        <f t="shared" ca="1" si="95"/>
        <v>-7.7154389579172603E-2</v>
      </c>
      <c r="E257" s="307">
        <f t="shared" ca="1" si="96"/>
        <v>-9.6207707699299174</v>
      </c>
      <c r="F257" s="304">
        <f t="shared" ca="1" si="97"/>
        <v>9.6210801372491037</v>
      </c>
      <c r="G257" s="306">
        <f t="shared" ca="1" si="98"/>
        <v>4.7867382844536728</v>
      </c>
      <c r="H257" s="307">
        <f t="shared" ca="1" si="99"/>
        <v>-12.720977531475029</v>
      </c>
      <c r="I257" s="304">
        <f t="shared" ca="1" si="100"/>
        <v>13.591767094831599</v>
      </c>
      <c r="J257" s="306">
        <f t="shared" ca="1" si="101"/>
        <v>35.498779803249114</v>
      </c>
      <c r="K257" s="307">
        <f t="shared" ca="1" si="102"/>
        <v>156.84668897603291</v>
      </c>
      <c r="L257" s="304">
        <f t="shared" ca="1" si="87"/>
        <v>160.81370342810953</v>
      </c>
      <c r="M257" s="306">
        <f t="shared" ca="1" si="103"/>
        <v>-1.2108978183967609</v>
      </c>
      <c r="N257" s="304">
        <f t="shared" ca="1" si="104"/>
        <v>-69.379334415733211</v>
      </c>
      <c r="P257" s="310">
        <f t="shared" ca="1" si="105"/>
        <v>23</v>
      </c>
      <c r="Q257" s="304">
        <f t="shared" ca="1" si="106"/>
        <v>0</v>
      </c>
      <c r="R257" s="306">
        <f t="shared" ca="1" si="107"/>
        <v>0</v>
      </c>
      <c r="S257" s="307">
        <f t="shared" ca="1" si="108"/>
        <v>2.0843000000000003</v>
      </c>
      <c r="T257" s="304">
        <f t="shared" ca="1" si="88"/>
        <v>20.446983000000003</v>
      </c>
      <c r="U257" s="311">
        <f t="shared" ca="1" si="89"/>
        <v>0</v>
      </c>
      <c r="V257" s="306">
        <f t="shared" ca="1" si="90"/>
        <v>1.2059357885228428</v>
      </c>
      <c r="W257" s="304">
        <f t="shared" ca="1" si="91"/>
        <v>0.48800627027358928</v>
      </c>
      <c r="Y257" s="314" t="str">
        <f t="shared" ca="1" si="109"/>
        <v/>
      </c>
      <c r="Z257" s="315" t="str">
        <f t="shared" ca="1" si="110"/>
        <v/>
      </c>
      <c r="AA257" s="316" t="str">
        <f t="shared" ca="1" si="111"/>
        <v/>
      </c>
      <c r="AC257" s="310" t="e">
        <f t="shared" ca="1" si="112"/>
        <v>#N/A</v>
      </c>
      <c r="AD257" s="323" t="e">
        <f t="shared" ca="1" si="113"/>
        <v>#N/A</v>
      </c>
      <c r="AE257" s="324">
        <f t="shared" ca="1" si="92"/>
        <v>156.84668897603291</v>
      </c>
      <c r="AG257" s="306">
        <f t="shared" ca="1" si="114"/>
        <v>8.8795886632299919</v>
      </c>
      <c r="AH257" s="304">
        <f t="shared" ca="1" si="115"/>
        <v>-0.20435386305194003</v>
      </c>
    </row>
    <row r="258" spans="1:34" x14ac:dyDescent="0.2">
      <c r="A258" s="347">
        <f t="shared" ca="1" si="93"/>
        <v>0.1</v>
      </c>
      <c r="B258" s="304">
        <f t="shared" ca="1" si="94"/>
        <v>7.3999999999999906</v>
      </c>
      <c r="D258" s="306">
        <f t="shared" ca="1" si="95"/>
        <v>-8.245726632791392E-2</v>
      </c>
      <c r="E258" s="307">
        <f t="shared" ca="1" si="96"/>
        <v>-9.5908660156601897</v>
      </c>
      <c r="F258" s="304">
        <f t="shared" ca="1" si="97"/>
        <v>9.5912204714059115</v>
      </c>
      <c r="G258" s="306">
        <f t="shared" ca="1" si="98"/>
        <v>4.778492557820881</v>
      </c>
      <c r="H258" s="307">
        <f t="shared" ca="1" si="99"/>
        <v>-13.680064133041048</v>
      </c>
      <c r="I258" s="304">
        <f t="shared" ca="1" si="100"/>
        <v>14.490622685352955</v>
      </c>
      <c r="J258" s="306">
        <f t="shared" ca="1" si="101"/>
        <v>35.977041345362842</v>
      </c>
      <c r="K258" s="307">
        <f t="shared" ca="1" si="102"/>
        <v>155.52663689280709</v>
      </c>
      <c r="L258" s="304">
        <f t="shared" ca="1" si="87"/>
        <v>159.63358759093592</v>
      </c>
      <c r="M258" s="306">
        <f t="shared" ca="1" si="103"/>
        <v>-1.2347422444115912</v>
      </c>
      <c r="N258" s="304">
        <f t="shared" ca="1" si="104"/>
        <v>-70.745519391294934</v>
      </c>
      <c r="P258" s="310">
        <f t="shared" ca="1" si="105"/>
        <v>23</v>
      </c>
      <c r="Q258" s="304">
        <f t="shared" ca="1" si="106"/>
        <v>0</v>
      </c>
      <c r="R258" s="306">
        <f t="shared" ca="1" si="107"/>
        <v>0</v>
      </c>
      <c r="S258" s="307">
        <f t="shared" ca="1" si="108"/>
        <v>2.0843000000000003</v>
      </c>
      <c r="T258" s="304">
        <f t="shared" ca="1" si="88"/>
        <v>20.446983000000003</v>
      </c>
      <c r="U258" s="311">
        <f t="shared" ca="1" si="89"/>
        <v>0</v>
      </c>
      <c r="V258" s="306">
        <f t="shared" ca="1" si="90"/>
        <v>1.2060949985454652</v>
      </c>
      <c r="W258" s="304">
        <f t="shared" ca="1" si="91"/>
        <v>0.55475980048835249</v>
      </c>
      <c r="Y258" s="314" t="str">
        <f t="shared" ca="1" si="109"/>
        <v/>
      </c>
      <c r="Z258" s="315" t="str">
        <f t="shared" ca="1" si="110"/>
        <v/>
      </c>
      <c r="AA258" s="316" t="str">
        <f t="shared" ca="1" si="111"/>
        <v/>
      </c>
      <c r="AC258" s="310" t="e">
        <f t="shared" ca="1" si="112"/>
        <v>#N/A</v>
      </c>
      <c r="AD258" s="323" t="e">
        <f t="shared" ca="1" si="113"/>
        <v>#N/A</v>
      </c>
      <c r="AE258" s="324">
        <f t="shared" ca="1" si="92"/>
        <v>155.52663689280709</v>
      </c>
      <c r="AG258" s="306">
        <f t="shared" ca="1" si="114"/>
        <v>8.9473641573273444</v>
      </c>
      <c r="AH258" s="304">
        <f t="shared" ca="1" si="115"/>
        <v>-0.23413437138300111</v>
      </c>
    </row>
    <row r="259" spans="1:34" x14ac:dyDescent="0.2">
      <c r="A259" s="347">
        <f t="shared" ca="1" si="93"/>
        <v>0.1</v>
      </c>
      <c r="B259" s="304">
        <f t="shared" ca="1" si="94"/>
        <v>7.4999999999999902</v>
      </c>
      <c r="D259" s="306">
        <f t="shared" ca="1" si="95"/>
        <v>-8.7770509726802642E-2</v>
      </c>
      <c r="E259" s="307">
        <f t="shared" ca="1" si="96"/>
        <v>-9.5587269913003876</v>
      </c>
      <c r="F259" s="304">
        <f t="shared" ca="1" si="97"/>
        <v>9.5591299476778886</v>
      </c>
      <c r="G259" s="306">
        <f t="shared" ca="1" si="98"/>
        <v>4.7697155068482004</v>
      </c>
      <c r="H259" s="307">
        <f t="shared" ca="1" si="99"/>
        <v>-14.635936832171087</v>
      </c>
      <c r="I259" s="304">
        <f t="shared" ca="1" si="100"/>
        <v>15.393532179833528</v>
      </c>
      <c r="J259" s="306">
        <f t="shared" ca="1" si="101"/>
        <v>36.454451748596298</v>
      </c>
      <c r="K259" s="307">
        <f t="shared" ca="1" si="102"/>
        <v>154.1108368445465</v>
      </c>
      <c r="L259" s="304">
        <f t="shared" ca="1" si="87"/>
        <v>158.36374927746934</v>
      </c>
      <c r="M259" s="306">
        <f t="shared" ca="1" si="103"/>
        <v>-1.2557590429602601</v>
      </c>
      <c r="N259" s="304">
        <f t="shared" ca="1" si="104"/>
        <v>-71.94969324701033</v>
      </c>
      <c r="P259" s="310">
        <f t="shared" ca="1" si="105"/>
        <v>23</v>
      </c>
      <c r="Q259" s="304">
        <f t="shared" ca="1" si="106"/>
        <v>0</v>
      </c>
      <c r="R259" s="306">
        <f t="shared" ca="1" si="107"/>
        <v>0</v>
      </c>
      <c r="S259" s="307">
        <f t="shared" ca="1" si="108"/>
        <v>2.0843000000000003</v>
      </c>
      <c r="T259" s="304">
        <f t="shared" ca="1" si="88"/>
        <v>20.446983000000003</v>
      </c>
      <c r="U259" s="311">
        <f t="shared" ca="1" si="89"/>
        <v>0</v>
      </c>
      <c r="V259" s="306">
        <f t="shared" ca="1" si="90"/>
        <v>1.2062657798041441</v>
      </c>
      <c r="W259" s="304">
        <f t="shared" ca="1" si="91"/>
        <v>0.62613639119006481</v>
      </c>
      <c r="Y259" s="314" t="str">
        <f t="shared" ca="1" si="109"/>
        <v/>
      </c>
      <c r="Z259" s="315" t="str">
        <f t="shared" ca="1" si="110"/>
        <v/>
      </c>
      <c r="AA259" s="316" t="str">
        <f t="shared" ca="1" si="111"/>
        <v/>
      </c>
      <c r="AC259" s="310" t="e">
        <f t="shared" ca="1" si="112"/>
        <v>#N/A</v>
      </c>
      <c r="AD259" s="323" t="e">
        <f t="shared" ca="1" si="113"/>
        <v>#N/A</v>
      </c>
      <c r="AE259" s="324">
        <f t="shared" ca="1" si="92"/>
        <v>154.1108368445465</v>
      </c>
      <c r="AG259" s="306">
        <f t="shared" ca="1" si="114"/>
        <v>8.9950991323130474</v>
      </c>
      <c r="AH259" s="304">
        <f t="shared" ca="1" si="115"/>
        <v>-0.26616120543508726</v>
      </c>
    </row>
    <row r="260" spans="1:34" x14ac:dyDescent="0.2">
      <c r="A260" s="347">
        <f t="shared" ca="1" si="93"/>
        <v>0.1</v>
      </c>
      <c r="B260" s="304">
        <f t="shared" ca="1" si="94"/>
        <v>7.5999999999999899</v>
      </c>
      <c r="D260" s="306">
        <f t="shared" ca="1" si="95"/>
        <v>-9.3081400570705727E-2</v>
      </c>
      <c r="E260" s="307">
        <f t="shared" ca="1" si="96"/>
        <v>-9.5243784577828876</v>
      </c>
      <c r="F260" s="304">
        <f t="shared" ca="1" si="97"/>
        <v>9.5248332874760049</v>
      </c>
      <c r="G260" s="306">
        <f t="shared" ca="1" si="98"/>
        <v>4.7604073667911297</v>
      </c>
      <c r="H260" s="307">
        <f t="shared" ca="1" si="99"/>
        <v>-15.588374677949375</v>
      </c>
      <c r="I260" s="304">
        <f t="shared" ca="1" si="100"/>
        <v>16.299046088588515</v>
      </c>
      <c r="J260" s="306">
        <f t="shared" ca="1" si="101"/>
        <v>36.930957892278265</v>
      </c>
      <c r="K260" s="307">
        <f t="shared" ca="1" si="102"/>
        <v>152.59962126904048</v>
      </c>
      <c r="L260" s="304">
        <f t="shared" ref="L260:L323" ca="1" si="116">SQRT(pos_x^2+pos_z^2)</f>
        <v>157.00490458038507</v>
      </c>
      <c r="M260" s="306">
        <f t="shared" ca="1" si="103"/>
        <v>-1.2744093587199983</v>
      </c>
      <c r="N260" s="304">
        <f t="shared" ca="1" si="104"/>
        <v>-73.018277626629654</v>
      </c>
      <c r="P260" s="310">
        <f t="shared" ca="1" si="105"/>
        <v>23</v>
      </c>
      <c r="Q260" s="304">
        <f t="shared" ca="1" si="106"/>
        <v>0</v>
      </c>
      <c r="R260" s="306">
        <f t="shared" ca="1" si="107"/>
        <v>0</v>
      </c>
      <c r="S260" s="307">
        <f t="shared" ca="1" si="108"/>
        <v>2.0843000000000003</v>
      </c>
      <c r="T260" s="304">
        <f t="shared" ref="T260:T323" ca="1" si="117">m*g</f>
        <v>20.446983000000003</v>
      </c>
      <c r="U260" s="311">
        <f t="shared" ref="U260:U323" ca="1" si="118">IF(pos_xz&lt;L_rampe,Poids*COS(Beta),0)</f>
        <v>0</v>
      </c>
      <c r="V260" s="306">
        <f t="shared" ref="V260:V323" ca="1" si="119">Rho_moyen*(20000-Alt_rampe-pos_z)/(20000+Alt_rampe+pos_z)</f>
        <v>1.2064480970626457</v>
      </c>
      <c r="W260" s="304">
        <f t="shared" ref="W260:W323" ca="1" si="120">1/2*Rho*Sref*Cx*vit_xz^2</f>
        <v>0.70207318955238673</v>
      </c>
      <c r="Y260" s="314" t="str">
        <f t="shared" ca="1" si="109"/>
        <v/>
      </c>
      <c r="Z260" s="315" t="str">
        <f t="shared" ca="1" si="110"/>
        <v/>
      </c>
      <c r="AA260" s="316" t="str">
        <f t="shared" ca="1" si="111"/>
        <v/>
      </c>
      <c r="AC260" s="310" t="e">
        <f t="shared" ca="1" si="112"/>
        <v>#N/A</v>
      </c>
      <c r="AD260" s="323" t="e">
        <f t="shared" ca="1" si="113"/>
        <v>#N/A</v>
      </c>
      <c r="AE260" s="324">
        <f t="shared" ref="AE260:AE323" ca="1" si="121">IF(t&lt;T_para, pos_z, NA())</f>
        <v>152.59962126904048</v>
      </c>
      <c r="AG260" s="306">
        <f t="shared" ca="1" si="114"/>
        <v>9.0267930745705467</v>
      </c>
      <c r="AH260" s="304">
        <f t="shared" ca="1" si="115"/>
        <v>-0.30040607935041247</v>
      </c>
    </row>
    <row r="261" spans="1:34" x14ac:dyDescent="0.2">
      <c r="A261" s="347">
        <f t="shared" ref="A261:A324" ca="1" si="122">IF(B260+0.01&lt;=T_ini+ROUNDUP(Temps_fin_propu,0), 0.01, IF(K260&gt;0, 0.1, 0.0001))</f>
        <v>0.1</v>
      </c>
      <c r="B261" s="304">
        <f t="shared" ref="B261:B324" ca="1" si="123">B260+pas</f>
        <v>7.6999999999999895</v>
      </c>
      <c r="D261" s="306">
        <f t="shared" ref="D261:D324" ca="1" si="124">IF(AND(L260&lt;L_rampe,Poussee&lt;Poids*SIN(M260)),0,(-W260+Poussee)/m*COS(M260)-U260/m*SIN(M260))</f>
        <v>-9.8379382204322754E-2</v>
      </c>
      <c r="E261" s="307">
        <f t="shared" ref="E261:E324" ca="1" si="125">IF(AND(L260&lt;L_rampe,Poussee&lt;Poids*SIN(M260)),0,(-W260+Poussee)/m*SIN(M260)+U260/m*COS(M260)-Poids/m)</f>
        <v>-9.4878480175699949</v>
      </c>
      <c r="F261" s="304">
        <f t="shared" ref="F261:F324" ca="1" si="126">SQRT(acc_x^2+acc_z^2)</f>
        <v>9.488358051177757</v>
      </c>
      <c r="G261" s="306">
        <f t="shared" ref="G261:G324" ca="1" si="127">G260+acc_x*pas</f>
        <v>4.7505694285706976</v>
      </c>
      <c r="H261" s="307">
        <f t="shared" ref="H261:H324" ca="1" si="128">H260+acc_z*pas</f>
        <v>-16.537159479706375</v>
      </c>
      <c r="I261" s="304">
        <f t="shared" ref="I261:I324" ca="1" si="129">SQRT(vit_x^2+vit_z^2)</f>
        <v>17.205974356394726</v>
      </c>
      <c r="J261" s="306">
        <f t="shared" ref="J261:J324" ca="1" si="130">J260+0.5*(vit_x+G260)*pas*(K260&gt;=0)</f>
        <v>37.406506732046353</v>
      </c>
      <c r="K261" s="307">
        <f t="shared" ref="K261:K324" ca="1" si="131">K260+0.5*(vit_z+H260)*pas</f>
        <v>150.9933445611577</v>
      </c>
      <c r="L261" s="304">
        <f t="shared" ca="1" si="116"/>
        <v>155.55782477155921</v>
      </c>
      <c r="M261" s="306">
        <f t="shared" ref="M261:M324" ca="1" si="132">IF(AND(L260&gt;L_rampe,G261&gt;0),ATAN2(G261,H261),$M$4)</f>
        <v>-1.2910623302760624</v>
      </c>
      <c r="N261" s="304">
        <f t="shared" ref="N261:N324" ca="1" si="133">DEGREES(Beta)</f>
        <v>-73.972422613143536</v>
      </c>
      <c r="P261" s="310">
        <f t="shared" ref="P261:P324" ca="1" si="134">MATCH(t-pas/2-T_ini,CdP_t)</f>
        <v>23</v>
      </c>
      <c r="Q261" s="304">
        <f t="shared" ref="Q261:Q324" ca="1" si="135">(INDEX(CdP,2,i_P+1)-INDEX(CdP,2,i_P+0))/(INDEX(CdP,1,i_P+1)-INDEX(CdP,1,i_P+0))*(t-pas/2-T_ini-INDEX(CdP,1,i_P+0))+INDEX(CdP,2,i_P+0)</f>
        <v>0</v>
      </c>
      <c r="R261" s="306">
        <f t="shared" ref="R261:R324" ca="1" si="136">Poussee/(g*ISP)</f>
        <v>0</v>
      </c>
      <c r="S261" s="307">
        <f t="shared" ref="S261:S324" ca="1" si="137">S260-Débit*pas</f>
        <v>2.0843000000000003</v>
      </c>
      <c r="T261" s="304">
        <f t="shared" ca="1" si="117"/>
        <v>20.446983000000003</v>
      </c>
      <c r="U261" s="311">
        <f t="shared" ca="1" si="118"/>
        <v>0</v>
      </c>
      <c r="V261" s="306">
        <f t="shared" ca="1" si="119"/>
        <v>1.2066419127410073</v>
      </c>
      <c r="W261" s="304">
        <f t="shared" ca="1" si="120"/>
        <v>0.78250355528810978</v>
      </c>
      <c r="Y261" s="314" t="str">
        <f t="shared" ref="Y261:Y324" ca="1" si="138">IF(AND(pos_z&lt;=0,K260&gt;0),"Impact balistique","") &amp; IF(AND(H262&lt;0,vit_z&gt;=0),"Apogée","") &amp; IF(AND(Poussee=0,Q260&gt;0),"Fin de propulsion","") &amp; IF(AND(L262&gt;L_rampe,pos_xz&lt;=L_rampe),"Sortie de rampe","")</f>
        <v/>
      </c>
      <c r="Z261" s="315" t="str">
        <f t="shared" ref="Z261:Z324" ca="1" si="139">IF(ABS(t-T_para)&lt;pas/2,"Para","")</f>
        <v/>
      </c>
      <c r="AA261" s="316" t="str">
        <f t="shared" ref="AA261:AA324" ca="1" si="140">IF(ABS(t-T_satellite)&lt;pas/2,"Satellite","")</f>
        <v/>
      </c>
      <c r="AC261" s="310" t="e">
        <f t="shared" ref="AC261:AC324" ca="1" si="141">IF(ABS(t-ROUND(t,0))&lt;0.001,t,NA())</f>
        <v>#N/A</v>
      </c>
      <c r="AD261" s="323" t="e">
        <f t="shared" ref="AD261:AD324" ca="1" si="142">IF(ABS(t-ROUND(t,0))&lt;0.001,pos_x,NA())</f>
        <v>#N/A</v>
      </c>
      <c r="AE261" s="324">
        <f t="shared" ca="1" si="121"/>
        <v>150.9933445611577</v>
      </c>
      <c r="AG261" s="306">
        <f t="shared" ref="AG261:AG324" ca="1" si="143">IF(AND(L260&lt;L_rampe,Poussee&lt;Poids*SIN(M260)),0,(-W260+Poussee)/m-Poids*SIN(M260)/m)</f>
        <v>9.0454252996288034</v>
      </c>
      <c r="AH261" s="304">
        <f t="shared" ref="AH261:AH324" ca="1" si="144">IF(AND(L260&lt;L_rampe,Poussee&lt;Poids*SIN(M260)), g*SIN(M260), (-W260+Poussee)/m)</f>
        <v>-0.33683883776442292</v>
      </c>
    </row>
    <row r="262" spans="1:34" x14ac:dyDescent="0.2">
      <c r="A262" s="347">
        <f t="shared" ca="1" si="122"/>
        <v>0.1</v>
      </c>
      <c r="B262" s="304">
        <f t="shared" ca="1" si="123"/>
        <v>7.7999999999999892</v>
      </c>
      <c r="D262" s="306">
        <f t="shared" ca="1" si="124"/>
        <v>-0.10365553301637957</v>
      </c>
      <c r="E262" s="307">
        <f t="shared" ca="1" si="125"/>
        <v>-9.4491657660792097</v>
      </c>
      <c r="F262" s="304">
        <f t="shared" ca="1" si="126"/>
        <v>9.4497342896172594</v>
      </c>
      <c r="G262" s="306">
        <f t="shared" ca="1" si="127"/>
        <v>4.7402038752690601</v>
      </c>
      <c r="H262" s="307">
        <f t="shared" ca="1" si="128"/>
        <v>-17.482076056314295</v>
      </c>
      <c r="I262" s="304">
        <f t="shared" ca="1" si="129"/>
        <v>18.113324267452217</v>
      </c>
      <c r="J262" s="306">
        <f t="shared" ca="1" si="130"/>
        <v>37.881045397238339</v>
      </c>
      <c r="K262" s="307">
        <f t="shared" ca="1" si="131"/>
        <v>149.29238278435668</v>
      </c>
      <c r="L262" s="304">
        <f t="shared" ca="1" si="116"/>
        <v>154.02333965285428</v>
      </c>
      <c r="M262" s="306">
        <f t="shared" ca="1" si="132"/>
        <v>-1.3060161943877302</v>
      </c>
      <c r="N262" s="304">
        <f t="shared" ca="1" si="133"/>
        <v>-74.829215914154247</v>
      </c>
      <c r="P262" s="310">
        <f t="shared" ca="1" si="134"/>
        <v>23</v>
      </c>
      <c r="Q262" s="304">
        <f t="shared" ca="1" si="135"/>
        <v>0</v>
      </c>
      <c r="R262" s="306">
        <f t="shared" ca="1" si="136"/>
        <v>0</v>
      </c>
      <c r="S262" s="307">
        <f t="shared" ca="1" si="137"/>
        <v>2.0843000000000003</v>
      </c>
      <c r="T262" s="304">
        <f t="shared" ca="1" si="117"/>
        <v>20.446983000000003</v>
      </c>
      <c r="U262" s="311">
        <f t="shared" ca="1" si="118"/>
        <v>0</v>
      </c>
      <c r="V262" s="306">
        <f t="shared" ca="1" si="119"/>
        <v>1.20684718694468</v>
      </c>
      <c r="W262" s="304">
        <f t="shared" ca="1" si="120"/>
        <v>0.86735717776849142</v>
      </c>
      <c r="Y262" s="314" t="str">
        <f t="shared" ca="1" si="138"/>
        <v/>
      </c>
      <c r="Z262" s="315" t="str">
        <f t="shared" ca="1" si="139"/>
        <v/>
      </c>
      <c r="AA262" s="316" t="str">
        <f t="shared" ca="1" si="140"/>
        <v/>
      </c>
      <c r="AC262" s="310" t="e">
        <f t="shared" ca="1" si="141"/>
        <v>#N/A</v>
      </c>
      <c r="AD262" s="323" t="e">
        <f t="shared" ca="1" si="142"/>
        <v>#N/A</v>
      </c>
      <c r="AE262" s="324">
        <f t="shared" ca="1" si="121"/>
        <v>149.29238278435668</v>
      </c>
      <c r="AG262" s="306">
        <f t="shared" ca="1" si="143"/>
        <v>9.0532471565430921</v>
      </c>
      <c r="AH262" s="304">
        <f t="shared" ca="1" si="144"/>
        <v>-0.37542750817449966</v>
      </c>
    </row>
    <row r="263" spans="1:34" x14ac:dyDescent="0.2">
      <c r="A263" s="347">
        <f t="shared" ca="1" si="122"/>
        <v>0.1</v>
      </c>
      <c r="B263" s="304">
        <f t="shared" ca="1" si="123"/>
        <v>7.8999999999999888</v>
      </c>
      <c r="D263" s="306">
        <f t="shared" ca="1" si="124"/>
        <v>-0.10890218846607756</v>
      </c>
      <c r="E263" s="307">
        <f t="shared" ca="1" si="125"/>
        <v>-9.4083640384339002</v>
      </c>
      <c r="F263" s="304">
        <f t="shared" ca="1" si="126"/>
        <v>9.4089942909085114</v>
      </c>
      <c r="G263" s="306">
        <f t="shared" ca="1" si="127"/>
        <v>4.7293136564224527</v>
      </c>
      <c r="H263" s="307">
        <f t="shared" ca="1" si="128"/>
        <v>-18.422912460157686</v>
      </c>
      <c r="I263" s="304">
        <f t="shared" ca="1" si="129"/>
        <v>19.02025528681088</v>
      </c>
      <c r="J263" s="306">
        <f t="shared" ca="1" si="130"/>
        <v>38.354521273822911</v>
      </c>
      <c r="K263" s="307">
        <f t="shared" ca="1" si="131"/>
        <v>147.49713335853306</v>
      </c>
      <c r="L263" s="304">
        <f t="shared" ca="1" si="116"/>
        <v>152.4023413571098</v>
      </c>
      <c r="M263" s="306">
        <f t="shared" ca="1" si="132"/>
        <v>-1.3195140479533738</v>
      </c>
      <c r="N263" s="304">
        <f t="shared" ca="1" si="133"/>
        <v>-75.602585955951241</v>
      </c>
      <c r="P263" s="310">
        <f t="shared" ca="1" si="134"/>
        <v>23</v>
      </c>
      <c r="Q263" s="304">
        <f t="shared" ca="1" si="135"/>
        <v>0</v>
      </c>
      <c r="R263" s="306">
        <f t="shared" ca="1" si="136"/>
        <v>0</v>
      </c>
      <c r="S263" s="307">
        <f t="shared" ca="1" si="137"/>
        <v>2.0843000000000003</v>
      </c>
      <c r="T263" s="304">
        <f t="shared" ca="1" si="117"/>
        <v>20.446983000000003</v>
      </c>
      <c r="U263" s="311">
        <f t="shared" ca="1" si="118"/>
        <v>0</v>
      </c>
      <c r="V263" s="306">
        <f t="shared" ca="1" si="119"/>
        <v>1.2070638774962235</v>
      </c>
      <c r="W263" s="304">
        <f t="shared" ca="1" si="120"/>
        <v>0.95656020026051081</v>
      </c>
      <c r="Y263" s="314" t="str">
        <f t="shared" ca="1" si="138"/>
        <v/>
      </c>
      <c r="Z263" s="315" t="str">
        <f t="shared" ca="1" si="139"/>
        <v/>
      </c>
      <c r="AA263" s="316" t="str">
        <f t="shared" ca="1" si="140"/>
        <v/>
      </c>
      <c r="AC263" s="310" t="e">
        <f t="shared" ca="1" si="141"/>
        <v>#N/A</v>
      </c>
      <c r="AD263" s="323" t="e">
        <f t="shared" ca="1" si="142"/>
        <v>#N/A</v>
      </c>
      <c r="AE263" s="324">
        <f t="shared" ca="1" si="121"/>
        <v>147.49713335853306</v>
      </c>
      <c r="AG263" s="306">
        <f t="shared" ca="1" si="143"/>
        <v>9.0519837600557711</v>
      </c>
      <c r="AH263" s="304">
        <f t="shared" ca="1" si="144"/>
        <v>-0.41613835713116698</v>
      </c>
    </row>
    <row r="264" spans="1:34" x14ac:dyDescent="0.2">
      <c r="A264" s="347">
        <f t="shared" ca="1" si="122"/>
        <v>0.1</v>
      </c>
      <c r="B264" s="304">
        <f t="shared" ca="1" si="123"/>
        <v>7.9999999999999885</v>
      </c>
      <c r="D264" s="306">
        <f t="shared" ca="1" si="124"/>
        <v>-0.11411266685400305</v>
      </c>
      <c r="E264" s="307">
        <f t="shared" ca="1" si="125"/>
        <v>-9.3654772161936215</v>
      </c>
      <c r="F264" s="304">
        <f t="shared" ca="1" si="126"/>
        <v>9.366172387255018</v>
      </c>
      <c r="G264" s="306">
        <f t="shared" ca="1" si="127"/>
        <v>4.717902389737052</v>
      </c>
      <c r="H264" s="307">
        <f t="shared" ca="1" si="128"/>
        <v>-19.359460181777049</v>
      </c>
      <c r="I264" s="304">
        <f t="shared" ca="1" si="129"/>
        <v>19.926045806654606</v>
      </c>
      <c r="J264" s="306">
        <f t="shared" ca="1" si="130"/>
        <v>38.826882076130886</v>
      </c>
      <c r="K264" s="307">
        <f t="shared" ca="1" si="131"/>
        <v>145.60801472643632</v>
      </c>
      <c r="L264" s="304">
        <f t="shared" ca="1" si="116"/>
        <v>150.69578867482619</v>
      </c>
      <c r="M264" s="306">
        <f t="shared" ca="1" si="132"/>
        <v>-1.3317557134058318</v>
      </c>
      <c r="N264" s="304">
        <f t="shared" ca="1" si="133"/>
        <v>-76.303981720588183</v>
      </c>
      <c r="P264" s="310">
        <f t="shared" ca="1" si="134"/>
        <v>23</v>
      </c>
      <c r="Q264" s="304">
        <f t="shared" ca="1" si="135"/>
        <v>0</v>
      </c>
      <c r="R264" s="306">
        <f t="shared" ca="1" si="136"/>
        <v>0</v>
      </c>
      <c r="S264" s="307">
        <f t="shared" ca="1" si="137"/>
        <v>2.0843000000000003</v>
      </c>
      <c r="T264" s="304">
        <f t="shared" ca="1" si="117"/>
        <v>20.446983000000003</v>
      </c>
      <c r="U264" s="311">
        <f t="shared" ca="1" si="118"/>
        <v>0</v>
      </c>
      <c r="V264" s="306">
        <f t="shared" ca="1" si="119"/>
        <v>1.2072919399692981</v>
      </c>
      <c r="W264" s="304">
        <f t="shared" ca="1" si="120"/>
        <v>1.0500353505728888</v>
      </c>
      <c r="Y264" s="314" t="str">
        <f t="shared" ca="1" si="138"/>
        <v/>
      </c>
      <c r="Z264" s="315" t="str">
        <f t="shared" ca="1" si="139"/>
        <v/>
      </c>
      <c r="AA264" s="316" t="str">
        <f t="shared" ca="1" si="140"/>
        <v/>
      </c>
      <c r="AC264" s="310">
        <f t="shared" ca="1" si="141"/>
        <v>7.9999999999999885</v>
      </c>
      <c r="AD264" s="323">
        <f t="shared" ca="1" si="142"/>
        <v>38.826882076130886</v>
      </c>
      <c r="AE264" s="324">
        <f t="shared" ca="1" si="121"/>
        <v>145.60801472643632</v>
      </c>
      <c r="AG264" s="306">
        <f t="shared" ca="1" si="143"/>
        <v>9.0429749608609011</v>
      </c>
      <c r="AH264" s="304">
        <f t="shared" ca="1" si="144"/>
        <v>-0.45893594984431735</v>
      </c>
    </row>
    <row r="265" spans="1:34" x14ac:dyDescent="0.2">
      <c r="A265" s="347">
        <f t="shared" ca="1" si="122"/>
        <v>0.1</v>
      </c>
      <c r="B265" s="304">
        <f t="shared" ca="1" si="123"/>
        <v>8.099999999999989</v>
      </c>
      <c r="D265" s="306">
        <f t="shared" ca="1" si="124"/>
        <v>-0.11928106795216405</v>
      </c>
      <c r="E265" s="307">
        <f t="shared" ca="1" si="125"/>
        <v>-9.3205415723557472</v>
      </c>
      <c r="F265" s="304">
        <f t="shared" ca="1" si="126"/>
        <v>9.3213048000365042</v>
      </c>
      <c r="G265" s="306">
        <f t="shared" ca="1" si="127"/>
        <v>4.7059742829418356</v>
      </c>
      <c r="H265" s="307">
        <f t="shared" ca="1" si="128"/>
        <v>-20.291514339012622</v>
      </c>
      <c r="I265" s="304">
        <f t="shared" ca="1" si="129"/>
        <v>20.830068365755903</v>
      </c>
      <c r="J265" s="306">
        <f t="shared" ca="1" si="130"/>
        <v>39.298075909764833</v>
      </c>
      <c r="K265" s="307">
        <f t="shared" ca="1" si="131"/>
        <v>143.62546600039684</v>
      </c>
      <c r="L265" s="304">
        <f t="shared" ca="1" si="116"/>
        <v>148.90471199408293</v>
      </c>
      <c r="M265" s="306">
        <f t="shared" ca="1" si="132"/>
        <v>-1.3429067473939647</v>
      </c>
      <c r="N265" s="304">
        <f t="shared" ca="1" si="133"/>
        <v>-76.942888905315144</v>
      </c>
      <c r="P265" s="310">
        <f t="shared" ca="1" si="134"/>
        <v>23</v>
      </c>
      <c r="Q265" s="304">
        <f t="shared" ca="1" si="135"/>
        <v>0</v>
      </c>
      <c r="R265" s="306">
        <f t="shared" ca="1" si="136"/>
        <v>0</v>
      </c>
      <c r="S265" s="307">
        <f t="shared" ca="1" si="137"/>
        <v>2.0843000000000003</v>
      </c>
      <c r="T265" s="304">
        <f t="shared" ca="1" si="117"/>
        <v>20.446983000000003</v>
      </c>
      <c r="U265" s="311">
        <f t="shared" ca="1" si="118"/>
        <v>0</v>
      </c>
      <c r="V265" s="306">
        <f t="shared" ca="1" si="119"/>
        <v>1.2075313277247484</v>
      </c>
      <c r="W265" s="304">
        <f t="shared" ca="1" si="120"/>
        <v>1.1477020774886217</v>
      </c>
      <c r="Y265" s="314" t="str">
        <f t="shared" ca="1" si="138"/>
        <v/>
      </c>
      <c r="Z265" s="315" t="str">
        <f t="shared" ca="1" si="139"/>
        <v/>
      </c>
      <c r="AA265" s="316" t="str">
        <f t="shared" ca="1" si="140"/>
        <v/>
      </c>
      <c r="AC265" s="310" t="e">
        <f t="shared" ca="1" si="141"/>
        <v>#N/A</v>
      </c>
      <c r="AD265" s="323" t="e">
        <f t="shared" ca="1" si="142"/>
        <v>#N/A</v>
      </c>
      <c r="AE265" s="324">
        <f t="shared" ca="1" si="121"/>
        <v>143.62546600039684</v>
      </c>
      <c r="AG265" s="306">
        <f t="shared" ca="1" si="143"/>
        <v>9.0272750927333441</v>
      </c>
      <c r="AH265" s="304">
        <f t="shared" ca="1" si="144"/>
        <v>-0.50378321286421757</v>
      </c>
    </row>
    <row r="266" spans="1:34" x14ac:dyDescent="0.2">
      <c r="A266" s="347">
        <f t="shared" ca="1" si="122"/>
        <v>0.1</v>
      </c>
      <c r="B266" s="304">
        <f t="shared" ca="1" si="123"/>
        <v>8.1999999999999886</v>
      </c>
      <c r="D266" s="306">
        <f t="shared" ca="1" si="124"/>
        <v>-0.12440212343277449</v>
      </c>
      <c r="E266" s="307">
        <f t="shared" ca="1" si="125"/>
        <v>-9.2735951410550967</v>
      </c>
      <c r="F266" s="304">
        <f t="shared" ca="1" si="126"/>
        <v>9.2744295095987059</v>
      </c>
      <c r="G266" s="306">
        <f t="shared" ca="1" si="127"/>
        <v>4.6935340705985578</v>
      </c>
      <c r="H266" s="307">
        <f t="shared" ca="1" si="128"/>
        <v>-21.218873853118133</v>
      </c>
      <c r="I266" s="304">
        <f t="shared" ca="1" si="129"/>
        <v>21.731770974000479</v>
      </c>
      <c r="J266" s="306">
        <f t="shared" ca="1" si="130"/>
        <v>39.768051327441853</v>
      </c>
      <c r="K266" s="307">
        <f t="shared" ca="1" si="131"/>
        <v>141.54994659079031</v>
      </c>
      <c r="L266" s="304">
        <f t="shared" ca="1" si="116"/>
        <v>147.03021895596035</v>
      </c>
      <c r="M266" s="306">
        <f t="shared" ca="1" si="132"/>
        <v>-1.3531053406332829</v>
      </c>
      <c r="N266" s="304">
        <f t="shared" ca="1" si="133"/>
        <v>-77.527225254898724</v>
      </c>
      <c r="P266" s="310">
        <f t="shared" ca="1" si="134"/>
        <v>23</v>
      </c>
      <c r="Q266" s="304">
        <f t="shared" ca="1" si="135"/>
        <v>0</v>
      </c>
      <c r="R266" s="306">
        <f t="shared" ca="1" si="136"/>
        <v>0</v>
      </c>
      <c r="S266" s="307">
        <f t="shared" ca="1" si="137"/>
        <v>2.0843000000000003</v>
      </c>
      <c r="T266" s="304">
        <f t="shared" ca="1" si="117"/>
        <v>20.446983000000003</v>
      </c>
      <c r="U266" s="311">
        <f t="shared" ca="1" si="118"/>
        <v>0</v>
      </c>
      <c r="V266" s="306">
        <f t="shared" ca="1" si="119"/>
        <v>1.2077819919486321</v>
      </c>
      <c r="W266" s="304">
        <f t="shared" ca="1" si="120"/>
        <v>1.2494766924162426</v>
      </c>
      <c r="Y266" s="314" t="str">
        <f t="shared" ca="1" si="138"/>
        <v/>
      </c>
      <c r="Z266" s="315" t="str">
        <f t="shared" ca="1" si="139"/>
        <v/>
      </c>
      <c r="AA266" s="316" t="str">
        <f t="shared" ca="1" si="140"/>
        <v/>
      </c>
      <c r="AC266" s="310" t="e">
        <f t="shared" ca="1" si="141"/>
        <v>#N/A</v>
      </c>
      <c r="AD266" s="323" t="e">
        <f t="shared" ca="1" si="142"/>
        <v>#N/A</v>
      </c>
      <c r="AE266" s="324">
        <f t="shared" ca="1" si="121"/>
        <v>141.54994659079031</v>
      </c>
      <c r="AG266" s="306">
        <f t="shared" ca="1" si="143"/>
        <v>9.0057244312117675</v>
      </c>
      <c r="AH266" s="304">
        <f t="shared" ca="1" si="144"/>
        <v>-0.55064149953875241</v>
      </c>
    </row>
    <row r="267" spans="1:34" x14ac:dyDescent="0.2">
      <c r="A267" s="347">
        <f t="shared" ca="1" si="122"/>
        <v>0.1</v>
      </c>
      <c r="B267" s="304">
        <f t="shared" ca="1" si="123"/>
        <v>8.2999999999999883</v>
      </c>
      <c r="D267" s="306">
        <f t="shared" ca="1" si="124"/>
        <v>-0.12947108456524864</v>
      </c>
      <c r="E267" s="307">
        <f t="shared" ca="1" si="125"/>
        <v>-9.2246776033382343</v>
      </c>
      <c r="F267" s="304">
        <f t="shared" ca="1" si="126"/>
        <v>9.2255861411223368</v>
      </c>
      <c r="G267" s="306">
        <f t="shared" ca="1" si="127"/>
        <v>4.6805869621420326</v>
      </c>
      <c r="H267" s="307">
        <f t="shared" ca="1" si="128"/>
        <v>-22.141341613451957</v>
      </c>
      <c r="I267" s="304">
        <f t="shared" ca="1" si="129"/>
        <v>22.630662888076284</v>
      </c>
      <c r="J267" s="306">
        <f t="shared" ca="1" si="130"/>
        <v>40.236757379078881</v>
      </c>
      <c r="K267" s="307">
        <f t="shared" ca="1" si="131"/>
        <v>139.38193581746179</v>
      </c>
      <c r="L267" s="304">
        <f t="shared" ca="1" si="116"/>
        <v>145.07350094557552</v>
      </c>
      <c r="M267" s="306">
        <f t="shared" ca="1" si="132"/>
        <v>-1.3624676487956926</v>
      </c>
      <c r="N267" s="304">
        <f t="shared" ca="1" si="133"/>
        <v>-78.063645999105688</v>
      </c>
      <c r="P267" s="310">
        <f t="shared" ca="1" si="134"/>
        <v>23</v>
      </c>
      <c r="Q267" s="304">
        <f t="shared" ca="1" si="135"/>
        <v>0</v>
      </c>
      <c r="R267" s="306">
        <f t="shared" ca="1" si="136"/>
        <v>0</v>
      </c>
      <c r="S267" s="307">
        <f t="shared" ca="1" si="137"/>
        <v>2.0843000000000003</v>
      </c>
      <c r="T267" s="304">
        <f t="shared" ca="1" si="117"/>
        <v>20.446983000000003</v>
      </c>
      <c r="U267" s="311">
        <f t="shared" ca="1" si="118"/>
        <v>0</v>
      </c>
      <c r="V267" s="306">
        <f t="shared" ca="1" si="119"/>
        <v>1.2080438816920465</v>
      </c>
      <c r="W267" s="304">
        <f t="shared" ca="1" si="120"/>
        <v>1.3552725157265026</v>
      </c>
      <c r="Y267" s="314" t="str">
        <f t="shared" ca="1" si="138"/>
        <v/>
      </c>
      <c r="Z267" s="315" t="str">
        <f t="shared" ca="1" si="139"/>
        <v/>
      </c>
      <c r="AA267" s="316" t="str">
        <f t="shared" ca="1" si="140"/>
        <v/>
      </c>
      <c r="AC267" s="310" t="e">
        <f t="shared" ca="1" si="141"/>
        <v>#N/A</v>
      </c>
      <c r="AD267" s="323" t="e">
        <f t="shared" ca="1" si="142"/>
        <v>#N/A</v>
      </c>
      <c r="AE267" s="324">
        <f t="shared" ca="1" si="121"/>
        <v>139.38193581746179</v>
      </c>
      <c r="AG267" s="306">
        <f t="shared" ca="1" si="143"/>
        <v>8.9790010067657846</v>
      </c>
      <c r="AH267" s="304">
        <f t="shared" ca="1" si="144"/>
        <v>-0.59947065797449617</v>
      </c>
    </row>
    <row r="268" spans="1:34" x14ac:dyDescent="0.2">
      <c r="A268" s="347">
        <f t="shared" ca="1" si="122"/>
        <v>0.1</v>
      </c>
      <c r="B268" s="304">
        <f t="shared" ca="1" si="123"/>
        <v>8.3999999999999879</v>
      </c>
      <c r="D268" s="306">
        <f t="shared" ca="1" si="124"/>
        <v>-0.1344836370347641</v>
      </c>
      <c r="E268" s="307">
        <f t="shared" ca="1" si="125"/>
        <v>-9.1738301834598346</v>
      </c>
      <c r="F268" s="304">
        <f t="shared" ca="1" si="126"/>
        <v>9.1748158610180734</v>
      </c>
      <c r="G268" s="306">
        <f t="shared" ca="1" si="127"/>
        <v>4.6671385984385561</v>
      </c>
      <c r="H268" s="307">
        <f t="shared" ca="1" si="128"/>
        <v>-23.05872463179794</v>
      </c>
      <c r="I268" s="304">
        <f t="shared" ca="1" si="129"/>
        <v>23.526303669342536</v>
      </c>
      <c r="J268" s="306">
        <f t="shared" ca="1" si="130"/>
        <v>40.704143657107913</v>
      </c>
      <c r="K268" s="307">
        <f t="shared" ca="1" si="131"/>
        <v>137.12193250519931</v>
      </c>
      <c r="L268" s="304">
        <f t="shared" ca="1" si="116"/>
        <v>143.03584056039563</v>
      </c>
      <c r="M268" s="306">
        <f t="shared" ca="1" si="132"/>
        <v>-1.3710919464257358</v>
      </c>
      <c r="N268" s="304">
        <f t="shared" ca="1" si="133"/>
        <v>-78.557781854571843</v>
      </c>
      <c r="P268" s="310">
        <f t="shared" ca="1" si="134"/>
        <v>23</v>
      </c>
      <c r="Q268" s="304">
        <f t="shared" ca="1" si="135"/>
        <v>0</v>
      </c>
      <c r="R268" s="306">
        <f t="shared" ca="1" si="136"/>
        <v>0</v>
      </c>
      <c r="S268" s="307">
        <f t="shared" ca="1" si="137"/>
        <v>2.0843000000000003</v>
      </c>
      <c r="T268" s="304">
        <f t="shared" ca="1" si="117"/>
        <v>20.446983000000003</v>
      </c>
      <c r="U268" s="311">
        <f t="shared" ca="1" si="118"/>
        <v>0</v>
      </c>
      <c r="V268" s="306">
        <f t="shared" ca="1" si="119"/>
        <v>1.2083169439126527</v>
      </c>
      <c r="W268" s="304">
        <f t="shared" ca="1" si="120"/>
        <v>1.4650000272634645</v>
      </c>
      <c r="Y268" s="314" t="str">
        <f t="shared" ca="1" si="138"/>
        <v/>
      </c>
      <c r="Z268" s="315" t="str">
        <f t="shared" ca="1" si="139"/>
        <v/>
      </c>
      <c r="AA268" s="316" t="str">
        <f t="shared" ca="1" si="140"/>
        <v/>
      </c>
      <c r="AC268" s="310" t="e">
        <f t="shared" ca="1" si="141"/>
        <v>#N/A</v>
      </c>
      <c r="AD268" s="323" t="e">
        <f t="shared" ca="1" si="142"/>
        <v>#N/A</v>
      </c>
      <c r="AE268" s="324">
        <f t="shared" ca="1" si="121"/>
        <v>137.12193250519931</v>
      </c>
      <c r="AG268" s="306">
        <f t="shared" ca="1" si="143"/>
        <v>8.947658609874118</v>
      </c>
      <c r="AH268" s="304">
        <f t="shared" ca="1" si="144"/>
        <v>-0.65022910124574318</v>
      </c>
    </row>
    <row r="269" spans="1:34" x14ac:dyDescent="0.2">
      <c r="A269" s="347">
        <f t="shared" ca="1" si="122"/>
        <v>0.1</v>
      </c>
      <c r="B269" s="304">
        <f t="shared" ca="1" si="123"/>
        <v>8.4999999999999876</v>
      </c>
      <c r="D269" s="306">
        <f t="shared" ca="1" si="124"/>
        <v>-0.13943583571182444</v>
      </c>
      <c r="E269" s="307">
        <f t="shared" ca="1" si="125"/>
        <v>-9.1210955520885406</v>
      </c>
      <c r="F269" s="304">
        <f t="shared" ca="1" si="126"/>
        <v>9.1221612802345255</v>
      </c>
      <c r="G269" s="306">
        <f t="shared" ca="1" si="127"/>
        <v>4.6531950148673733</v>
      </c>
      <c r="H269" s="307">
        <f t="shared" ca="1" si="128"/>
        <v>-23.970834187006794</v>
      </c>
      <c r="I269" s="304">
        <f t="shared" ca="1" si="129"/>
        <v>24.418294687945764</v>
      </c>
      <c r="J269" s="306">
        <f t="shared" ca="1" si="130"/>
        <v>41.170160337773211</v>
      </c>
      <c r="K269" s="307">
        <f t="shared" ca="1" si="131"/>
        <v>134.77045456425907</v>
      </c>
      <c r="L269" s="304">
        <f t="shared" ca="1" si="116"/>
        <v>140.91862022349983</v>
      </c>
      <c r="M269" s="306">
        <f t="shared" ca="1" si="132"/>
        <v>-1.3790618905052663</v>
      </c>
      <c r="N269" s="304">
        <f t="shared" ca="1" si="133"/>
        <v>-79.014426013284208</v>
      </c>
      <c r="P269" s="310">
        <f t="shared" ca="1" si="134"/>
        <v>23</v>
      </c>
      <c r="Q269" s="304">
        <f t="shared" ca="1" si="135"/>
        <v>0</v>
      </c>
      <c r="R269" s="306">
        <f t="shared" ca="1" si="136"/>
        <v>0</v>
      </c>
      <c r="S269" s="307">
        <f t="shared" ca="1" si="137"/>
        <v>2.0843000000000003</v>
      </c>
      <c r="T269" s="304">
        <f t="shared" ca="1" si="117"/>
        <v>20.446983000000003</v>
      </c>
      <c r="U269" s="311">
        <f t="shared" ca="1" si="118"/>
        <v>0</v>
      </c>
      <c r="V269" s="306">
        <f t="shared" ca="1" si="119"/>
        <v>1.2086011235177712</v>
      </c>
      <c r="W269" s="304">
        <f t="shared" ca="1" si="120"/>
        <v>1.5785670205337998</v>
      </c>
      <c r="Y269" s="314" t="str">
        <f t="shared" ca="1" si="138"/>
        <v/>
      </c>
      <c r="Z269" s="315" t="str">
        <f t="shared" ca="1" si="139"/>
        <v/>
      </c>
      <c r="AA269" s="316" t="str">
        <f t="shared" ca="1" si="140"/>
        <v/>
      </c>
      <c r="AC269" s="310" t="e">
        <f t="shared" ca="1" si="141"/>
        <v>#N/A</v>
      </c>
      <c r="AD269" s="323" t="e">
        <f t="shared" ca="1" si="142"/>
        <v>#N/A</v>
      </c>
      <c r="AE269" s="324">
        <f t="shared" ca="1" si="121"/>
        <v>134.77045456425907</v>
      </c>
      <c r="AG269" s="306">
        <f t="shared" ca="1" si="143"/>
        <v>8.9121549756366765</v>
      </c>
      <c r="AH269" s="304">
        <f t="shared" ca="1" si="144"/>
        <v>-0.70287387960632552</v>
      </c>
    </row>
    <row r="270" spans="1:34" x14ac:dyDescent="0.2">
      <c r="A270" s="347">
        <f t="shared" ca="1" si="122"/>
        <v>0.1</v>
      </c>
      <c r="B270" s="304">
        <f t="shared" ca="1" si="123"/>
        <v>8.5999999999999872</v>
      </c>
      <c r="D270" s="306">
        <f t="shared" ca="1" si="124"/>
        <v>-0.14432405424600786</v>
      </c>
      <c r="E270" s="307">
        <f t="shared" ca="1" si="125"/>
        <v>-9.0665177340571379</v>
      </c>
      <c r="F270" s="304">
        <f t="shared" ca="1" si="126"/>
        <v>9.0676663621136058</v>
      </c>
      <c r="G270" s="306">
        <f t="shared" ca="1" si="127"/>
        <v>4.6387626094427725</v>
      </c>
      <c r="H270" s="307">
        <f t="shared" ca="1" si="128"/>
        <v>-24.877485960412507</v>
      </c>
      <c r="I270" s="304">
        <f t="shared" ca="1" si="129"/>
        <v>25.306272468644718</v>
      </c>
      <c r="J270" s="306">
        <f t="shared" ca="1" si="130"/>
        <v>41.634758218988722</v>
      </c>
      <c r="K270" s="307">
        <f t="shared" ca="1" si="131"/>
        <v>132.32803855688812</v>
      </c>
      <c r="L270" s="304">
        <f t="shared" ca="1" si="116"/>
        <v>138.7233321408728</v>
      </c>
      <c r="M270" s="306">
        <f t="shared" ca="1" si="132"/>
        <v>-1.3864491048606777</v>
      </c>
      <c r="N270" s="304">
        <f t="shared" ca="1" si="133"/>
        <v>-79.43768221820774</v>
      </c>
      <c r="P270" s="310">
        <f t="shared" ca="1" si="134"/>
        <v>23</v>
      </c>
      <c r="Q270" s="304">
        <f t="shared" ca="1" si="135"/>
        <v>0</v>
      </c>
      <c r="R270" s="306">
        <f t="shared" ca="1" si="136"/>
        <v>0</v>
      </c>
      <c r="S270" s="307">
        <f t="shared" ca="1" si="137"/>
        <v>2.0843000000000003</v>
      </c>
      <c r="T270" s="304">
        <f t="shared" ca="1" si="117"/>
        <v>20.446983000000003</v>
      </c>
      <c r="U270" s="311">
        <f t="shared" ca="1" si="118"/>
        <v>0</v>
      </c>
      <c r="V270" s="306">
        <f t="shared" ca="1" si="119"/>
        <v>1.2088963634089676</v>
      </c>
      <c r="W270" s="304">
        <f t="shared" ca="1" si="120"/>
        <v>1.6958787600886307</v>
      </c>
      <c r="Y270" s="314" t="str">
        <f t="shared" ca="1" si="138"/>
        <v/>
      </c>
      <c r="Z270" s="315" t="str">
        <f t="shared" ca="1" si="139"/>
        <v/>
      </c>
      <c r="AA270" s="316" t="str">
        <f t="shared" ca="1" si="140"/>
        <v/>
      </c>
      <c r="AC270" s="310" t="e">
        <f t="shared" ca="1" si="141"/>
        <v>#N/A</v>
      </c>
      <c r="AD270" s="323" t="e">
        <f t="shared" ca="1" si="142"/>
        <v>#N/A</v>
      </c>
      <c r="AE270" s="324">
        <f t="shared" ca="1" si="121"/>
        <v>132.32803855688812</v>
      </c>
      <c r="AG270" s="306">
        <f t="shared" ca="1" si="143"/>
        <v>8.8728729035223317</v>
      </c>
      <c r="AH270" s="304">
        <f t="shared" ca="1" si="144"/>
        <v>-0.75736075446615148</v>
      </c>
    </row>
    <row r="271" spans="1:34" x14ac:dyDescent="0.2">
      <c r="A271" s="347">
        <f t="shared" ca="1" si="122"/>
        <v>0.1</v>
      </c>
      <c r="B271" s="304">
        <f t="shared" ca="1" si="123"/>
        <v>8.6999999999999869</v>
      </c>
      <c r="D271" s="306">
        <f t="shared" ca="1" si="124"/>
        <v>-0.14914494577692064</v>
      </c>
      <c r="E271" s="307">
        <f t="shared" ca="1" si="125"/>
        <v>-9.0101420191067874</v>
      </c>
      <c r="F271" s="304">
        <f t="shared" ca="1" si="126"/>
        <v>9.0113763332425822</v>
      </c>
      <c r="G271" s="306">
        <f t="shared" ca="1" si="127"/>
        <v>4.6238481148650807</v>
      </c>
      <c r="H271" s="307">
        <f t="shared" ca="1" si="128"/>
        <v>-25.778500162323187</v>
      </c>
      <c r="I271" s="304">
        <f t="shared" ca="1" si="129"/>
        <v>26.189903436405373</v>
      </c>
      <c r="J271" s="306">
        <f t="shared" ca="1" si="130"/>
        <v>42.097888755204117</v>
      </c>
      <c r="K271" s="307">
        <f t="shared" ca="1" si="131"/>
        <v>129.79523925075134</v>
      </c>
      <c r="L271" s="304">
        <f t="shared" ca="1" si="116"/>
        <v>136.45158983978649</v>
      </c>
      <c r="M271" s="306">
        <f t="shared" ca="1" si="132"/>
        <v>-1.3933152422739437</v>
      </c>
      <c r="N271" s="304">
        <f t="shared" ca="1" si="133"/>
        <v>-79.831082913544748</v>
      </c>
      <c r="P271" s="310">
        <f t="shared" ca="1" si="134"/>
        <v>23</v>
      </c>
      <c r="Q271" s="304">
        <f t="shared" ca="1" si="135"/>
        <v>0</v>
      </c>
      <c r="R271" s="306">
        <f t="shared" ca="1" si="136"/>
        <v>0</v>
      </c>
      <c r="S271" s="307">
        <f t="shared" ca="1" si="137"/>
        <v>2.0843000000000003</v>
      </c>
      <c r="T271" s="304">
        <f t="shared" ca="1" si="117"/>
        <v>20.446983000000003</v>
      </c>
      <c r="U271" s="311">
        <f t="shared" ca="1" si="118"/>
        <v>0</v>
      </c>
      <c r="V271" s="306">
        <f t="shared" ca="1" si="119"/>
        <v>1.2092026045280244</v>
      </c>
      <c r="W271" s="304">
        <f t="shared" ca="1" si="120"/>
        <v>1.8168381416203523</v>
      </c>
      <c r="Y271" s="314" t="str">
        <f t="shared" ca="1" si="138"/>
        <v/>
      </c>
      <c r="Z271" s="315" t="str">
        <f t="shared" ca="1" si="139"/>
        <v/>
      </c>
      <c r="AA271" s="316" t="str">
        <f t="shared" ca="1" si="140"/>
        <v/>
      </c>
      <c r="AC271" s="310" t="e">
        <f t="shared" ca="1" si="141"/>
        <v>#N/A</v>
      </c>
      <c r="AD271" s="323" t="e">
        <f t="shared" ca="1" si="142"/>
        <v>#N/A</v>
      </c>
      <c r="AE271" s="324">
        <f t="shared" ca="1" si="121"/>
        <v>129.79523925075134</v>
      </c>
      <c r="AG271" s="306">
        <f t="shared" ca="1" si="143"/>
        <v>8.8301362383838224</v>
      </c>
      <c r="AH271" s="304">
        <f t="shared" ca="1" si="144"/>
        <v>-0.81364427389945326</v>
      </c>
    </row>
    <row r="272" spans="1:34" x14ac:dyDescent="0.2">
      <c r="A272" s="347">
        <f t="shared" ca="1" si="122"/>
        <v>0.1</v>
      </c>
      <c r="B272" s="304">
        <f t="shared" ca="1" si="123"/>
        <v>8.7999999999999865</v>
      </c>
      <c r="D272" s="306">
        <f t="shared" ca="1" si="124"/>
        <v>-0.15389541205304338</v>
      </c>
      <c r="E272" s="307">
        <f t="shared" ca="1" si="125"/>
        <v>-8.9520148746157666</v>
      </c>
      <c r="F272" s="304">
        <f t="shared" ca="1" si="126"/>
        <v>8.9533375962929558</v>
      </c>
      <c r="G272" s="306">
        <f t="shared" ca="1" si="127"/>
        <v>4.6084585736597763</v>
      </c>
      <c r="H272" s="307">
        <f t="shared" ca="1" si="128"/>
        <v>-26.673701649784764</v>
      </c>
      <c r="I272" s="304">
        <f t="shared" ca="1" si="129"/>
        <v>27.068879735350496</v>
      </c>
      <c r="J272" s="306">
        <f t="shared" ca="1" si="130"/>
        <v>42.559504089630359</v>
      </c>
      <c r="K272" s="307">
        <f t="shared" ca="1" si="131"/>
        <v>127.17262916014595</v>
      </c>
      <c r="L272" s="304">
        <f t="shared" ca="1" si="116"/>
        <v>134.10514157130316</v>
      </c>
      <c r="M272" s="306">
        <f t="shared" ca="1" si="132"/>
        <v>-1.3997136417439364</v>
      </c>
      <c r="N272" s="304">
        <f t="shared" ca="1" si="133"/>
        <v>-80.197684198814088</v>
      </c>
      <c r="P272" s="310">
        <f t="shared" ca="1" si="134"/>
        <v>23</v>
      </c>
      <c r="Q272" s="304">
        <f t="shared" ca="1" si="135"/>
        <v>0</v>
      </c>
      <c r="R272" s="306">
        <f t="shared" ca="1" si="136"/>
        <v>0</v>
      </c>
      <c r="S272" s="307">
        <f t="shared" ca="1" si="137"/>
        <v>2.0843000000000003</v>
      </c>
      <c r="T272" s="304">
        <f t="shared" ca="1" si="117"/>
        <v>20.446983000000003</v>
      </c>
      <c r="U272" s="311">
        <f t="shared" ca="1" si="118"/>
        <v>0</v>
      </c>
      <c r="V272" s="306">
        <f t="shared" ca="1" si="119"/>
        <v>1.2095197859042086</v>
      </c>
      <c r="W272" s="304">
        <f t="shared" ca="1" si="120"/>
        <v>1.941345854303915</v>
      </c>
      <c r="Y272" s="314" t="str">
        <f t="shared" ca="1" si="138"/>
        <v/>
      </c>
      <c r="Z272" s="315" t="str">
        <f t="shared" ca="1" si="139"/>
        <v/>
      </c>
      <c r="AA272" s="316" t="str">
        <f t="shared" ca="1" si="140"/>
        <v/>
      </c>
      <c r="AC272" s="310" t="e">
        <f t="shared" ca="1" si="141"/>
        <v>#N/A</v>
      </c>
      <c r="AD272" s="323" t="e">
        <f t="shared" ca="1" si="142"/>
        <v>#N/A</v>
      </c>
      <c r="AE272" s="324">
        <f t="shared" ca="1" si="121"/>
        <v>127.17262916014595</v>
      </c>
      <c r="AG272" s="306">
        <f t="shared" ca="1" si="143"/>
        <v>8.7842220742097634</v>
      </c>
      <c r="AH272" s="304">
        <f t="shared" ca="1" si="144"/>
        <v>-0.87167784945562155</v>
      </c>
    </row>
    <row r="273" spans="1:34" x14ac:dyDescent="0.2">
      <c r="A273" s="347">
        <f t="shared" ca="1" si="122"/>
        <v>0.1</v>
      </c>
      <c r="B273" s="304">
        <f t="shared" ca="1" si="123"/>
        <v>8.8999999999999861</v>
      </c>
      <c r="D273" s="306">
        <f t="shared" ca="1" si="124"/>
        <v>-0.1585725789580075</v>
      </c>
      <c r="E273" s="307">
        <f t="shared" ca="1" si="125"/>
        <v>-8.8921838596665896</v>
      </c>
      <c r="F273" s="304">
        <f t="shared" ca="1" si="126"/>
        <v>8.8935976441995841</v>
      </c>
      <c r="G273" s="306">
        <f t="shared" ca="1" si="127"/>
        <v>4.5926013157639751</v>
      </c>
      <c r="H273" s="307">
        <f t="shared" ca="1" si="128"/>
        <v>-27.562920035751421</v>
      </c>
      <c r="I273" s="304">
        <f t="shared" ca="1" si="129"/>
        <v>27.942915877602754</v>
      </c>
      <c r="J273" s="306">
        <f t="shared" ca="1" si="130"/>
        <v>43.01955708410155</v>
      </c>
      <c r="K273" s="307">
        <f t="shared" ca="1" si="131"/>
        <v>124.46079807586914</v>
      </c>
      <c r="L273" s="304">
        <f t="shared" ca="1" si="116"/>
        <v>131.68588591566882</v>
      </c>
      <c r="M273" s="306">
        <f t="shared" ca="1" si="132"/>
        <v>-1.4056906695363844</v>
      </c>
      <c r="N273" s="304">
        <f t="shared" ca="1" si="133"/>
        <v>-80.540142665353756</v>
      </c>
      <c r="P273" s="310">
        <f t="shared" ca="1" si="134"/>
        <v>23</v>
      </c>
      <c r="Q273" s="304">
        <f t="shared" ca="1" si="135"/>
        <v>0</v>
      </c>
      <c r="R273" s="306">
        <f t="shared" ca="1" si="136"/>
        <v>0</v>
      </c>
      <c r="S273" s="307">
        <f t="shared" ca="1" si="137"/>
        <v>2.0843000000000003</v>
      </c>
      <c r="T273" s="304">
        <f t="shared" ca="1" si="117"/>
        <v>20.446983000000003</v>
      </c>
      <c r="U273" s="311">
        <f t="shared" ca="1" si="118"/>
        <v>0</v>
      </c>
      <c r="V273" s="306">
        <f t="shared" ca="1" si="119"/>
        <v>1.2098478447027494</v>
      </c>
      <c r="W273" s="304">
        <f t="shared" ca="1" si="120"/>
        <v>2.069300544918907</v>
      </c>
      <c r="Y273" s="314" t="str">
        <f t="shared" ca="1" si="138"/>
        <v/>
      </c>
      <c r="Z273" s="315" t="str">
        <f t="shared" ca="1" si="139"/>
        <v/>
      </c>
      <c r="AA273" s="316" t="str">
        <f t="shared" ca="1" si="140"/>
        <v/>
      </c>
      <c r="AC273" s="310" t="e">
        <f t="shared" ca="1" si="141"/>
        <v>#N/A</v>
      </c>
      <c r="AD273" s="323" t="e">
        <f t="shared" ca="1" si="142"/>
        <v>#N/A</v>
      </c>
      <c r="AE273" s="324">
        <f t="shared" ca="1" si="121"/>
        <v>124.46079807586914</v>
      </c>
      <c r="AG273" s="306">
        <f t="shared" ca="1" si="143"/>
        <v>8.7353701534213144</v>
      </c>
      <c r="AH273" s="304">
        <f t="shared" ca="1" si="144"/>
        <v>-0.93141383404688138</v>
      </c>
    </row>
    <row r="274" spans="1:34" x14ac:dyDescent="0.2">
      <c r="A274" s="347">
        <f t="shared" ca="1" si="122"/>
        <v>0.1</v>
      </c>
      <c r="B274" s="304">
        <f t="shared" ca="1" si="123"/>
        <v>8.9999999999999858</v>
      </c>
      <c r="D274" s="306">
        <f t="shared" ca="1" si="124"/>
        <v>-0.16317377695290486</v>
      </c>
      <c r="E274" s="307">
        <f t="shared" ca="1" si="125"/>
        <v>-8.8306975400527907</v>
      </c>
      <c r="F274" s="304">
        <f t="shared" ca="1" si="126"/>
        <v>8.8322049752810585</v>
      </c>
      <c r="G274" s="306">
        <f t="shared" ca="1" si="127"/>
        <v>4.5762839380686851</v>
      </c>
      <c r="H274" s="307">
        <f t="shared" ca="1" si="128"/>
        <v>-28.445989789756702</v>
      </c>
      <c r="I274" s="304">
        <f t="shared" ca="1" si="129"/>
        <v>28.811746038738573</v>
      </c>
      <c r="J274" s="306">
        <f t="shared" ca="1" si="130"/>
        <v>43.478001346793185</v>
      </c>
      <c r="K274" s="307">
        <f t="shared" ca="1" si="131"/>
        <v>121.66035258459372</v>
      </c>
      <c r="L274" s="304">
        <f t="shared" ca="1" si="116"/>
        <v>129.19588999700963</v>
      </c>
      <c r="M274" s="306">
        <f t="shared" ca="1" si="132"/>
        <v>-1.4112868114425035</v>
      </c>
      <c r="N274" s="304">
        <f t="shared" ca="1" si="133"/>
        <v>-80.86077797813067</v>
      </c>
      <c r="P274" s="310">
        <f t="shared" ca="1" si="134"/>
        <v>23</v>
      </c>
      <c r="Q274" s="304">
        <f t="shared" ca="1" si="135"/>
        <v>0</v>
      </c>
      <c r="R274" s="306">
        <f t="shared" ca="1" si="136"/>
        <v>0</v>
      </c>
      <c r="S274" s="307">
        <f t="shared" ca="1" si="137"/>
        <v>2.0843000000000003</v>
      </c>
      <c r="T274" s="304">
        <f t="shared" ca="1" si="117"/>
        <v>20.446983000000003</v>
      </c>
      <c r="U274" s="311">
        <f t="shared" ca="1" si="118"/>
        <v>0</v>
      </c>
      <c r="V274" s="306">
        <f t="shared" ca="1" si="119"/>
        <v>1.2101867162744369</v>
      </c>
      <c r="W274" s="304">
        <f t="shared" ca="1" si="120"/>
        <v>2.2005989832958335</v>
      </c>
      <c r="Y274" s="314" t="str">
        <f t="shared" ca="1" si="138"/>
        <v/>
      </c>
      <c r="Z274" s="315" t="str">
        <f t="shared" ca="1" si="139"/>
        <v/>
      </c>
      <c r="AA274" s="316" t="str">
        <f t="shared" ca="1" si="140"/>
        <v/>
      </c>
      <c r="AC274" s="310">
        <f t="shared" ca="1" si="141"/>
        <v>8.9999999999999858</v>
      </c>
      <c r="AD274" s="323">
        <f t="shared" ca="1" si="142"/>
        <v>43.478001346793185</v>
      </c>
      <c r="AE274" s="324">
        <f t="shared" ca="1" si="121"/>
        <v>121.66035258459372</v>
      </c>
      <c r="AG274" s="306">
        <f t="shared" ca="1" si="143"/>
        <v>8.683790164080289</v>
      </c>
      <c r="AH274" s="304">
        <f t="shared" ca="1" si="144"/>
        <v>-0.99280360069035489</v>
      </c>
    </row>
    <row r="275" spans="1:34" x14ac:dyDescent="0.2">
      <c r="A275" s="347">
        <f t="shared" ca="1" si="122"/>
        <v>0.1</v>
      </c>
      <c r="B275" s="304">
        <f t="shared" ca="1" si="123"/>
        <v>9.0999999999999854</v>
      </c>
      <c r="D275" s="306">
        <f t="shared" ca="1" si="124"/>
        <v>-0.16769652531259829</v>
      </c>
      <c r="E275" s="307">
        <f t="shared" ca="1" si="125"/>
        <v>-8.7676054039966242</v>
      </c>
      <c r="F275" s="304">
        <f t="shared" ca="1" si="126"/>
        <v>8.769209009072183</v>
      </c>
      <c r="G275" s="306">
        <f t="shared" ca="1" si="127"/>
        <v>4.5595142855374249</v>
      </c>
      <c r="H275" s="307">
        <f t="shared" ca="1" si="128"/>
        <v>-29.322750330156364</v>
      </c>
      <c r="I275" s="304">
        <f t="shared" ca="1" si="129"/>
        <v>29.675121860654677</v>
      </c>
      <c r="J275" s="306">
        <f t="shared" ca="1" si="130"/>
        <v>43.934791257973494</v>
      </c>
      <c r="K275" s="307">
        <f t="shared" ca="1" si="131"/>
        <v>118.77191557859807</v>
      </c>
      <c r="L275" s="304">
        <f t="shared" ca="1" si="116"/>
        <v>126.6374107959071</v>
      </c>
      <c r="M275" s="306">
        <f t="shared" ca="1" si="132"/>
        <v>-1.4165375679171968</v>
      </c>
      <c r="N275" s="304">
        <f t="shared" ca="1" si="133"/>
        <v>-81.161624163381575</v>
      </c>
      <c r="P275" s="310">
        <f t="shared" ca="1" si="134"/>
        <v>23</v>
      </c>
      <c r="Q275" s="304">
        <f t="shared" ca="1" si="135"/>
        <v>0</v>
      </c>
      <c r="R275" s="306">
        <f t="shared" ca="1" si="136"/>
        <v>0</v>
      </c>
      <c r="S275" s="307">
        <f t="shared" ca="1" si="137"/>
        <v>2.0843000000000003</v>
      </c>
      <c r="T275" s="304">
        <f t="shared" ca="1" si="117"/>
        <v>20.446983000000003</v>
      </c>
      <c r="U275" s="311">
        <f t="shared" ca="1" si="118"/>
        <v>0</v>
      </c>
      <c r="V275" s="306">
        <f t="shared" ca="1" si="119"/>
        <v>1.2105363342062523</v>
      </c>
      <c r="W275" s="304">
        <f t="shared" ca="1" si="120"/>
        <v>2.3351362286378317</v>
      </c>
      <c r="Y275" s="314" t="str">
        <f t="shared" ca="1" si="138"/>
        <v/>
      </c>
      <c r="Z275" s="315" t="str">
        <f t="shared" ca="1" si="139"/>
        <v/>
      </c>
      <c r="AA275" s="316" t="str">
        <f t="shared" ca="1" si="140"/>
        <v/>
      </c>
      <c r="AC275" s="310" t="e">
        <f t="shared" ca="1" si="141"/>
        <v>#N/A</v>
      </c>
      <c r="AD275" s="323" t="e">
        <f t="shared" ca="1" si="142"/>
        <v>#N/A</v>
      </c>
      <c r="AE275" s="324">
        <f t="shared" ca="1" si="121"/>
        <v>118.77191557859807</v>
      </c>
      <c r="AG275" s="306">
        <f t="shared" ca="1" si="143"/>
        <v>8.6296674471982584</v>
      </c>
      <c r="AH275" s="304">
        <f t="shared" ca="1" si="144"/>
        <v>-1.055797621885445</v>
      </c>
    </row>
    <row r="276" spans="1:34" x14ac:dyDescent="0.2">
      <c r="A276" s="347">
        <f t="shared" ca="1" si="122"/>
        <v>0.1</v>
      </c>
      <c r="B276" s="304">
        <f t="shared" ca="1" si="123"/>
        <v>9.1999999999999851</v>
      </c>
      <c r="D276" s="306">
        <f t="shared" ca="1" si="124"/>
        <v>-0.17213851930467153</v>
      </c>
      <c r="E276" s="307">
        <f t="shared" ca="1" si="125"/>
        <v>-8.7029577784668053</v>
      </c>
      <c r="F276" s="304">
        <f t="shared" ca="1" si="126"/>
        <v>8.7046600027573895</v>
      </c>
      <c r="G276" s="306">
        <f t="shared" ca="1" si="127"/>
        <v>4.5423004336069575</v>
      </c>
      <c r="H276" s="307">
        <f t="shared" ca="1" si="128"/>
        <v>-30.193046108003045</v>
      </c>
      <c r="I276" s="304">
        <f t="shared" ca="1" si="129"/>
        <v>30.53281065524666</v>
      </c>
      <c r="J276" s="306">
        <f t="shared" ca="1" si="130"/>
        <v>44.389881993930715</v>
      </c>
      <c r="K276" s="307">
        <f t="shared" ca="1" si="131"/>
        <v>115.7961257566901</v>
      </c>
      <c r="L276" s="304">
        <f t="shared" ca="1" si="116"/>
        <v>124.01292014824215</v>
      </c>
      <c r="M276" s="306">
        <f t="shared" ca="1" si="132"/>
        <v>-1.4214741919885436</v>
      </c>
      <c r="N276" s="304">
        <f t="shared" ca="1" si="133"/>
        <v>-81.444471887712453</v>
      </c>
      <c r="P276" s="310">
        <f t="shared" ca="1" si="134"/>
        <v>23</v>
      </c>
      <c r="Q276" s="304">
        <f t="shared" ca="1" si="135"/>
        <v>0</v>
      </c>
      <c r="R276" s="306">
        <f t="shared" ca="1" si="136"/>
        <v>0</v>
      </c>
      <c r="S276" s="307">
        <f t="shared" ca="1" si="137"/>
        <v>2.0843000000000003</v>
      </c>
      <c r="T276" s="304">
        <f t="shared" ca="1" si="117"/>
        <v>20.446983000000003</v>
      </c>
      <c r="U276" s="311">
        <f t="shared" ca="1" si="118"/>
        <v>0</v>
      </c>
      <c r="V276" s="306">
        <f t="shared" ca="1" si="119"/>
        <v>1.2108966303729518</v>
      </c>
      <c r="W276" s="304">
        <f t="shared" ca="1" si="120"/>
        <v>2.4728057962777172</v>
      </c>
      <c r="Y276" s="314" t="str">
        <f t="shared" ca="1" si="138"/>
        <v/>
      </c>
      <c r="Z276" s="315" t="str">
        <f t="shared" ca="1" si="139"/>
        <v/>
      </c>
      <c r="AA276" s="316" t="str">
        <f t="shared" ca="1" si="140"/>
        <v/>
      </c>
      <c r="AC276" s="310" t="e">
        <f t="shared" ca="1" si="141"/>
        <v>#N/A</v>
      </c>
      <c r="AD276" s="323" t="e">
        <f t="shared" ca="1" si="142"/>
        <v>#N/A</v>
      </c>
      <c r="AE276" s="324">
        <f t="shared" ca="1" si="121"/>
        <v>115.7961257566901</v>
      </c>
      <c r="AG276" s="306">
        <f t="shared" ca="1" si="143"/>
        <v>8.5731674912286575</v>
      </c>
      <c r="AH276" s="304">
        <f t="shared" ca="1" si="144"/>
        <v>-1.1203455494112322</v>
      </c>
    </row>
    <row r="277" spans="1:34" x14ac:dyDescent="0.2">
      <c r="A277" s="347">
        <f t="shared" ca="1" si="122"/>
        <v>0.1</v>
      </c>
      <c r="B277" s="304">
        <f t="shared" ca="1" si="123"/>
        <v>9.2999999999999847</v>
      </c>
      <c r="D277" s="306">
        <f t="shared" ca="1" si="124"/>
        <v>-0.17649761965989327</v>
      </c>
      <c r="E277" s="307">
        <f t="shared" ca="1" si="125"/>
        <v>-8.636805746067246</v>
      </c>
      <c r="F277" s="304">
        <f t="shared" ca="1" si="126"/>
        <v>8.6386089681757099</v>
      </c>
      <c r="G277" s="306">
        <f t="shared" ca="1" si="127"/>
        <v>4.524650671640968</v>
      </c>
      <c r="H277" s="307">
        <f t="shared" ca="1" si="128"/>
        <v>-31.056726682609771</v>
      </c>
      <c r="I277" s="304">
        <f t="shared" ca="1" si="129"/>
        <v>31.384593926617988</v>
      </c>
      <c r="J277" s="306">
        <f t="shared" ca="1" si="130"/>
        <v>44.843229549193111</v>
      </c>
      <c r="K277" s="307">
        <f t="shared" ca="1" si="131"/>
        <v>112.73363711715946</v>
      </c>
      <c r="L277" s="304">
        <f t="shared" ca="1" si="116"/>
        <v>121.32513413990119</v>
      </c>
      <c r="M277" s="306">
        <f t="shared" ca="1" si="132"/>
        <v>-1.4261243009543327</v>
      </c>
      <c r="N277" s="304">
        <f t="shared" ca="1" si="133"/>
        <v>-81.710903505728112</v>
      </c>
      <c r="P277" s="310">
        <f t="shared" ca="1" si="134"/>
        <v>23</v>
      </c>
      <c r="Q277" s="304">
        <f t="shared" ca="1" si="135"/>
        <v>0</v>
      </c>
      <c r="R277" s="306">
        <f t="shared" ca="1" si="136"/>
        <v>0</v>
      </c>
      <c r="S277" s="307">
        <f t="shared" ca="1" si="137"/>
        <v>2.0843000000000003</v>
      </c>
      <c r="T277" s="304">
        <f t="shared" ca="1" si="117"/>
        <v>20.446983000000003</v>
      </c>
      <c r="U277" s="311">
        <f t="shared" ca="1" si="118"/>
        <v>0</v>
      </c>
      <c r="V277" s="306">
        <f t="shared" ca="1" si="119"/>
        <v>1.211267534989509</v>
      </c>
      <c r="W277" s="304">
        <f t="shared" ca="1" si="120"/>
        <v>2.6134998244399767</v>
      </c>
      <c r="Y277" s="314" t="str">
        <f t="shared" ca="1" si="138"/>
        <v/>
      </c>
      <c r="Z277" s="315" t="str">
        <f t="shared" ca="1" si="139"/>
        <v/>
      </c>
      <c r="AA277" s="316" t="str">
        <f t="shared" ca="1" si="140"/>
        <v/>
      </c>
      <c r="AC277" s="310" t="e">
        <f t="shared" ca="1" si="141"/>
        <v>#N/A</v>
      </c>
      <c r="AD277" s="323" t="e">
        <f t="shared" ca="1" si="142"/>
        <v>#N/A</v>
      </c>
      <c r="AE277" s="324">
        <f t="shared" ca="1" si="121"/>
        <v>112.73363711715946</v>
      </c>
      <c r="AG277" s="306">
        <f t="shared" ca="1" si="143"/>
        <v>8.5144394938921177</v>
      </c>
      <c r="AH277" s="304">
        <f t="shared" ca="1" si="144"/>
        <v>-1.1863962943327337</v>
      </c>
    </row>
    <row r="278" spans="1:34" x14ac:dyDescent="0.2">
      <c r="A278" s="347">
        <f t="shared" ca="1" si="122"/>
        <v>0.1</v>
      </c>
      <c r="B278" s="304">
        <f t="shared" ca="1" si="123"/>
        <v>9.3999999999999844</v>
      </c>
      <c r="D278" s="306">
        <f t="shared" ca="1" si="124"/>
        <v>-0.18077184383253248</v>
      </c>
      <c r="E278" s="307">
        <f t="shared" ca="1" si="125"/>
        <v>-8.56920106252484</v>
      </c>
      <c r="F278" s="304">
        <f t="shared" ca="1" si="126"/>
        <v>8.5711075894250364</v>
      </c>
      <c r="G278" s="306">
        <f t="shared" ca="1" si="127"/>
        <v>4.5065734872577146</v>
      </c>
      <c r="H278" s="307">
        <f t="shared" ca="1" si="128"/>
        <v>-31.913646788862255</v>
      </c>
      <c r="I278" s="304">
        <f t="shared" ca="1" si="129"/>
        <v>32.230266147835522</v>
      </c>
      <c r="J278" s="306">
        <f t="shared" ca="1" si="130"/>
        <v>45.294790757138045</v>
      </c>
      <c r="K278" s="307">
        <f t="shared" ca="1" si="131"/>
        <v>109.58511844358586</v>
      </c>
      <c r="L278" s="304">
        <f t="shared" ca="1" si="116"/>
        <v>118.57704775388726</v>
      </c>
      <c r="M278" s="306">
        <f t="shared" ca="1" si="132"/>
        <v>-1.4305123861442834</v>
      </c>
      <c r="N278" s="304">
        <f t="shared" ca="1" si="133"/>
        <v>-81.962322267256141</v>
      </c>
      <c r="P278" s="310">
        <f t="shared" ca="1" si="134"/>
        <v>23</v>
      </c>
      <c r="Q278" s="304">
        <f t="shared" ca="1" si="135"/>
        <v>0</v>
      </c>
      <c r="R278" s="306">
        <f t="shared" ca="1" si="136"/>
        <v>0</v>
      </c>
      <c r="S278" s="307">
        <f t="shared" ca="1" si="137"/>
        <v>2.0843000000000003</v>
      </c>
      <c r="T278" s="304">
        <f t="shared" ca="1" si="117"/>
        <v>20.446983000000003</v>
      </c>
      <c r="U278" s="311">
        <f t="shared" ca="1" si="118"/>
        <v>0</v>
      </c>
      <c r="V278" s="306">
        <f t="shared" ca="1" si="119"/>
        <v>1.2116489766643399</v>
      </c>
      <c r="W278" s="304">
        <f t="shared" ca="1" si="120"/>
        <v>2.7571092405881008</v>
      </c>
      <c r="Y278" s="314" t="str">
        <f t="shared" ca="1" si="138"/>
        <v/>
      </c>
      <c r="Z278" s="315" t="str">
        <f t="shared" ca="1" si="139"/>
        <v/>
      </c>
      <c r="AA278" s="316" t="str">
        <f t="shared" ca="1" si="140"/>
        <v/>
      </c>
      <c r="AC278" s="310" t="e">
        <f t="shared" ca="1" si="141"/>
        <v>#N/A</v>
      </c>
      <c r="AD278" s="323" t="e">
        <f t="shared" ca="1" si="142"/>
        <v>#N/A</v>
      </c>
      <c r="AE278" s="324">
        <f t="shared" ca="1" si="121"/>
        <v>109.58511844358586</v>
      </c>
      <c r="AG278" s="306">
        <f t="shared" ca="1" si="143"/>
        <v>8.453619201283793</v>
      </c>
      <c r="AH278" s="304">
        <f t="shared" ca="1" si="144"/>
        <v>-1.2538981070095363</v>
      </c>
    </row>
    <row r="279" spans="1:34" x14ac:dyDescent="0.2">
      <c r="A279" s="347">
        <f t="shared" ca="1" si="122"/>
        <v>0.1</v>
      </c>
      <c r="B279" s="304">
        <f t="shared" ca="1" si="123"/>
        <v>9.499999999999984</v>
      </c>
      <c r="D279" s="306">
        <f t="shared" ca="1" si="124"/>
        <v>-0.18495935866141497</v>
      </c>
      <c r="E279" s="307">
        <f t="shared" ca="1" si="125"/>
        <v>-8.5001960748438297</v>
      </c>
      <c r="F279" s="304">
        <f t="shared" ca="1" si="126"/>
        <v>8.5022081411329182</v>
      </c>
      <c r="G279" s="306">
        <f t="shared" ca="1" si="127"/>
        <v>4.4880775513915729</v>
      </c>
      <c r="H279" s="307">
        <f t="shared" ca="1" si="128"/>
        <v>-32.763666396346636</v>
      </c>
      <c r="I279" s="304">
        <f t="shared" ca="1" si="129"/>
        <v>33.069633742126612</v>
      </c>
      <c r="J279" s="306">
        <f t="shared" ca="1" si="130"/>
        <v>45.744523309070509</v>
      </c>
      <c r="K279" s="307">
        <f t="shared" ca="1" si="131"/>
        <v>106.35125278432541</v>
      </c>
      <c r="L279" s="304">
        <f t="shared" ca="1" si="116"/>
        <v>115.77197580403291</v>
      </c>
      <c r="M279" s="306">
        <f t="shared" ca="1" si="132"/>
        <v>-1.4346602398768282</v>
      </c>
      <c r="N279" s="304">
        <f t="shared" ca="1" si="133"/>
        <v>-82.199976780168541</v>
      </c>
      <c r="P279" s="310">
        <f t="shared" ca="1" si="134"/>
        <v>23</v>
      </c>
      <c r="Q279" s="304">
        <f t="shared" ca="1" si="135"/>
        <v>0</v>
      </c>
      <c r="R279" s="306">
        <f t="shared" ca="1" si="136"/>
        <v>0</v>
      </c>
      <c r="S279" s="307">
        <f t="shared" ca="1" si="137"/>
        <v>2.0843000000000003</v>
      </c>
      <c r="T279" s="304">
        <f t="shared" ca="1" si="117"/>
        <v>20.446983000000003</v>
      </c>
      <c r="U279" s="311">
        <f t="shared" ca="1" si="118"/>
        <v>0</v>
      </c>
      <c r="V279" s="306">
        <f t="shared" ca="1" si="119"/>
        <v>1.2120408824532241</v>
      </c>
      <c r="W279" s="304">
        <f t="shared" ca="1" si="120"/>
        <v>2.9035239269495365</v>
      </c>
      <c r="Y279" s="314" t="str">
        <f t="shared" ca="1" si="138"/>
        <v/>
      </c>
      <c r="Z279" s="315" t="str">
        <f t="shared" ca="1" si="139"/>
        <v/>
      </c>
      <c r="AA279" s="316" t="str">
        <f t="shared" ca="1" si="140"/>
        <v/>
      </c>
      <c r="AC279" s="310" t="e">
        <f t="shared" ca="1" si="141"/>
        <v>#N/A</v>
      </c>
      <c r="AD279" s="323" t="e">
        <f t="shared" ca="1" si="142"/>
        <v>#N/A</v>
      </c>
      <c r="AE279" s="324">
        <f t="shared" ca="1" si="121"/>
        <v>106.35125278432541</v>
      </c>
      <c r="AG279" s="306">
        <f t="shared" ca="1" si="143"/>
        <v>8.3908311829077906</v>
      </c>
      <c r="AH279" s="304">
        <f t="shared" ca="1" si="144"/>
        <v>-1.3227986569054841</v>
      </c>
    </row>
    <row r="280" spans="1:34" x14ac:dyDescent="0.2">
      <c r="A280" s="347">
        <f t="shared" ca="1" si="122"/>
        <v>0.1</v>
      </c>
      <c r="B280" s="304">
        <f t="shared" ca="1" si="123"/>
        <v>9.5999999999999837</v>
      </c>
      <c r="D280" s="306">
        <f t="shared" ca="1" si="124"/>
        <v>-0.18905847412805343</v>
      </c>
      <c r="E280" s="307">
        <f t="shared" ca="1" si="125"/>
        <v>-8.4298436402211259</v>
      </c>
      <c r="F280" s="304">
        <f t="shared" ca="1" si="126"/>
        <v>8.4319634074879737</v>
      </c>
      <c r="G280" s="306">
        <f t="shared" ca="1" si="127"/>
        <v>4.469171703978768</v>
      </c>
      <c r="H280" s="307">
        <f t="shared" ca="1" si="128"/>
        <v>-33.606650760368751</v>
      </c>
      <c r="I280" s="304">
        <f t="shared" ca="1" si="129"/>
        <v>33.902514229021982</v>
      </c>
      <c r="J280" s="306">
        <f t="shared" ca="1" si="130"/>
        <v>46.192385771839028</v>
      </c>
      <c r="K280" s="307">
        <f t="shared" ca="1" si="131"/>
        <v>103.03273692648965</v>
      </c>
      <c r="L280" s="304">
        <f t="shared" ca="1" si="116"/>
        <v>112.9136014032748</v>
      </c>
      <c r="M280" s="306">
        <f t="shared" ca="1" si="132"/>
        <v>-1.4385873147760249</v>
      </c>
      <c r="N280" s="304">
        <f t="shared" ca="1" si="133"/>
        <v>-82.424981597724269</v>
      </c>
      <c r="P280" s="310">
        <f t="shared" ca="1" si="134"/>
        <v>23</v>
      </c>
      <c r="Q280" s="304">
        <f t="shared" ca="1" si="135"/>
        <v>0</v>
      </c>
      <c r="R280" s="306">
        <f t="shared" ca="1" si="136"/>
        <v>0</v>
      </c>
      <c r="S280" s="307">
        <f t="shared" ca="1" si="137"/>
        <v>2.0843000000000003</v>
      </c>
      <c r="T280" s="304">
        <f t="shared" ca="1" si="117"/>
        <v>20.446983000000003</v>
      </c>
      <c r="U280" s="311">
        <f t="shared" ca="1" si="118"/>
        <v>0</v>
      </c>
      <c r="V280" s="306">
        <f t="shared" ca="1" si="119"/>
        <v>1.2124431779138372</v>
      </c>
      <c r="W280" s="304">
        <f t="shared" ca="1" si="120"/>
        <v>3.052632884823538</v>
      </c>
      <c r="Y280" s="314" t="str">
        <f t="shared" ca="1" si="138"/>
        <v/>
      </c>
      <c r="Z280" s="315" t="str">
        <f t="shared" ca="1" si="139"/>
        <v/>
      </c>
      <c r="AA280" s="316" t="str">
        <f t="shared" ca="1" si="140"/>
        <v/>
      </c>
      <c r="AC280" s="310" t="e">
        <f t="shared" ca="1" si="141"/>
        <v>#N/A</v>
      </c>
      <c r="AD280" s="323" t="e">
        <f t="shared" ca="1" si="142"/>
        <v>#N/A</v>
      </c>
      <c r="AE280" s="324">
        <f t="shared" ca="1" si="121"/>
        <v>103.03273692648965</v>
      </c>
      <c r="AG280" s="306">
        <f t="shared" ca="1" si="143"/>
        <v>8.3261906634660026</v>
      </c>
      <c r="AH280" s="304">
        <f t="shared" ca="1" si="144"/>
        <v>-1.3930451120038077</v>
      </c>
    </row>
    <row r="281" spans="1:34" x14ac:dyDescent="0.2">
      <c r="A281" s="347">
        <f t="shared" ca="1" si="122"/>
        <v>0.1</v>
      </c>
      <c r="B281" s="304">
        <f t="shared" ca="1" si="123"/>
        <v>9.6999999999999833</v>
      </c>
      <c r="D281" s="306">
        <f t="shared" ca="1" si="124"/>
        <v>-0.19306763797358231</v>
      </c>
      <c r="E281" s="307">
        <f t="shared" ca="1" si="125"/>
        <v>-8.358197045834892</v>
      </c>
      <c r="F281" s="304">
        <f t="shared" ca="1" si="126"/>
        <v>8.3604266021439262</v>
      </c>
      <c r="G281" s="306">
        <f t="shared" ca="1" si="127"/>
        <v>4.4498649401814099</v>
      </c>
      <c r="H281" s="307">
        <f t="shared" ca="1" si="128"/>
        <v>-34.442470464952237</v>
      </c>
      <c r="I281" s="304">
        <f t="shared" ca="1" si="129"/>
        <v>34.728735504117665</v>
      </c>
      <c r="J281" s="306">
        <f t="shared" ca="1" si="130"/>
        <v>46.638337604047038</v>
      </c>
      <c r="K281" s="307">
        <f t="shared" ca="1" si="131"/>
        <v>99.630280865223597</v>
      </c>
      <c r="L281" s="304">
        <f t="shared" ca="1" si="116"/>
        <v>110.00603346977114</v>
      </c>
      <c r="M281" s="306">
        <f t="shared" ca="1" si="132"/>
        <v>-1.4423110275439521</v>
      </c>
      <c r="N281" s="304">
        <f t="shared" ca="1" si="133"/>
        <v>-82.638334623445488</v>
      </c>
      <c r="P281" s="310">
        <f t="shared" ca="1" si="134"/>
        <v>23</v>
      </c>
      <c r="Q281" s="304">
        <f t="shared" ca="1" si="135"/>
        <v>0</v>
      </c>
      <c r="R281" s="306">
        <f t="shared" ca="1" si="136"/>
        <v>0</v>
      </c>
      <c r="S281" s="307">
        <f t="shared" ca="1" si="137"/>
        <v>2.0843000000000003</v>
      </c>
      <c r="T281" s="304">
        <f t="shared" ca="1" si="117"/>
        <v>20.446983000000003</v>
      </c>
      <c r="U281" s="311">
        <f t="shared" ca="1" si="118"/>
        <v>0</v>
      </c>
      <c r="V281" s="306">
        <f t="shared" ca="1" si="119"/>
        <v>1.2128557871608128</v>
      </c>
      <c r="W281" s="304">
        <f t="shared" ca="1" si="120"/>
        <v>3.2043243972911948</v>
      </c>
      <c r="Y281" s="314" t="str">
        <f t="shared" ca="1" si="138"/>
        <v/>
      </c>
      <c r="Z281" s="315" t="str">
        <f t="shared" ca="1" si="139"/>
        <v/>
      </c>
      <c r="AA281" s="316" t="str">
        <f t="shared" ca="1" si="140"/>
        <v/>
      </c>
      <c r="AC281" s="310" t="e">
        <f t="shared" ca="1" si="141"/>
        <v>#N/A</v>
      </c>
      <c r="AD281" s="323" t="e">
        <f t="shared" ca="1" si="142"/>
        <v>#N/A</v>
      </c>
      <c r="AE281" s="324">
        <f t="shared" ca="1" si="121"/>
        <v>99.630280865223597</v>
      </c>
      <c r="AG281" s="306">
        <f t="shared" ca="1" si="143"/>
        <v>8.259805004120242</v>
      </c>
      <c r="AH281" s="304">
        <f t="shared" ca="1" si="144"/>
        <v>-1.4645842176383139</v>
      </c>
    </row>
    <row r="282" spans="1:34" x14ac:dyDescent="0.2">
      <c r="A282" s="347">
        <f t="shared" ca="1" si="122"/>
        <v>0.1</v>
      </c>
      <c r="B282" s="304">
        <f t="shared" ca="1" si="123"/>
        <v>9.7999999999999829</v>
      </c>
      <c r="D282" s="306">
        <f t="shared" ca="1" si="124"/>
        <v>-0.19698543098663851</v>
      </c>
      <c r="E282" s="307">
        <f t="shared" ca="1" si="125"/>
        <v>-8.2853099296297774</v>
      </c>
      <c r="F282" s="304">
        <f t="shared" ca="1" si="126"/>
        <v>8.2876512891194203</v>
      </c>
      <c r="G282" s="306">
        <f t="shared" ca="1" si="127"/>
        <v>4.4301663970827461</v>
      </c>
      <c r="H282" s="307">
        <f t="shared" ca="1" si="128"/>
        <v>-35.271001457915212</v>
      </c>
      <c r="I282" s="304">
        <f t="shared" ca="1" si="129"/>
        <v>35.548135227464435</v>
      </c>
      <c r="J282" s="306">
        <f t="shared" ca="1" si="130"/>
        <v>47.082339170910245</v>
      </c>
      <c r="K282" s="307">
        <f t="shared" ca="1" si="131"/>
        <v>96.144607269080225</v>
      </c>
      <c r="L282" s="304">
        <f t="shared" ca="1" si="116"/>
        <v>107.0538750757314</v>
      </c>
      <c r="M282" s="306">
        <f t="shared" ca="1" si="132"/>
        <v>-1.4458470168904962</v>
      </c>
      <c r="N282" s="304">
        <f t="shared" ca="1" si="133"/>
        <v>-82.840931889405681</v>
      </c>
      <c r="P282" s="310">
        <f t="shared" ca="1" si="134"/>
        <v>23</v>
      </c>
      <c r="Q282" s="304">
        <f t="shared" ca="1" si="135"/>
        <v>0</v>
      </c>
      <c r="R282" s="306">
        <f t="shared" ca="1" si="136"/>
        <v>0</v>
      </c>
      <c r="S282" s="307">
        <f t="shared" ca="1" si="137"/>
        <v>2.0843000000000003</v>
      </c>
      <c r="T282" s="304">
        <f t="shared" ca="1" si="117"/>
        <v>20.446983000000003</v>
      </c>
      <c r="U282" s="311">
        <f t="shared" ca="1" si="118"/>
        <v>0</v>
      </c>
      <c r="V282" s="306">
        <f t="shared" ca="1" si="119"/>
        <v>1.2132786329212597</v>
      </c>
      <c r="W282" s="304">
        <f t="shared" ca="1" si="120"/>
        <v>3.358486189961956</v>
      </c>
      <c r="Y282" s="314" t="str">
        <f t="shared" ca="1" si="138"/>
        <v/>
      </c>
      <c r="Z282" s="315" t="str">
        <f t="shared" ca="1" si="139"/>
        <v/>
      </c>
      <c r="AA282" s="316" t="str">
        <f t="shared" ca="1" si="140"/>
        <v/>
      </c>
      <c r="AC282" s="310" t="e">
        <f t="shared" ca="1" si="141"/>
        <v>#N/A</v>
      </c>
      <c r="AD282" s="323" t="e">
        <f t="shared" ca="1" si="142"/>
        <v>#N/A</v>
      </c>
      <c r="AE282" s="324">
        <f t="shared" ca="1" si="121"/>
        <v>96.144607269080225</v>
      </c>
      <c r="AG282" s="306">
        <f t="shared" ca="1" si="143"/>
        <v>8.1917749048894706</v>
      </c>
      <c r="AH282" s="304">
        <f t="shared" ca="1" si="144"/>
        <v>-1.5373623745579783</v>
      </c>
    </row>
    <row r="283" spans="1:34" x14ac:dyDescent="0.2">
      <c r="A283" s="347">
        <f t="shared" ca="1" si="122"/>
        <v>0.1</v>
      </c>
      <c r="B283" s="304">
        <f t="shared" ca="1" si="123"/>
        <v>9.8999999999999826</v>
      </c>
      <c r="D283" s="306">
        <f t="shared" ca="1" si="124"/>
        <v>-0.20081056281350593</v>
      </c>
      <c r="E283" s="307">
        <f t="shared" ca="1" si="125"/>
        <v>-8.2112362022284433</v>
      </c>
      <c r="F283" s="304">
        <f t="shared" ca="1" si="126"/>
        <v>8.2136913048229712</v>
      </c>
      <c r="G283" s="306">
        <f t="shared" ca="1" si="127"/>
        <v>4.4100853408013956</v>
      </c>
      <c r="H283" s="307">
        <f t="shared" ca="1" si="128"/>
        <v>-36.092125078138054</v>
      </c>
      <c r="I283" s="304">
        <f t="shared" ca="1" si="129"/>
        <v>36.360560300538729</v>
      </c>
      <c r="J283" s="306">
        <f t="shared" ca="1" si="130"/>
        <v>47.524351757804453</v>
      </c>
      <c r="K283" s="307">
        <f t="shared" ca="1" si="131"/>
        <v>92.57645094227756</v>
      </c>
      <c r="L283" s="304">
        <f t="shared" ca="1" si="116"/>
        <v>104.06230479413502</v>
      </c>
      <c r="M283" s="306">
        <f t="shared" ca="1" si="132"/>
        <v>-1.4492093634452705</v>
      </c>
      <c r="N283" s="304">
        <f t="shared" ca="1" si="133"/>
        <v>-83.033580156254601</v>
      </c>
      <c r="P283" s="310">
        <f t="shared" ca="1" si="134"/>
        <v>23</v>
      </c>
      <c r="Q283" s="304">
        <f t="shared" ca="1" si="135"/>
        <v>0</v>
      </c>
      <c r="R283" s="306">
        <f t="shared" ca="1" si="136"/>
        <v>0</v>
      </c>
      <c r="S283" s="307">
        <f t="shared" ca="1" si="137"/>
        <v>2.0843000000000003</v>
      </c>
      <c r="T283" s="304">
        <f t="shared" ca="1" si="117"/>
        <v>20.446983000000003</v>
      </c>
      <c r="U283" s="311">
        <f t="shared" ca="1" si="118"/>
        <v>0</v>
      </c>
      <c r="V283" s="306">
        <f t="shared" ca="1" si="119"/>
        <v>1.2137116365906404</v>
      </c>
      <c r="W283" s="304">
        <f t="shared" ca="1" si="120"/>
        <v>3.5150055894068672</v>
      </c>
      <c r="Y283" s="314" t="str">
        <f t="shared" ca="1" si="138"/>
        <v/>
      </c>
      <c r="Z283" s="315" t="str">
        <f t="shared" ca="1" si="139"/>
        <v/>
      </c>
      <c r="AA283" s="316" t="str">
        <f t="shared" ca="1" si="140"/>
        <v/>
      </c>
      <c r="AC283" s="310" t="e">
        <f t="shared" ca="1" si="141"/>
        <v>#N/A</v>
      </c>
      <c r="AD283" s="323" t="e">
        <f t="shared" ca="1" si="142"/>
        <v>#N/A</v>
      </c>
      <c r="AE283" s="324">
        <f t="shared" ca="1" si="121"/>
        <v>92.57645094227756</v>
      </c>
      <c r="AG283" s="306">
        <f t="shared" ca="1" si="143"/>
        <v>8.1221953839496592</v>
      </c>
      <c r="AH283" s="304">
        <f t="shared" ca="1" si="144"/>
        <v>-1.6113257160494918</v>
      </c>
    </row>
    <row r="284" spans="1:34" x14ac:dyDescent="0.2">
      <c r="A284" s="347">
        <f t="shared" ca="1" si="122"/>
        <v>0.1</v>
      </c>
      <c r="B284" s="304">
        <f t="shared" ca="1" si="123"/>
        <v>9.9999999999999822</v>
      </c>
      <c r="D284" s="306">
        <f t="shared" ca="1" si="124"/>
        <v>-0.20454186817245079</v>
      </c>
      <c r="E284" s="307">
        <f t="shared" ca="1" si="125"/>
        <v>-8.1360299701015304</v>
      </c>
      <c r="F284" s="304">
        <f t="shared" ca="1" si="126"/>
        <v>8.138600681334955</v>
      </c>
      <c r="G284" s="306">
        <f t="shared" ca="1" si="127"/>
        <v>4.3896311539841504</v>
      </c>
      <c r="H284" s="307">
        <f t="shared" ca="1" si="128"/>
        <v>-36.905728075148204</v>
      </c>
      <c r="I284" s="304">
        <f t="shared" ca="1" si="129"/>
        <v>37.165866415634795</v>
      </c>
      <c r="J284" s="306">
        <f t="shared" ca="1" si="130"/>
        <v>47.964337582543727</v>
      </c>
      <c r="K284" s="307">
        <f t="shared" ca="1" si="131"/>
        <v>88.92655828461325</v>
      </c>
      <c r="L284" s="304">
        <f t="shared" ca="1" si="116"/>
        <v>101.03717359506319</v>
      </c>
      <c r="M284" s="306">
        <f t="shared" ca="1" si="132"/>
        <v>-1.452410777995538</v>
      </c>
      <c r="N284" s="304">
        <f t="shared" ca="1" si="133"/>
        <v>-83.217007698456698</v>
      </c>
      <c r="P284" s="310">
        <f t="shared" ca="1" si="134"/>
        <v>23</v>
      </c>
      <c r="Q284" s="304">
        <f t="shared" ca="1" si="135"/>
        <v>0</v>
      </c>
      <c r="R284" s="306">
        <f t="shared" ca="1" si="136"/>
        <v>0</v>
      </c>
      <c r="S284" s="307">
        <f t="shared" ca="1" si="137"/>
        <v>2.0843000000000003</v>
      </c>
      <c r="T284" s="304">
        <f t="shared" ca="1" si="117"/>
        <v>20.446983000000003</v>
      </c>
      <c r="U284" s="311">
        <f t="shared" ca="1" si="118"/>
        <v>0</v>
      </c>
      <c r="V284" s="306">
        <f t="shared" ca="1" si="119"/>
        <v>1.2141547182889447</v>
      </c>
      <c r="W284" s="304">
        <f t="shared" ca="1" si="120"/>
        <v>3.6737696789455287</v>
      </c>
      <c r="Y284" s="314" t="str">
        <f t="shared" ca="1" si="138"/>
        <v/>
      </c>
      <c r="Z284" s="315" t="str">
        <f t="shared" ca="1" si="139"/>
        <v/>
      </c>
      <c r="AA284" s="316" t="str">
        <f t="shared" ca="1" si="140"/>
        <v/>
      </c>
      <c r="AC284" s="310">
        <f t="shared" ca="1" si="141"/>
        <v>9.9999999999999822</v>
      </c>
      <c r="AD284" s="323">
        <f t="shared" ca="1" si="142"/>
        <v>47.964337582543727</v>
      </c>
      <c r="AE284" s="324">
        <f t="shared" ca="1" si="121"/>
        <v>88.92655828461325</v>
      </c>
      <c r="AG284" s="306">
        <f t="shared" ca="1" si="143"/>
        <v>8.0511565775194995</v>
      </c>
      <c r="AH284" s="304">
        <f t="shared" ca="1" si="144"/>
        <v>-1.6864201839499433</v>
      </c>
    </row>
    <row r="285" spans="1:34" x14ac:dyDescent="0.2">
      <c r="A285" s="347">
        <f t="shared" ca="1" si="122"/>
        <v>0.1</v>
      </c>
      <c r="B285" s="304">
        <f t="shared" ca="1" si="123"/>
        <v>10.099999999999982</v>
      </c>
      <c r="D285" s="306">
        <f t="shared" ca="1" si="124"/>
        <v>-0.20817830337829193</v>
      </c>
      <c r="E285" s="307">
        <f t="shared" ca="1" si="125"/>
        <v>-8.0597454601278571</v>
      </c>
      <c r="F285" s="304">
        <f t="shared" ca="1" si="126"/>
        <v>8.062433571078218</v>
      </c>
      <c r="G285" s="306">
        <f t="shared" ca="1" si="127"/>
        <v>4.3688133236463216</v>
      </c>
      <c r="H285" s="307">
        <f t="shared" ca="1" si="128"/>
        <v>-37.711702621160988</v>
      </c>
      <c r="I285" s="304">
        <f t="shared" ca="1" si="129"/>
        <v>37.963917664589758</v>
      </c>
      <c r="J285" s="306">
        <f t="shared" ca="1" si="130"/>
        <v>48.402259806425249</v>
      </c>
      <c r="K285" s="307">
        <f t="shared" ca="1" si="131"/>
        <v>85.195686749797787</v>
      </c>
      <c r="L285" s="304">
        <f t="shared" ca="1" si="116"/>
        <v>97.985120274143455</v>
      </c>
      <c r="M285" s="306">
        <f t="shared" ca="1" si="132"/>
        <v>-1.4554627632192261</v>
      </c>
      <c r="N285" s="304">
        <f t="shared" ca="1" si="133"/>
        <v>-83.39187357091032</v>
      </c>
      <c r="P285" s="310">
        <f t="shared" ca="1" si="134"/>
        <v>23</v>
      </c>
      <c r="Q285" s="304">
        <f t="shared" ca="1" si="135"/>
        <v>0</v>
      </c>
      <c r="R285" s="306">
        <f t="shared" ca="1" si="136"/>
        <v>0</v>
      </c>
      <c r="S285" s="307">
        <f t="shared" ca="1" si="137"/>
        <v>2.0843000000000003</v>
      </c>
      <c r="T285" s="304">
        <f t="shared" ca="1" si="117"/>
        <v>20.446983000000003</v>
      </c>
      <c r="U285" s="311">
        <f t="shared" ca="1" si="118"/>
        <v>0</v>
      </c>
      <c r="V285" s="306">
        <f t="shared" ca="1" si="119"/>
        <v>1.2146077969170745</v>
      </c>
      <c r="W285" s="304">
        <f t="shared" ca="1" si="120"/>
        <v>3.8346654514712712</v>
      </c>
      <c r="Y285" s="314" t="str">
        <f t="shared" ca="1" si="138"/>
        <v/>
      </c>
      <c r="Z285" s="315" t="str">
        <f t="shared" ca="1" si="139"/>
        <v/>
      </c>
      <c r="AA285" s="316" t="str">
        <f t="shared" ca="1" si="140"/>
        <v/>
      </c>
      <c r="AC285" s="310" t="e">
        <f t="shared" ca="1" si="141"/>
        <v>#N/A</v>
      </c>
      <c r="AD285" s="323" t="e">
        <f t="shared" ca="1" si="142"/>
        <v>#N/A</v>
      </c>
      <c r="AE285" s="324">
        <f t="shared" ca="1" si="121"/>
        <v>85.195686749797787</v>
      </c>
      <c r="AG285" s="306">
        <f t="shared" ca="1" si="143"/>
        <v>7.9787443947640604</v>
      </c>
      <c r="AH285" s="304">
        <f t="shared" ca="1" si="144"/>
        <v>-1.7625916033898807</v>
      </c>
    </row>
    <row r="286" spans="1:34" x14ac:dyDescent="0.2">
      <c r="A286" s="347">
        <f t="shared" ca="1" si="122"/>
        <v>0.1</v>
      </c>
      <c r="B286" s="304">
        <f t="shared" ca="1" si="123"/>
        <v>10.199999999999982</v>
      </c>
      <c r="D286" s="306">
        <f t="shared" ca="1" si="124"/>
        <v>-0.21171894310234937</v>
      </c>
      <c r="E286" s="307">
        <f t="shared" ca="1" si="125"/>
        <v>-7.9824369456742037</v>
      </c>
      <c r="F286" s="304">
        <f t="shared" ca="1" si="126"/>
        <v>7.9852441730064143</v>
      </c>
      <c r="G286" s="306">
        <f t="shared" ca="1" si="127"/>
        <v>4.347641429336087</v>
      </c>
      <c r="H286" s="307">
        <f t="shared" ca="1" si="128"/>
        <v>-38.509946315728406</v>
      </c>
      <c r="I286" s="304">
        <f t="shared" ca="1" si="129"/>
        <v>38.75458619619571</v>
      </c>
      <c r="J286" s="306">
        <f t="shared" ca="1" si="130"/>
        <v>48.838082544074368</v>
      </c>
      <c r="K286" s="307">
        <f t="shared" ca="1" si="131"/>
        <v>81.384604302953321</v>
      </c>
      <c r="L286" s="304">
        <f t="shared" ca="1" si="116"/>
        <v>94.913708831391205</v>
      </c>
      <c r="M286" s="306">
        <f t="shared" ca="1" si="132"/>
        <v>-1.4583757531451624</v>
      </c>
      <c r="N286" s="304">
        <f t="shared" ca="1" si="133"/>
        <v>-83.558775599430604</v>
      </c>
      <c r="P286" s="310">
        <f t="shared" ca="1" si="134"/>
        <v>23</v>
      </c>
      <c r="Q286" s="304">
        <f t="shared" ca="1" si="135"/>
        <v>0</v>
      </c>
      <c r="R286" s="306">
        <f t="shared" ca="1" si="136"/>
        <v>0</v>
      </c>
      <c r="S286" s="307">
        <f t="shared" ca="1" si="137"/>
        <v>2.0843000000000003</v>
      </c>
      <c r="T286" s="304">
        <f t="shared" ca="1" si="117"/>
        <v>20.446983000000003</v>
      </c>
      <c r="U286" s="311">
        <f t="shared" ca="1" si="118"/>
        <v>0</v>
      </c>
      <c r="V286" s="306">
        <f t="shared" ca="1" si="119"/>
        <v>1.2150707902133648</v>
      </c>
      <c r="W286" s="304">
        <f t="shared" ca="1" si="120"/>
        <v>3.9975799590171954</v>
      </c>
      <c r="Y286" s="314" t="str">
        <f t="shared" ca="1" si="138"/>
        <v/>
      </c>
      <c r="Z286" s="315" t="str">
        <f t="shared" ca="1" si="139"/>
        <v/>
      </c>
      <c r="AA286" s="316" t="str">
        <f t="shared" ca="1" si="140"/>
        <v/>
      </c>
      <c r="AC286" s="310" t="e">
        <f t="shared" ca="1" si="141"/>
        <v>#N/A</v>
      </c>
      <c r="AD286" s="323" t="e">
        <f t="shared" ca="1" si="142"/>
        <v>#N/A</v>
      </c>
      <c r="AE286" s="324">
        <f t="shared" ca="1" si="121"/>
        <v>81.384604302953321</v>
      </c>
      <c r="AG286" s="306">
        <f t="shared" ca="1" si="143"/>
        <v>7.905041055018927</v>
      </c>
      <c r="AH286" s="304">
        <f t="shared" ca="1" si="144"/>
        <v>-1.8397857561153725</v>
      </c>
    </row>
    <row r="287" spans="1:34" x14ac:dyDescent="0.2">
      <c r="A287" s="347">
        <f t="shared" ca="1" si="122"/>
        <v>0.1</v>
      </c>
      <c r="B287" s="304">
        <f t="shared" ca="1" si="123"/>
        <v>10.299999999999981</v>
      </c>
      <c r="D287" s="306">
        <f t="shared" ca="1" si="124"/>
        <v>-0.21516297730811718</v>
      </c>
      <c r="E287" s="307">
        <f t="shared" ca="1" si="125"/>
        <v>-7.9041586743198398</v>
      </c>
      <c r="F287" s="304">
        <f t="shared" ca="1" si="126"/>
        <v>7.9070866604350343</v>
      </c>
      <c r="G287" s="306">
        <f t="shared" ca="1" si="127"/>
        <v>4.3261251316052753</v>
      </c>
      <c r="H287" s="307">
        <f t="shared" ca="1" si="128"/>
        <v>-39.300362183160388</v>
      </c>
      <c r="I287" s="304">
        <f t="shared" ca="1" si="129"/>
        <v>39.537751913606442</v>
      </c>
      <c r="J287" s="306">
        <f t="shared" ca="1" si="130"/>
        <v>49.271770872121436</v>
      </c>
      <c r="K287" s="307">
        <f t="shared" ca="1" si="131"/>
        <v>77.494088878008881</v>
      </c>
      <c r="L287" s="304">
        <f t="shared" ca="1" si="116"/>
        <v>91.831591600644572</v>
      </c>
      <c r="M287" s="306">
        <f t="shared" ca="1" si="132"/>
        <v>-1.4611592338214883</v>
      </c>
      <c r="N287" s="304">
        <f t="shared" ca="1" si="133"/>
        <v>-83.718257294540294</v>
      </c>
      <c r="P287" s="310">
        <f t="shared" ca="1" si="134"/>
        <v>23</v>
      </c>
      <c r="Q287" s="304">
        <f t="shared" ca="1" si="135"/>
        <v>0</v>
      </c>
      <c r="R287" s="306">
        <f t="shared" ca="1" si="136"/>
        <v>0</v>
      </c>
      <c r="S287" s="307">
        <f t="shared" ca="1" si="137"/>
        <v>2.0843000000000003</v>
      </c>
      <c r="T287" s="304">
        <f t="shared" ca="1" si="117"/>
        <v>20.446983000000003</v>
      </c>
      <c r="U287" s="311">
        <f t="shared" ca="1" si="118"/>
        <v>0</v>
      </c>
      <c r="V287" s="306">
        <f t="shared" ca="1" si="119"/>
        <v>1.2155436148101626</v>
      </c>
      <c r="W287" s="304">
        <f t="shared" ca="1" si="120"/>
        <v>4.1624004587844414</v>
      </c>
      <c r="Y287" s="314" t="str">
        <f t="shared" ca="1" si="138"/>
        <v/>
      </c>
      <c r="Z287" s="315" t="str">
        <f t="shared" ca="1" si="139"/>
        <v/>
      </c>
      <c r="AA287" s="316" t="str">
        <f t="shared" ca="1" si="140"/>
        <v/>
      </c>
      <c r="AC287" s="310" t="e">
        <f t="shared" ca="1" si="141"/>
        <v>#N/A</v>
      </c>
      <c r="AD287" s="323" t="e">
        <f t="shared" ca="1" si="142"/>
        <v>#N/A</v>
      </c>
      <c r="AE287" s="324">
        <f t="shared" ca="1" si="121"/>
        <v>77.494088878008881</v>
      </c>
      <c r="AG287" s="306">
        <f t="shared" ca="1" si="143"/>
        <v>7.8301255291080887</v>
      </c>
      <c r="AH287" s="304">
        <f t="shared" ca="1" si="144"/>
        <v>-1.9179484522464112</v>
      </c>
    </row>
    <row r="288" spans="1:34" x14ac:dyDescent="0.2">
      <c r="A288" s="347">
        <f t="shared" ca="1" si="122"/>
        <v>0.1</v>
      </c>
      <c r="B288" s="304">
        <f t="shared" ca="1" si="123"/>
        <v>10.399999999999981</v>
      </c>
      <c r="D288" s="306">
        <f t="shared" ca="1" si="124"/>
        <v>-0.21850970831520844</v>
      </c>
      <c r="E288" s="307">
        <f t="shared" ca="1" si="125"/>
        <v>-7.8249647973455865</v>
      </c>
      <c r="F288" s="304">
        <f t="shared" ca="1" si="126"/>
        <v>7.8280151106347295</v>
      </c>
      <c r="G288" s="306">
        <f t="shared" ca="1" si="127"/>
        <v>4.3042741607737547</v>
      </c>
      <c r="H288" s="307">
        <f t="shared" ca="1" si="128"/>
        <v>-40.082858662894949</v>
      </c>
      <c r="I288" s="304">
        <f t="shared" ca="1" si="129"/>
        <v>40.313302204616249</v>
      </c>
      <c r="J288" s="306">
        <f t="shared" ca="1" si="130"/>
        <v>49.703290836740386</v>
      </c>
      <c r="K288" s="307">
        <f t="shared" ca="1" si="131"/>
        <v>73.524927835706109</v>
      </c>
      <c r="L288" s="304">
        <f t="shared" ca="1" si="116"/>
        <v>88.748702149650569</v>
      </c>
      <c r="M288" s="306">
        <f t="shared" ca="1" si="132"/>
        <v>-1.4638218480680172</v>
      </c>
      <c r="N288" s="304">
        <f t="shared" ca="1" si="133"/>
        <v>-83.870813853337808</v>
      </c>
      <c r="P288" s="310">
        <f t="shared" ca="1" si="134"/>
        <v>23</v>
      </c>
      <c r="Q288" s="304">
        <f t="shared" ca="1" si="135"/>
        <v>0</v>
      </c>
      <c r="R288" s="306">
        <f t="shared" ca="1" si="136"/>
        <v>0</v>
      </c>
      <c r="S288" s="307">
        <f t="shared" ca="1" si="137"/>
        <v>2.0843000000000003</v>
      </c>
      <c r="T288" s="304">
        <f t="shared" ca="1" si="117"/>
        <v>20.446983000000003</v>
      </c>
      <c r="U288" s="311">
        <f t="shared" ca="1" si="118"/>
        <v>0</v>
      </c>
      <c r="V288" s="306">
        <f t="shared" ca="1" si="119"/>
        <v>1.2160261862903965</v>
      </c>
      <c r="W288" s="304">
        <f t="shared" ca="1" si="120"/>
        <v>4.3290145553731865</v>
      </c>
      <c r="Y288" s="314" t="str">
        <f t="shared" ca="1" si="138"/>
        <v/>
      </c>
      <c r="Z288" s="315" t="str">
        <f t="shared" ca="1" si="139"/>
        <v/>
      </c>
      <c r="AA288" s="316" t="str">
        <f t="shared" ca="1" si="140"/>
        <v/>
      </c>
      <c r="AC288" s="310" t="e">
        <f t="shared" ca="1" si="141"/>
        <v>#N/A</v>
      </c>
      <c r="AD288" s="323" t="e">
        <f t="shared" ca="1" si="142"/>
        <v>#N/A</v>
      </c>
      <c r="AE288" s="324">
        <f t="shared" ca="1" si="121"/>
        <v>73.524927835706109</v>
      </c>
      <c r="AG288" s="306">
        <f t="shared" ca="1" si="143"/>
        <v>7.7540739022143113</v>
      </c>
      <c r="AH288" s="304">
        <f t="shared" ca="1" si="144"/>
        <v>-1.9970256003379747</v>
      </c>
    </row>
    <row r="289" spans="1:34" x14ac:dyDescent="0.2">
      <c r="A289" s="347">
        <f t="shared" ca="1" si="122"/>
        <v>0.1</v>
      </c>
      <c r="B289" s="304">
        <f t="shared" ca="1" si="123"/>
        <v>10.49999999999998</v>
      </c>
      <c r="D289" s="306">
        <f t="shared" ca="1" si="124"/>
        <v>-0.22175854795393643</v>
      </c>
      <c r="E289" s="307">
        <f t="shared" ca="1" si="125"/>
        <v>-7.7449093011007069</v>
      </c>
      <c r="F289" s="304">
        <f t="shared" ca="1" si="126"/>
        <v>7.7480834363000302</v>
      </c>
      <c r="G289" s="306">
        <f t="shared" ca="1" si="127"/>
        <v>4.2820983059783613</v>
      </c>
      <c r="H289" s="307">
        <f t="shared" ca="1" si="128"/>
        <v>-40.857349593005019</v>
      </c>
      <c r="I289" s="304">
        <f t="shared" ca="1" si="129"/>
        <v>41.081131698957492</v>
      </c>
      <c r="J289" s="306">
        <f t="shared" ca="1" si="130"/>
        <v>50.132609460077994</v>
      </c>
      <c r="K289" s="307">
        <f t="shared" ca="1" si="131"/>
        <v>69.477917422911105</v>
      </c>
      <c r="L289" s="304">
        <f t="shared" ca="1" si="116"/>
        <v>85.676481841293864</v>
      </c>
      <c r="M289" s="306">
        <f t="shared" ca="1" si="132"/>
        <v>-1.466371486698407</v>
      </c>
      <c r="N289" s="304">
        <f t="shared" ca="1" si="133"/>
        <v>-84.016897386142659</v>
      </c>
      <c r="P289" s="310">
        <f t="shared" ca="1" si="134"/>
        <v>23</v>
      </c>
      <c r="Q289" s="304">
        <f t="shared" ca="1" si="135"/>
        <v>0</v>
      </c>
      <c r="R289" s="306">
        <f t="shared" ca="1" si="136"/>
        <v>0</v>
      </c>
      <c r="S289" s="307">
        <f t="shared" ca="1" si="137"/>
        <v>2.0843000000000003</v>
      </c>
      <c r="T289" s="304">
        <f t="shared" ca="1" si="117"/>
        <v>20.446983000000003</v>
      </c>
      <c r="U289" s="311">
        <f t="shared" ca="1" si="118"/>
        <v>0</v>
      </c>
      <c r="V289" s="306">
        <f t="shared" ca="1" si="119"/>
        <v>1.2165184192440623</v>
      </c>
      <c r="W289" s="304">
        <f t="shared" ca="1" si="120"/>
        <v>4.4973103389764102</v>
      </c>
      <c r="Y289" s="314" t="str">
        <f t="shared" ca="1" si="138"/>
        <v/>
      </c>
      <c r="Z289" s="315" t="str">
        <f t="shared" ca="1" si="139"/>
        <v/>
      </c>
      <c r="AA289" s="316" t="str">
        <f t="shared" ca="1" si="140"/>
        <v/>
      </c>
      <c r="AC289" s="310" t="e">
        <f t="shared" ca="1" si="141"/>
        <v>#N/A</v>
      </c>
      <c r="AD289" s="323" t="e">
        <f t="shared" ca="1" si="142"/>
        <v>#N/A</v>
      </c>
      <c r="AE289" s="324">
        <f t="shared" ca="1" si="121"/>
        <v>69.477917422911105</v>
      </c>
      <c r="AG289" s="306">
        <f t="shared" ca="1" si="143"/>
        <v>7.67695967237416</v>
      </c>
      <c r="AH289" s="304">
        <f t="shared" ca="1" si="144"/>
        <v>-2.0769632756192418</v>
      </c>
    </row>
    <row r="290" spans="1:34" x14ac:dyDescent="0.2">
      <c r="A290" s="347">
        <f t="shared" ca="1" si="122"/>
        <v>0.1</v>
      </c>
      <c r="B290" s="304">
        <f t="shared" ca="1" si="123"/>
        <v>10.59999999999998</v>
      </c>
      <c r="D290" s="306">
        <f t="shared" ca="1" si="124"/>
        <v>-0.2249090147808217</v>
      </c>
      <c r="E290" s="307">
        <f t="shared" ca="1" si="125"/>
        <v>-7.6640459403538035</v>
      </c>
      <c r="F290" s="304">
        <f t="shared" ca="1" si="126"/>
        <v>7.6673453189994838</v>
      </c>
      <c r="G290" s="306">
        <f t="shared" ca="1" si="127"/>
        <v>4.2596074045002794</v>
      </c>
      <c r="H290" s="307">
        <f t="shared" ca="1" si="128"/>
        <v>-41.623754187040397</v>
      </c>
      <c r="I290" s="304">
        <f t="shared" ca="1" si="129"/>
        <v>41.841142047793539</v>
      </c>
      <c r="J290" s="306">
        <f t="shared" ca="1" si="130"/>
        <v>50.559694745601924</v>
      </c>
      <c r="K290" s="307">
        <f t="shared" ca="1" si="131"/>
        <v>65.353862233908828</v>
      </c>
      <c r="L290" s="304">
        <f t="shared" ca="1" si="116"/>
        <v>82.628143157505249</v>
      </c>
      <c r="M290" s="306">
        <f t="shared" ca="1" si="132"/>
        <v>-1.468815368199595</v>
      </c>
      <c r="N290" s="304">
        <f t="shared" ca="1" si="133"/>
        <v>-84.156921481790832</v>
      </c>
      <c r="P290" s="310">
        <f t="shared" ca="1" si="134"/>
        <v>23</v>
      </c>
      <c r="Q290" s="304">
        <f t="shared" ca="1" si="135"/>
        <v>0</v>
      </c>
      <c r="R290" s="306">
        <f t="shared" ca="1" si="136"/>
        <v>0</v>
      </c>
      <c r="S290" s="307">
        <f t="shared" ca="1" si="137"/>
        <v>2.0843000000000003</v>
      </c>
      <c r="T290" s="304">
        <f t="shared" ca="1" si="117"/>
        <v>20.446983000000003</v>
      </c>
      <c r="U290" s="311">
        <f t="shared" ca="1" si="118"/>
        <v>0</v>
      </c>
      <c r="V290" s="306">
        <f t="shared" ca="1" si="119"/>
        <v>1.217020227324551</v>
      </c>
      <c r="W290" s="304">
        <f t="shared" ca="1" si="120"/>
        <v>4.6671765193161834</v>
      </c>
      <c r="Y290" s="314" t="str">
        <f t="shared" ca="1" si="138"/>
        <v/>
      </c>
      <c r="Z290" s="315" t="str">
        <f t="shared" ca="1" si="139"/>
        <v/>
      </c>
      <c r="AA290" s="316" t="str">
        <f t="shared" ca="1" si="140"/>
        <v/>
      </c>
      <c r="AC290" s="310" t="e">
        <f t="shared" ca="1" si="141"/>
        <v>#N/A</v>
      </c>
      <c r="AD290" s="323" t="e">
        <f t="shared" ca="1" si="142"/>
        <v>#N/A</v>
      </c>
      <c r="AE290" s="324">
        <f t="shared" ca="1" si="121"/>
        <v>65.353862233908828</v>
      </c>
      <c r="AG290" s="306">
        <f t="shared" ca="1" si="143"/>
        <v>7.5988539959967998</v>
      </c>
      <c r="AH290" s="304">
        <f t="shared" ca="1" si="144"/>
        <v>-2.1577077862958354</v>
      </c>
    </row>
    <row r="291" spans="1:34" x14ac:dyDescent="0.2">
      <c r="A291" s="347">
        <f t="shared" ca="1" si="122"/>
        <v>0.1</v>
      </c>
      <c r="B291" s="304">
        <f t="shared" ca="1" si="123"/>
        <v>10.69999999999998</v>
      </c>
      <c r="D291" s="306">
        <f t="shared" ca="1" si="124"/>
        <v>-0.22796073133179517</v>
      </c>
      <c r="E291" s="307">
        <f t="shared" ca="1" si="125"/>
        <v>-7.5824281737260817</v>
      </c>
      <c r="F291" s="304">
        <f t="shared" ca="1" si="126"/>
        <v>7.5858541447054177</v>
      </c>
      <c r="G291" s="306">
        <f t="shared" ca="1" si="127"/>
        <v>4.2368113313671003</v>
      </c>
      <c r="H291" s="307">
        <f t="shared" ca="1" si="128"/>
        <v>-42.381997004413009</v>
      </c>
      <c r="I291" s="304">
        <f t="shared" ca="1" si="129"/>
        <v>42.593241721424235</v>
      </c>
      <c r="J291" s="306">
        <f t="shared" ca="1" si="130"/>
        <v>50.984515682395291</v>
      </c>
      <c r="K291" s="307">
        <f t="shared" ca="1" si="131"/>
        <v>61.153574674336156</v>
      </c>
      <c r="L291" s="304">
        <f t="shared" ca="1" si="116"/>
        <v>79.618970947997184</v>
      </c>
      <c r="M291" s="306">
        <f t="shared" ca="1" si="132"/>
        <v>-1.4711601085305503</v>
      </c>
      <c r="N291" s="304">
        <f t="shared" ca="1" si="133"/>
        <v>-84.291265206808674</v>
      </c>
      <c r="P291" s="310">
        <f t="shared" ca="1" si="134"/>
        <v>23</v>
      </c>
      <c r="Q291" s="304">
        <f t="shared" ca="1" si="135"/>
        <v>0</v>
      </c>
      <c r="R291" s="306">
        <f t="shared" ca="1" si="136"/>
        <v>0</v>
      </c>
      <c r="S291" s="307">
        <f t="shared" ca="1" si="137"/>
        <v>2.0843000000000003</v>
      </c>
      <c r="T291" s="304">
        <f t="shared" ca="1" si="117"/>
        <v>20.446983000000003</v>
      </c>
      <c r="U291" s="311">
        <f t="shared" ca="1" si="118"/>
        <v>0</v>
      </c>
      <c r="V291" s="306">
        <f t="shared" ca="1" si="119"/>
        <v>1.2175315233047583</v>
      </c>
      <c r="W291" s="304">
        <f t="shared" ca="1" si="120"/>
        <v>4.838502555122183</v>
      </c>
      <c r="Y291" s="314" t="str">
        <f t="shared" ca="1" si="138"/>
        <v/>
      </c>
      <c r="Z291" s="315" t="str">
        <f t="shared" ca="1" si="139"/>
        <v/>
      </c>
      <c r="AA291" s="316" t="str">
        <f t="shared" ca="1" si="140"/>
        <v/>
      </c>
      <c r="AC291" s="310" t="e">
        <f t="shared" ca="1" si="141"/>
        <v>#N/A</v>
      </c>
      <c r="AD291" s="323" t="e">
        <f t="shared" ca="1" si="142"/>
        <v>#N/A</v>
      </c>
      <c r="AE291" s="324">
        <f t="shared" ca="1" si="121"/>
        <v>61.153574674336156</v>
      </c>
      <c r="AG291" s="306">
        <f t="shared" ca="1" si="143"/>
        <v>7.5198258896840979</v>
      </c>
      <c r="AH291" s="304">
        <f t="shared" ca="1" si="144"/>
        <v>-2.2392057378094243</v>
      </c>
    </row>
    <row r="292" spans="1:34" x14ac:dyDescent="0.2">
      <c r="A292" s="347">
        <f t="shared" ca="1" si="122"/>
        <v>0.1</v>
      </c>
      <c r="B292" s="304">
        <f t="shared" ca="1" si="123"/>
        <v>10.799999999999979</v>
      </c>
      <c r="D292" s="306">
        <f t="shared" ca="1" si="124"/>
        <v>-0.23091342139509849</v>
      </c>
      <c r="E292" s="307">
        <f t="shared" ca="1" si="125"/>
        <v>-7.5001091012971841</v>
      </c>
      <c r="F292" s="304">
        <f t="shared" ca="1" si="126"/>
        <v>7.5036629414933902</v>
      </c>
      <c r="G292" s="306">
        <f t="shared" ca="1" si="127"/>
        <v>4.2137199892275907</v>
      </c>
      <c r="H292" s="307">
        <f t="shared" ca="1" si="128"/>
        <v>-43.132007914542726</v>
      </c>
      <c r="I292" s="304">
        <f t="shared" ca="1" si="129"/>
        <v>43.337345821909679</v>
      </c>
      <c r="J292" s="306">
        <f t="shared" ca="1" si="130"/>
        <v>51.407042248425029</v>
      </c>
      <c r="K292" s="307">
        <f t="shared" ca="1" si="131"/>
        <v>56.877874428388367</v>
      </c>
      <c r="L292" s="304">
        <f t="shared" ca="1" si="116"/>
        <v>76.666658934786454</v>
      </c>
      <c r="M292" s="306">
        <f t="shared" ca="1" si="132"/>
        <v>-1.4734117824354613</v>
      </c>
      <c r="N292" s="304">
        <f t="shared" ca="1" si="133"/>
        <v>-84.420276618399811</v>
      </c>
      <c r="P292" s="310">
        <f t="shared" ca="1" si="134"/>
        <v>23</v>
      </c>
      <c r="Q292" s="304">
        <f t="shared" ca="1" si="135"/>
        <v>0</v>
      </c>
      <c r="R292" s="306">
        <f t="shared" ca="1" si="136"/>
        <v>0</v>
      </c>
      <c r="S292" s="307">
        <f t="shared" ca="1" si="137"/>
        <v>2.0843000000000003</v>
      </c>
      <c r="T292" s="304">
        <f t="shared" ca="1" si="117"/>
        <v>20.446983000000003</v>
      </c>
      <c r="U292" s="311">
        <f t="shared" ca="1" si="118"/>
        <v>0</v>
      </c>
      <c r="V292" s="306">
        <f t="shared" ca="1" si="119"/>
        <v>1.2180522191329082</v>
      </c>
      <c r="W292" s="304">
        <f t="shared" ca="1" si="120"/>
        <v>5.011178778972103</v>
      </c>
      <c r="Y292" s="314" t="str">
        <f t="shared" ca="1" si="138"/>
        <v/>
      </c>
      <c r="Z292" s="315" t="str">
        <f t="shared" ca="1" si="139"/>
        <v/>
      </c>
      <c r="AA292" s="316" t="str">
        <f t="shared" ca="1" si="140"/>
        <v/>
      </c>
      <c r="AC292" s="310" t="e">
        <f t="shared" ca="1" si="141"/>
        <v>#N/A</v>
      </c>
      <c r="AD292" s="323" t="e">
        <f t="shared" ca="1" si="142"/>
        <v>#N/A</v>
      </c>
      <c r="AE292" s="324">
        <f t="shared" ca="1" si="121"/>
        <v>56.877874428388367</v>
      </c>
      <c r="AG292" s="306">
        <f t="shared" ca="1" si="143"/>
        <v>7.4399423959369937</v>
      </c>
      <c r="AH292" s="304">
        <f t="shared" ca="1" si="144"/>
        <v>-2.3214040949585866</v>
      </c>
    </row>
    <row r="293" spans="1:34" x14ac:dyDescent="0.2">
      <c r="A293" s="347">
        <f t="shared" ca="1" si="122"/>
        <v>0.1</v>
      </c>
      <c r="B293" s="304">
        <f t="shared" ca="1" si="123"/>
        <v>10.899999999999979</v>
      </c>
      <c r="D293" s="306">
        <f t="shared" ca="1" si="124"/>
        <v>-0.23376690729021646</v>
      </c>
      <c r="E293" s="307">
        <f t="shared" ca="1" si="125"/>
        <v>-7.4171414044652622</v>
      </c>
      <c r="F293" s="304">
        <f t="shared" ca="1" si="126"/>
        <v>7.4208243194928789</v>
      </c>
      <c r="G293" s="306">
        <f t="shared" ca="1" si="127"/>
        <v>4.1903432984985693</v>
      </c>
      <c r="H293" s="307">
        <f t="shared" ca="1" si="128"/>
        <v>-43.873722054989251</v>
      </c>
      <c r="I293" s="304">
        <f t="shared" ca="1" si="129"/>
        <v>44.073375907884817</v>
      </c>
      <c r="J293" s="306">
        <f t="shared" ca="1" si="130"/>
        <v>51.827245412811337</v>
      </c>
      <c r="K293" s="307">
        <f t="shared" ca="1" si="131"/>
        <v>52.527587929911768</v>
      </c>
      <c r="L293" s="304">
        <f t="shared" ca="1" si="116"/>
        <v>73.791672028856937</v>
      </c>
      <c r="M293" s="306">
        <f t="shared" ca="1" si="132"/>
        <v>-1.4755759774466557</v>
      </c>
      <c r="N293" s="304">
        <f t="shared" ca="1" si="133"/>
        <v>-84.544275858584513</v>
      </c>
      <c r="P293" s="310">
        <f t="shared" ca="1" si="134"/>
        <v>23</v>
      </c>
      <c r="Q293" s="304">
        <f t="shared" ca="1" si="135"/>
        <v>0</v>
      </c>
      <c r="R293" s="306">
        <f t="shared" ca="1" si="136"/>
        <v>0</v>
      </c>
      <c r="S293" s="307">
        <f t="shared" ca="1" si="137"/>
        <v>2.0843000000000003</v>
      </c>
      <c r="T293" s="304">
        <f t="shared" ca="1" si="117"/>
        <v>20.446983000000003</v>
      </c>
      <c r="U293" s="311">
        <f t="shared" ca="1" si="118"/>
        <v>0</v>
      </c>
      <c r="V293" s="306">
        <f t="shared" ca="1" si="119"/>
        <v>1.2185822259880223</v>
      </c>
      <c r="W293" s="304">
        <f t="shared" ca="1" si="120"/>
        <v>5.1850965173335757</v>
      </c>
      <c r="Y293" s="314" t="str">
        <f t="shared" ca="1" si="138"/>
        <v/>
      </c>
      <c r="Z293" s="315" t="str">
        <f t="shared" ca="1" si="139"/>
        <v/>
      </c>
      <c r="AA293" s="316" t="str">
        <f t="shared" ca="1" si="140"/>
        <v/>
      </c>
      <c r="AC293" s="310" t="e">
        <f t="shared" ca="1" si="141"/>
        <v>#N/A</v>
      </c>
      <c r="AD293" s="323" t="e">
        <f t="shared" ca="1" si="142"/>
        <v>#N/A</v>
      </c>
      <c r="AE293" s="324">
        <f t="shared" ca="1" si="121"/>
        <v>52.527587929911768</v>
      </c>
      <c r="AG293" s="306">
        <f t="shared" ca="1" si="143"/>
        <v>7.3592687189756401</v>
      </c>
      <c r="AH293" s="304">
        <f t="shared" ca="1" si="144"/>
        <v>-2.4042502417944167</v>
      </c>
    </row>
    <row r="294" spans="1:34" x14ac:dyDescent="0.2">
      <c r="A294" s="347">
        <f t="shared" ca="1" si="122"/>
        <v>0.1</v>
      </c>
      <c r="B294" s="304">
        <f t="shared" ca="1" si="123"/>
        <v>10.999999999999979</v>
      </c>
      <c r="D294" s="306">
        <f t="shared" ca="1" si="124"/>
        <v>-0.23652110714267682</v>
      </c>
      <c r="E294" s="307">
        <f t="shared" ca="1" si="125"/>
        <v>-7.3335772881342907</v>
      </c>
      <c r="F294" s="304">
        <f t="shared" ca="1" si="126"/>
        <v>7.3373904131621002</v>
      </c>
      <c r="G294" s="306">
        <f t="shared" ca="1" si="127"/>
        <v>4.166691187784302</v>
      </c>
      <c r="H294" s="307">
        <f t="shared" ca="1" si="128"/>
        <v>-44.607079783802682</v>
      </c>
      <c r="I294" s="304">
        <f t="shared" ca="1" si="129"/>
        <v>44.801259829304989</v>
      </c>
      <c r="J294" s="306">
        <f t="shared" ca="1" si="130"/>
        <v>52.245097137125484</v>
      </c>
      <c r="K294" s="307">
        <f t="shared" ca="1" si="131"/>
        <v>48.103547837972172</v>
      </c>
      <c r="L294" s="304">
        <f t="shared" ca="1" si="116"/>
        <v>71.017613938147448</v>
      </c>
      <c r="M294" s="306">
        <f t="shared" ca="1" si="132"/>
        <v>-1.4776578415707762</v>
      </c>
      <c r="N294" s="304">
        <f t="shared" ca="1" si="133"/>
        <v>-84.663557886416328</v>
      </c>
      <c r="P294" s="310">
        <f t="shared" ca="1" si="134"/>
        <v>23</v>
      </c>
      <c r="Q294" s="304">
        <f t="shared" ca="1" si="135"/>
        <v>0</v>
      </c>
      <c r="R294" s="306">
        <f t="shared" ca="1" si="136"/>
        <v>0</v>
      </c>
      <c r="S294" s="307">
        <f t="shared" ca="1" si="137"/>
        <v>2.0843000000000003</v>
      </c>
      <c r="T294" s="304">
        <f t="shared" ca="1" si="117"/>
        <v>20.446983000000003</v>
      </c>
      <c r="U294" s="311">
        <f t="shared" ca="1" si="118"/>
        <v>0</v>
      </c>
      <c r="V294" s="306">
        <f t="shared" ca="1" si="119"/>
        <v>1.2191214543349793</v>
      </c>
      <c r="W294" s="304">
        <f t="shared" ca="1" si="120"/>
        <v>5.3601482056669898</v>
      </c>
      <c r="Y294" s="314" t="str">
        <f t="shared" ca="1" si="138"/>
        <v/>
      </c>
      <c r="Z294" s="315" t="str">
        <f t="shared" ca="1" si="139"/>
        <v/>
      </c>
      <c r="AA294" s="316" t="str">
        <f t="shared" ca="1" si="140"/>
        <v/>
      </c>
      <c r="AC294" s="310">
        <f t="shared" ca="1" si="141"/>
        <v>10.999999999999979</v>
      </c>
      <c r="AD294" s="323">
        <f t="shared" ca="1" si="142"/>
        <v>52.245097137125484</v>
      </c>
      <c r="AE294" s="324">
        <f t="shared" ca="1" si="121"/>
        <v>48.103547837972172</v>
      </c>
      <c r="AG294" s="306">
        <f t="shared" ca="1" si="143"/>
        <v>7.2778683358070655</v>
      </c>
      <c r="AH294" s="304">
        <f t="shared" ca="1" si="144"/>
        <v>-2.4876920392139206</v>
      </c>
    </row>
    <row r="295" spans="1:34" x14ac:dyDescent="0.2">
      <c r="A295" s="347">
        <f t="shared" ca="1" si="122"/>
        <v>0.1</v>
      </c>
      <c r="B295" s="304">
        <f t="shared" ca="1" si="123"/>
        <v>11.099999999999978</v>
      </c>
      <c r="D295" s="306">
        <f t="shared" ca="1" si="124"/>
        <v>-0.23917603214747965</v>
      </c>
      <c r="E295" s="307">
        <f t="shared" ca="1" si="125"/>
        <v>-7.2494684252927932</v>
      </c>
      <c r="F295" s="304">
        <f t="shared" ca="1" si="126"/>
        <v>7.2534128259510346</v>
      </c>
      <c r="G295" s="306">
        <f t="shared" ca="1" si="127"/>
        <v>4.1427735845695537</v>
      </c>
      <c r="H295" s="307">
        <f t="shared" ca="1" si="128"/>
        <v>-45.33202662633196</v>
      </c>
      <c r="I295" s="304">
        <f t="shared" ca="1" si="129"/>
        <v>45.52093157025103</v>
      </c>
      <c r="J295" s="306">
        <f t="shared" ca="1" si="130"/>
        <v>52.660570375743177</v>
      </c>
      <c r="K295" s="307">
        <f t="shared" ca="1" si="131"/>
        <v>43.606592517465444</v>
      </c>
      <c r="L295" s="304">
        <f t="shared" ca="1" si="116"/>
        <v>68.371562679836956</v>
      </c>
      <c r="M295" s="306">
        <f t="shared" ca="1" si="132"/>
        <v>-1.4796621255008942</v>
      </c>
      <c r="N295" s="304">
        <f t="shared" ca="1" si="133"/>
        <v>-84.77839489655797</v>
      </c>
      <c r="P295" s="310">
        <f t="shared" ca="1" si="134"/>
        <v>23</v>
      </c>
      <c r="Q295" s="304">
        <f t="shared" ca="1" si="135"/>
        <v>0</v>
      </c>
      <c r="R295" s="306">
        <f t="shared" ca="1" si="136"/>
        <v>0</v>
      </c>
      <c r="S295" s="307">
        <f t="shared" ca="1" si="137"/>
        <v>2.0843000000000003</v>
      </c>
      <c r="T295" s="304">
        <f t="shared" ca="1" si="117"/>
        <v>20.446983000000003</v>
      </c>
      <c r="U295" s="311">
        <f t="shared" ca="1" si="118"/>
        <v>0</v>
      </c>
      <c r="V295" s="306">
        <f t="shared" ca="1" si="119"/>
        <v>1.2196698139791031</v>
      </c>
      <c r="W295" s="304">
        <f t="shared" ca="1" si="120"/>
        <v>5.5362274984683095</v>
      </c>
      <c r="Y295" s="314" t="str">
        <f t="shared" ca="1" si="138"/>
        <v/>
      </c>
      <c r="Z295" s="315" t="str">
        <f t="shared" ca="1" si="139"/>
        <v/>
      </c>
      <c r="AA295" s="316" t="str">
        <f t="shared" ca="1" si="140"/>
        <v/>
      </c>
      <c r="AC295" s="310" t="e">
        <f t="shared" ca="1" si="141"/>
        <v>#N/A</v>
      </c>
      <c r="AD295" s="323" t="e">
        <f t="shared" ca="1" si="142"/>
        <v>#N/A</v>
      </c>
      <c r="AE295" s="324">
        <f t="shared" ca="1" si="121"/>
        <v>43.606592517465444</v>
      </c>
      <c r="AG295" s="306">
        <f t="shared" ca="1" si="143"/>
        <v>7.1958030867882634</v>
      </c>
      <c r="AH295" s="304">
        <f t="shared" ca="1" si="144"/>
        <v>-2.5716778801837497</v>
      </c>
    </row>
    <row r="296" spans="1:34" x14ac:dyDescent="0.2">
      <c r="A296" s="347">
        <f t="shared" ca="1" si="122"/>
        <v>0.1</v>
      </c>
      <c r="B296" s="304">
        <f t="shared" ca="1" si="123"/>
        <v>11.199999999999978</v>
      </c>
      <c r="D296" s="306">
        <f t="shared" ca="1" si="124"/>
        <v>-0.24173178381627772</v>
      </c>
      <c r="E296" s="307">
        <f t="shared" ca="1" si="125"/>
        <v>-7.1648659040393081</v>
      </c>
      <c r="F296" s="304">
        <f t="shared" ca="1" si="126"/>
        <v>7.168942577407913</v>
      </c>
      <c r="G296" s="306">
        <f t="shared" ca="1" si="127"/>
        <v>4.1186004061879258</v>
      </c>
      <c r="H296" s="307">
        <f t="shared" ca="1" si="128"/>
        <v>-46.048513216735891</v>
      </c>
      <c r="I296" s="304">
        <f t="shared" ca="1" si="129"/>
        <v>46.232331098244991</v>
      </c>
      <c r="J296" s="306">
        <f t="shared" ca="1" si="130"/>
        <v>53.073639075281051</v>
      </c>
      <c r="K296" s="307">
        <f t="shared" ca="1" si="131"/>
        <v>39.037565525312054</v>
      </c>
      <c r="L296" s="304">
        <f t="shared" ca="1" si="116"/>
        <v>65.884312904030736</v>
      </c>
      <c r="M296" s="306">
        <f t="shared" ca="1" si="132"/>
        <v>-1.4815932200715858</v>
      </c>
      <c r="N296" s="304">
        <f t="shared" ca="1" si="133"/>
        <v>-84.889038465299237</v>
      </c>
      <c r="P296" s="310">
        <f t="shared" ca="1" si="134"/>
        <v>23</v>
      </c>
      <c r="Q296" s="304">
        <f t="shared" ca="1" si="135"/>
        <v>0</v>
      </c>
      <c r="R296" s="306">
        <f t="shared" ca="1" si="136"/>
        <v>0</v>
      </c>
      <c r="S296" s="307">
        <f t="shared" ca="1" si="137"/>
        <v>2.0843000000000003</v>
      </c>
      <c r="T296" s="304">
        <f t="shared" ca="1" si="117"/>
        <v>20.446983000000003</v>
      </c>
      <c r="U296" s="311">
        <f t="shared" ca="1" si="118"/>
        <v>0</v>
      </c>
      <c r="V296" s="306">
        <f t="shared" ca="1" si="119"/>
        <v>1.2202272141202253</v>
      </c>
      <c r="W296" s="304">
        <f t="shared" ca="1" si="120"/>
        <v>5.7132293741502149</v>
      </c>
      <c r="Y296" s="314" t="str">
        <f t="shared" ca="1" si="138"/>
        <v/>
      </c>
      <c r="Z296" s="315" t="str">
        <f t="shared" ca="1" si="139"/>
        <v/>
      </c>
      <c r="AA296" s="316" t="str">
        <f t="shared" ca="1" si="140"/>
        <v/>
      </c>
      <c r="AC296" s="310" t="e">
        <f t="shared" ca="1" si="141"/>
        <v>#N/A</v>
      </c>
      <c r="AD296" s="323" t="e">
        <f t="shared" ca="1" si="142"/>
        <v>#N/A</v>
      </c>
      <c r="AE296" s="324">
        <f t="shared" ca="1" si="121"/>
        <v>39.037565525312054</v>
      </c>
      <c r="AG296" s="306">
        <f t="shared" ca="1" si="143"/>
        <v>7.113133249212134</v>
      </c>
      <c r="AH296" s="304">
        <f t="shared" ca="1" si="144"/>
        <v>-2.6561567425362513</v>
      </c>
    </row>
    <row r="297" spans="1:34" x14ac:dyDescent="0.2">
      <c r="A297" s="347">
        <f t="shared" ca="1" si="122"/>
        <v>0.1</v>
      </c>
      <c r="B297" s="304">
        <f t="shared" ca="1" si="123"/>
        <v>11.299999999999978</v>
      </c>
      <c r="D297" s="306">
        <f t="shared" ca="1" si="124"/>
        <v>-0.24418855120540126</v>
      </c>
      <c r="E297" s="307">
        <f t="shared" ca="1" si="125"/>
        <v>-7.0798201771010962</v>
      </c>
      <c r="F297" s="304">
        <f t="shared" ca="1" si="126"/>
        <v>7.0840300527755797</v>
      </c>
      <c r="G297" s="306">
        <f t="shared" ca="1" si="127"/>
        <v>4.0941815510673853</v>
      </c>
      <c r="H297" s="307">
        <f t="shared" ca="1" si="128"/>
        <v>-46.756495234446</v>
      </c>
      <c r="I297" s="304">
        <f t="shared" ca="1" si="129"/>
        <v>46.935404218797046</v>
      </c>
      <c r="J297" s="306">
        <f t="shared" ca="1" si="130"/>
        <v>53.484278173143814</v>
      </c>
      <c r="K297" s="307">
        <f t="shared" ca="1" si="131"/>
        <v>34.397315102752962</v>
      </c>
      <c r="L297" s="304">
        <f t="shared" ca="1" si="116"/>
        <v>63.590434013146229</v>
      </c>
      <c r="M297" s="306">
        <f t="shared" ca="1" si="132"/>
        <v>-1.4834551895689683</v>
      </c>
      <c r="N297" s="304">
        <f t="shared" ca="1" si="133"/>
        <v>-84.995721459081352</v>
      </c>
      <c r="P297" s="310">
        <f t="shared" ca="1" si="134"/>
        <v>23</v>
      </c>
      <c r="Q297" s="304">
        <f t="shared" ca="1" si="135"/>
        <v>0</v>
      </c>
      <c r="R297" s="306">
        <f t="shared" ca="1" si="136"/>
        <v>0</v>
      </c>
      <c r="S297" s="307">
        <f t="shared" ca="1" si="137"/>
        <v>2.0843000000000003</v>
      </c>
      <c r="T297" s="304">
        <f t="shared" ca="1" si="117"/>
        <v>20.446983000000003</v>
      </c>
      <c r="U297" s="311">
        <f t="shared" ca="1" si="118"/>
        <v>0</v>
      </c>
      <c r="V297" s="306">
        <f t="shared" ca="1" si="119"/>
        <v>1.2207935634061617</v>
      </c>
      <c r="W297" s="304">
        <f t="shared" ca="1" si="120"/>
        <v>5.8910502346789091</v>
      </c>
      <c r="Y297" s="314" t="str">
        <f t="shared" ca="1" si="138"/>
        <v/>
      </c>
      <c r="Z297" s="315" t="str">
        <f t="shared" ca="1" si="139"/>
        <v/>
      </c>
      <c r="AA297" s="316" t="str">
        <f t="shared" ca="1" si="140"/>
        <v/>
      </c>
      <c r="AC297" s="310" t="e">
        <f t="shared" ca="1" si="141"/>
        <v>#N/A</v>
      </c>
      <c r="AD297" s="323" t="e">
        <f t="shared" ca="1" si="142"/>
        <v>#N/A</v>
      </c>
      <c r="AE297" s="324">
        <f t="shared" ca="1" si="121"/>
        <v>34.397315102752962</v>
      </c>
      <c r="AG297" s="306">
        <f t="shared" ca="1" si="143"/>
        <v>7.0299175968548502</v>
      </c>
      <c r="AH297" s="304">
        <f t="shared" ca="1" si="144"/>
        <v>-2.7410782392890729</v>
      </c>
    </row>
    <row r="298" spans="1:34" x14ac:dyDescent="0.2">
      <c r="A298" s="347">
        <f t="shared" ca="1" si="122"/>
        <v>0.1</v>
      </c>
      <c r="B298" s="304">
        <f t="shared" ca="1" si="123"/>
        <v>11.399999999999977</v>
      </c>
      <c r="D298" s="306">
        <f t="shared" ca="1" si="124"/>
        <v>-0.24654660812342238</v>
      </c>
      <c r="E298" s="307">
        <f t="shared" ca="1" si="125"/>
        <v>-6.9943810138838902</v>
      </c>
      <c r="F298" s="304">
        <f t="shared" ca="1" si="126"/>
        <v>6.9987249551155104</v>
      </c>
      <c r="G298" s="306">
        <f t="shared" ca="1" si="127"/>
        <v>4.0695268902550428</v>
      </c>
      <c r="H298" s="307">
        <f t="shared" ca="1" si="128"/>
        <v>-47.455933335834388</v>
      </c>
      <c r="I298" s="304">
        <f t="shared" ca="1" si="129"/>
        <v>47.630102434129476</v>
      </c>
      <c r="J298" s="306">
        <f t="shared" ca="1" si="130"/>
        <v>53.892463595209932</v>
      </c>
      <c r="K298" s="307">
        <f t="shared" ca="1" si="131"/>
        <v>29.686693674238942</v>
      </c>
      <c r="L298" s="304">
        <f t="shared" ca="1" si="116"/>
        <v>61.528021369690784</v>
      </c>
      <c r="M298" s="306">
        <f t="shared" ca="1" si="132"/>
        <v>-1.4852518014196083</v>
      </c>
      <c r="N298" s="304">
        <f t="shared" ca="1" si="133"/>
        <v>-85.098659735546207</v>
      </c>
      <c r="P298" s="310">
        <f t="shared" ca="1" si="134"/>
        <v>23</v>
      </c>
      <c r="Q298" s="304">
        <f t="shared" ca="1" si="135"/>
        <v>0</v>
      </c>
      <c r="R298" s="306">
        <f t="shared" ca="1" si="136"/>
        <v>0</v>
      </c>
      <c r="S298" s="307">
        <f t="shared" ca="1" si="137"/>
        <v>2.0843000000000003</v>
      </c>
      <c r="T298" s="304">
        <f t="shared" ca="1" si="117"/>
        <v>20.446983000000003</v>
      </c>
      <c r="U298" s="311">
        <f t="shared" ca="1" si="118"/>
        <v>0</v>
      </c>
      <c r="V298" s="306">
        <f t="shared" ca="1" si="119"/>
        <v>1.2213687699855611</v>
      </c>
      <c r="W298" s="304">
        <f t="shared" ca="1" si="120"/>
        <v>6.0695879999024882</v>
      </c>
      <c r="Y298" s="314" t="str">
        <f t="shared" ca="1" si="138"/>
        <v/>
      </c>
      <c r="Z298" s="315" t="str">
        <f t="shared" ca="1" si="139"/>
        <v/>
      </c>
      <c r="AA298" s="316" t="str">
        <f t="shared" ca="1" si="140"/>
        <v/>
      </c>
      <c r="AC298" s="310" t="e">
        <f t="shared" ca="1" si="141"/>
        <v>#N/A</v>
      </c>
      <c r="AD298" s="323" t="e">
        <f t="shared" ca="1" si="142"/>
        <v>#N/A</v>
      </c>
      <c r="AE298" s="324">
        <f t="shared" ca="1" si="121"/>
        <v>29.686693674238942</v>
      </c>
      <c r="AG298" s="306">
        <f t="shared" ca="1" si="143"/>
        <v>6.9462134479399289</v>
      </c>
      <c r="AH298" s="304">
        <f t="shared" ca="1" si="144"/>
        <v>-2.8263926664486436</v>
      </c>
    </row>
    <row r="299" spans="1:34" x14ac:dyDescent="0.2">
      <c r="A299" s="347">
        <f t="shared" ca="1" si="122"/>
        <v>0.1</v>
      </c>
      <c r="B299" s="304">
        <f t="shared" ca="1" si="123"/>
        <v>11.499999999999977</v>
      </c>
      <c r="D299" s="306">
        <f t="shared" ca="1" si="124"/>
        <v>-0.24880631031827224</v>
      </c>
      <c r="E299" s="307">
        <f t="shared" ca="1" si="125"/>
        <v>-6.9085974550818428</v>
      </c>
      <c r="F299" s="304">
        <f t="shared" ca="1" si="126"/>
        <v>6.9130762599885669</v>
      </c>
      <c r="G299" s="306">
        <f t="shared" ca="1" si="127"/>
        <v>4.0446462592232155</v>
      </c>
      <c r="H299" s="307">
        <f t="shared" ca="1" si="128"/>
        <v>-48.146793081342572</v>
      </c>
      <c r="I299" s="304">
        <f t="shared" ca="1" si="129"/>
        <v>48.316382805212818</v>
      </c>
      <c r="J299" s="306">
        <f t="shared" ca="1" si="130"/>
        <v>54.298172252683848</v>
      </c>
      <c r="K299" s="307">
        <f t="shared" ca="1" si="131"/>
        <v>24.906557353380094</v>
      </c>
      <c r="L299" s="304">
        <f t="shared" ca="1" si="116"/>
        <v>59.737995523614096</v>
      </c>
      <c r="M299" s="306">
        <f t="shared" ca="1" si="132"/>
        <v>-1.4869865527080979</v>
      </c>
      <c r="N299" s="304">
        <f t="shared" ca="1" si="133"/>
        <v>-85.198053662881549</v>
      </c>
      <c r="P299" s="310">
        <f t="shared" ca="1" si="134"/>
        <v>23</v>
      </c>
      <c r="Q299" s="304">
        <f t="shared" ca="1" si="135"/>
        <v>0</v>
      </c>
      <c r="R299" s="306">
        <f t="shared" ca="1" si="136"/>
        <v>0</v>
      </c>
      <c r="S299" s="307">
        <f t="shared" ca="1" si="137"/>
        <v>2.0843000000000003</v>
      </c>
      <c r="T299" s="304">
        <f t="shared" ca="1" si="117"/>
        <v>20.446983000000003</v>
      </c>
      <c r="U299" s="311">
        <f t="shared" ca="1" si="118"/>
        <v>0</v>
      </c>
      <c r="V299" s="306">
        <f t="shared" ca="1" si="119"/>
        <v>1.2219527415600662</v>
      </c>
      <c r="W299" s="304">
        <f t="shared" ca="1" si="120"/>
        <v>6.2487421965247352</v>
      </c>
      <c r="Y299" s="314" t="str">
        <f t="shared" ca="1" si="138"/>
        <v/>
      </c>
      <c r="Z299" s="315" t="str">
        <f t="shared" ca="1" si="139"/>
        <v/>
      </c>
      <c r="AA299" s="316" t="str">
        <f t="shared" ca="1" si="140"/>
        <v/>
      </c>
      <c r="AC299" s="310" t="e">
        <f t="shared" ca="1" si="141"/>
        <v>#N/A</v>
      </c>
      <c r="AD299" s="323" t="e">
        <f t="shared" ca="1" si="142"/>
        <v>#N/A</v>
      </c>
      <c r="AE299" s="324">
        <f t="shared" ca="1" si="121"/>
        <v>24.906557353380094</v>
      </c>
      <c r="AG299" s="306">
        <f t="shared" ca="1" si="143"/>
        <v>6.8620767035758998</v>
      </c>
      <c r="AH299" s="304">
        <f t="shared" ca="1" si="144"/>
        <v>-2.9120510482667981</v>
      </c>
    </row>
    <row r="300" spans="1:34" x14ac:dyDescent="0.2">
      <c r="A300" s="347">
        <f t="shared" ca="1" si="122"/>
        <v>0.1</v>
      </c>
      <c r="B300" s="304">
        <f t="shared" ca="1" si="123"/>
        <v>11.599999999999977</v>
      </c>
      <c r="D300" s="306">
        <f t="shared" ca="1" si="124"/>
        <v>-0.25096809264498393</v>
      </c>
      <c r="E300" s="307">
        <f t="shared" ca="1" si="125"/>
        <v>-6.8225177698684849</v>
      </c>
      <c r="F300" s="304">
        <f t="shared" ca="1" si="126"/>
        <v>6.8271321727133056</v>
      </c>
      <c r="G300" s="306">
        <f t="shared" ca="1" si="127"/>
        <v>4.019549449958717</v>
      </c>
      <c r="H300" s="307">
        <f t="shared" ca="1" si="128"/>
        <v>-48.829044858329418</v>
      </c>
      <c r="I300" s="304">
        <f t="shared" ca="1" si="129"/>
        <v>48.994207816408363</v>
      </c>
      <c r="J300" s="306">
        <f t="shared" ca="1" si="130"/>
        <v>54.701382038142945</v>
      </c>
      <c r="K300" s="307">
        <f t="shared" ca="1" si="131"/>
        <v>20.057765456396496</v>
      </c>
      <c r="L300" s="304">
        <f t="shared" ca="1" si="116"/>
        <v>58.26281105462283</v>
      </c>
      <c r="M300" s="306">
        <f t="shared" ca="1" si="132"/>
        <v>-1.4886626939105279</v>
      </c>
      <c r="N300" s="304">
        <f t="shared" ca="1" si="133"/>
        <v>-85.294089479648761</v>
      </c>
      <c r="P300" s="310">
        <f t="shared" ca="1" si="134"/>
        <v>23</v>
      </c>
      <c r="Q300" s="304">
        <f t="shared" ca="1" si="135"/>
        <v>0</v>
      </c>
      <c r="R300" s="306">
        <f t="shared" ca="1" si="136"/>
        <v>0</v>
      </c>
      <c r="S300" s="307">
        <f t="shared" ca="1" si="137"/>
        <v>2.0843000000000003</v>
      </c>
      <c r="T300" s="304">
        <f t="shared" ca="1" si="117"/>
        <v>20.446983000000003</v>
      </c>
      <c r="U300" s="311">
        <f t="shared" ca="1" si="118"/>
        <v>0</v>
      </c>
      <c r="V300" s="306">
        <f t="shared" ca="1" si="119"/>
        <v>1.2225453854357522</v>
      </c>
      <c r="W300" s="304">
        <f t="shared" ca="1" si="120"/>
        <v>6.4284140416958211</v>
      </c>
      <c r="Y300" s="314" t="str">
        <f t="shared" ca="1" si="138"/>
        <v/>
      </c>
      <c r="Z300" s="315" t="str">
        <f t="shared" ca="1" si="139"/>
        <v/>
      </c>
      <c r="AA300" s="316" t="str">
        <f t="shared" ca="1" si="140"/>
        <v/>
      </c>
      <c r="AC300" s="310" t="e">
        <f t="shared" ca="1" si="141"/>
        <v>#N/A</v>
      </c>
      <c r="AD300" s="323" t="e">
        <f t="shared" ca="1" si="142"/>
        <v>#N/A</v>
      </c>
      <c r="AE300" s="324">
        <f t="shared" ca="1" si="121"/>
        <v>20.057765456396496</v>
      </c>
      <c r="AG300" s="306">
        <f t="shared" ca="1" si="143"/>
        <v>6.7775618783947866</v>
      </c>
      <c r="AH300" s="304">
        <f t="shared" ca="1" si="144"/>
        <v>-2.9980051799283856</v>
      </c>
    </row>
    <row r="301" spans="1:34" x14ac:dyDescent="0.2">
      <c r="A301" s="347">
        <f t="shared" ca="1" si="122"/>
        <v>0.1</v>
      </c>
      <c r="B301" s="304">
        <f t="shared" ca="1" si="123"/>
        <v>11.699999999999976</v>
      </c>
      <c r="D301" s="306">
        <f t="shared" ca="1" si="124"/>
        <v>-0.25303246621601871</v>
      </c>
      <c r="E301" s="307">
        <f t="shared" ca="1" si="125"/>
        <v>-6.7361894156812561</v>
      </c>
      <c r="F301" s="304">
        <f t="shared" ca="1" si="126"/>
        <v>6.7409400882143693</v>
      </c>
      <c r="G301" s="306">
        <f t="shared" ca="1" si="127"/>
        <v>3.9942462033371151</v>
      </c>
      <c r="H301" s="307">
        <f t="shared" ca="1" si="128"/>
        <v>-49.50266379989754</v>
      </c>
      <c r="I301" s="304">
        <f t="shared" ca="1" si="129"/>
        <v>49.663545242144764</v>
      </c>
      <c r="J301" s="306">
        <f t="shared" ca="1" si="130"/>
        <v>55.102071820807737</v>
      </c>
      <c r="K301" s="307">
        <f t="shared" ca="1" si="131"/>
        <v>15.141180023485148</v>
      </c>
      <c r="L301" s="304">
        <f t="shared" ca="1" si="116"/>
        <v>57.144497998049118</v>
      </c>
      <c r="M301" s="306">
        <f t="shared" ca="1" si="132"/>
        <v>-1.4902832501781291</v>
      </c>
      <c r="N301" s="304">
        <f t="shared" ca="1" si="133"/>
        <v>-85.386940514245794</v>
      </c>
      <c r="P301" s="310">
        <f t="shared" ca="1" si="134"/>
        <v>23</v>
      </c>
      <c r="Q301" s="304">
        <f t="shared" ca="1" si="135"/>
        <v>0</v>
      </c>
      <c r="R301" s="306">
        <f t="shared" ca="1" si="136"/>
        <v>0</v>
      </c>
      <c r="S301" s="307">
        <f t="shared" ca="1" si="137"/>
        <v>2.0843000000000003</v>
      </c>
      <c r="T301" s="304">
        <f t="shared" ca="1" si="117"/>
        <v>20.446983000000003</v>
      </c>
      <c r="U301" s="311">
        <f t="shared" ca="1" si="118"/>
        <v>0</v>
      </c>
      <c r="V301" s="306">
        <f t="shared" ca="1" si="119"/>
        <v>1.223146608573785</v>
      </c>
      <c r="W301" s="304">
        <f t="shared" ca="1" si="120"/>
        <v>6.6085065212080654</v>
      </c>
      <c r="Y301" s="314" t="str">
        <f t="shared" ca="1" si="138"/>
        <v/>
      </c>
      <c r="Z301" s="315" t="str">
        <f t="shared" ca="1" si="139"/>
        <v/>
      </c>
      <c r="AA301" s="316" t="str">
        <f t="shared" ca="1" si="140"/>
        <v/>
      </c>
      <c r="AC301" s="310" t="e">
        <f t="shared" ca="1" si="141"/>
        <v>#N/A</v>
      </c>
      <c r="AD301" s="323" t="e">
        <f t="shared" ca="1" si="142"/>
        <v>#N/A</v>
      </c>
      <c r="AE301" s="324">
        <f t="shared" ca="1" si="121"/>
        <v>15.141180023485148</v>
      </c>
      <c r="AG301" s="306">
        <f t="shared" ca="1" si="143"/>
        <v>6.6927221248444582</v>
      </c>
      <c r="AH301" s="304">
        <f t="shared" ca="1" si="144"/>
        <v>-3.0842076676562011</v>
      </c>
    </row>
    <row r="302" spans="1:34" x14ac:dyDescent="0.2">
      <c r="A302" s="347">
        <f t="shared" ca="1" si="122"/>
        <v>0.1</v>
      </c>
      <c r="B302" s="304">
        <f t="shared" ca="1" si="123"/>
        <v>11.799999999999976</v>
      </c>
      <c r="D302" s="306">
        <f t="shared" ca="1" si="124"/>
        <v>-0.25500001553680207</v>
      </c>
      <c r="E302" s="307">
        <f t="shared" ca="1" si="125"/>
        <v>-6.6496590006042853</v>
      </c>
      <c r="F302" s="304">
        <f t="shared" ca="1" si="126"/>
        <v>6.654546553465635</v>
      </c>
      <c r="G302" s="306">
        <f t="shared" ca="1" si="127"/>
        <v>3.9687462017834347</v>
      </c>
      <c r="H302" s="307">
        <f t="shared" ca="1" si="128"/>
        <v>-50.167629699957971</v>
      </c>
      <c r="I302" s="304">
        <f t="shared" ca="1" si="129"/>
        <v>50.324368015170101</v>
      </c>
      <c r="J302" s="306">
        <f t="shared" ca="1" si="130"/>
        <v>55.500221441063765</v>
      </c>
      <c r="K302" s="307">
        <f t="shared" ca="1" si="131"/>
        <v>10.157665348492372</v>
      </c>
      <c r="L302" s="304">
        <f t="shared" ca="1" si="116"/>
        <v>56.422094478484901</v>
      </c>
      <c r="M302" s="306">
        <f t="shared" ca="1" si="132"/>
        <v>-1.4918510404603709</v>
      </c>
      <c r="N302" s="304">
        <f t="shared" ca="1" si="133"/>
        <v>-85.476768280579861</v>
      </c>
      <c r="P302" s="310">
        <f t="shared" ca="1" si="134"/>
        <v>23</v>
      </c>
      <c r="Q302" s="304">
        <f t="shared" ca="1" si="135"/>
        <v>0</v>
      </c>
      <c r="R302" s="306">
        <f t="shared" ca="1" si="136"/>
        <v>0</v>
      </c>
      <c r="S302" s="307">
        <f t="shared" ca="1" si="137"/>
        <v>2.0843000000000003</v>
      </c>
      <c r="T302" s="304">
        <f t="shared" ca="1" si="117"/>
        <v>20.446983000000003</v>
      </c>
      <c r="U302" s="311">
        <f t="shared" ca="1" si="118"/>
        <v>0</v>
      </c>
      <c r="V302" s="306">
        <f t="shared" ca="1" si="119"/>
        <v>1.2237563176402704</v>
      </c>
      <c r="W302" s="304">
        <f t="shared" ca="1" si="120"/>
        <v>6.7889244623013845</v>
      </c>
      <c r="Y302" s="314" t="str">
        <f t="shared" ca="1" si="138"/>
        <v/>
      </c>
      <c r="Z302" s="315" t="str">
        <f t="shared" ca="1" si="139"/>
        <v/>
      </c>
      <c r="AA302" s="316" t="str">
        <f t="shared" ca="1" si="140"/>
        <v/>
      </c>
      <c r="AC302" s="310" t="e">
        <f t="shared" ca="1" si="141"/>
        <v>#N/A</v>
      </c>
      <c r="AD302" s="323" t="e">
        <f t="shared" ca="1" si="142"/>
        <v>#N/A</v>
      </c>
      <c r="AE302" s="324">
        <f t="shared" ca="1" si="121"/>
        <v>10.157665348492372</v>
      </c>
      <c r="AG302" s="306">
        <f t="shared" ca="1" si="143"/>
        <v>6.607609252359449</v>
      </c>
      <c r="AH302" s="304">
        <f t="shared" ca="1" si="144"/>
        <v>-3.1706119662275416</v>
      </c>
    </row>
    <row r="303" spans="1:34" x14ac:dyDescent="0.2">
      <c r="A303" s="347">
        <f t="shared" ca="1" si="122"/>
        <v>0.1</v>
      </c>
      <c r="B303" s="304">
        <f t="shared" ca="1" si="123"/>
        <v>11.899999999999975</v>
      </c>
      <c r="D303" s="306">
        <f t="shared" ca="1" si="124"/>
        <v>-0.25687139562966721</v>
      </c>
      <c r="E303" s="307">
        <f t="shared" ca="1" si="125"/>
        <v>-6.5629722483464263</v>
      </c>
      <c r="F303" s="304">
        <f t="shared" ca="1" si="126"/>
        <v>6.5679972325251539</v>
      </c>
      <c r="G303" s="306">
        <f t="shared" ca="1" si="127"/>
        <v>3.9430590622204682</v>
      </c>
      <c r="H303" s="307">
        <f t="shared" ca="1" si="128"/>
        <v>-50.823926924792616</v>
      </c>
      <c r="I303" s="304">
        <f t="shared" ca="1" si="129"/>
        <v>50.976654096015544</v>
      </c>
      <c r="J303" s="306">
        <f t="shared" ca="1" si="130"/>
        <v>55.895811704263963</v>
      </c>
      <c r="K303" s="307">
        <f t="shared" ca="1" si="131"/>
        <v>5.1080875172548428</v>
      </c>
      <c r="L303" s="304">
        <f t="shared" ca="1" si="116"/>
        <v>56.128729935412458</v>
      </c>
      <c r="M303" s="306">
        <f t="shared" ca="1" si="132"/>
        <v>-1.493368694718515</v>
      </c>
      <c r="N303" s="304">
        <f t="shared" ca="1" si="133"/>
        <v>-85.563723464331574</v>
      </c>
      <c r="P303" s="310">
        <f t="shared" ca="1" si="134"/>
        <v>23</v>
      </c>
      <c r="Q303" s="304">
        <f t="shared" ca="1" si="135"/>
        <v>0</v>
      </c>
      <c r="R303" s="306">
        <f t="shared" ca="1" si="136"/>
        <v>0</v>
      </c>
      <c r="S303" s="307">
        <f t="shared" ca="1" si="137"/>
        <v>2.0843000000000003</v>
      </c>
      <c r="T303" s="304">
        <f t="shared" ca="1" si="117"/>
        <v>20.446983000000003</v>
      </c>
      <c r="U303" s="311">
        <f t="shared" ca="1" si="118"/>
        <v>0</v>
      </c>
      <c r="V303" s="306">
        <f t="shared" ca="1" si="119"/>
        <v>1.224374419055247</v>
      </c>
      <c r="W303" s="304">
        <f t="shared" ca="1" si="120"/>
        <v>6.9695746010983672</v>
      </c>
      <c r="Y303" s="314" t="str">
        <f t="shared" ca="1" si="138"/>
        <v/>
      </c>
      <c r="Z303" s="315" t="str">
        <f t="shared" ca="1" si="139"/>
        <v/>
      </c>
      <c r="AA303" s="316" t="str">
        <f t="shared" ca="1" si="140"/>
        <v/>
      </c>
      <c r="AC303" s="310" t="e">
        <f t="shared" ca="1" si="141"/>
        <v>#N/A</v>
      </c>
      <c r="AD303" s="323" t="e">
        <f t="shared" ca="1" si="142"/>
        <v>#N/A</v>
      </c>
      <c r="AE303" s="324">
        <f t="shared" ca="1" si="121"/>
        <v>5.1080875172548428</v>
      </c>
      <c r="AG303" s="306">
        <f t="shared" ca="1" si="143"/>
        <v>6.5222737424431916</v>
      </c>
      <c r="AH303" s="304">
        <f t="shared" ca="1" si="144"/>
        <v>-3.2571724139046125</v>
      </c>
    </row>
    <row r="304" spans="1:34" x14ac:dyDescent="0.2">
      <c r="A304" s="347">
        <f t="shared" ca="1" si="122"/>
        <v>0.1</v>
      </c>
      <c r="B304" s="304">
        <f t="shared" ca="1" si="123"/>
        <v>11.999999999999975</v>
      </c>
      <c r="D304" s="306">
        <f t="shared" ca="1" si="124"/>
        <v>-0.25864732914980032</v>
      </c>
      <c r="E304" s="307">
        <f t="shared" ca="1" si="125"/>
        <v>-6.4761739658042083</v>
      </c>
      <c r="F304" s="304">
        <f t="shared" ca="1" si="126"/>
        <v>6.4813368741515456</v>
      </c>
      <c r="G304" s="306">
        <f t="shared" ca="1" si="127"/>
        <v>3.9171943293054881</v>
      </c>
      <c r="H304" s="307">
        <f t="shared" ca="1" si="128"/>
        <v>-51.471544321373038</v>
      </c>
      <c r="I304" s="304">
        <f t="shared" ca="1" si="129"/>
        <v>51.62038634338775</v>
      </c>
      <c r="J304" s="306">
        <f t="shared" ca="1" si="130"/>
        <v>56.288824373840264</v>
      </c>
      <c r="K304" s="307">
        <f t="shared" ca="1" si="131"/>
        <v>-6.6860450534402815E-3</v>
      </c>
      <c r="L304" s="304">
        <f t="shared" ca="1" si="116"/>
        <v>56.288824770927953</v>
      </c>
      <c r="M304" s="306">
        <f t="shared" ca="1" si="132"/>
        <v>-1.4948386694479172</v>
      </c>
      <c r="N304" s="304">
        <f t="shared" ca="1" si="133"/>
        <v>-85.647946812317215</v>
      </c>
      <c r="P304" s="310">
        <f t="shared" ca="1" si="134"/>
        <v>23</v>
      </c>
      <c r="Q304" s="304">
        <f t="shared" ca="1" si="135"/>
        <v>0</v>
      </c>
      <c r="R304" s="306">
        <f t="shared" ca="1" si="136"/>
        <v>0</v>
      </c>
      <c r="S304" s="307">
        <f t="shared" ca="1" si="137"/>
        <v>2.0843000000000003</v>
      </c>
      <c r="T304" s="304">
        <f t="shared" ca="1" si="117"/>
        <v>20.446983000000003</v>
      </c>
      <c r="U304" s="311">
        <f t="shared" ca="1" si="118"/>
        <v>0</v>
      </c>
      <c r="V304" s="306">
        <f t="shared" ca="1" si="119"/>
        <v>1.2250008190407928</v>
      </c>
      <c r="W304" s="304">
        <f t="shared" ca="1" si="120"/>
        <v>7.1503656447038333</v>
      </c>
      <c r="Y304" s="314" t="str">
        <f t="shared" ca="1" si="138"/>
        <v>Impact balistique</v>
      </c>
      <c r="Z304" s="315" t="str">
        <f t="shared" ca="1" si="139"/>
        <v/>
      </c>
      <c r="AA304" s="316" t="str">
        <f t="shared" ca="1" si="140"/>
        <v/>
      </c>
      <c r="AC304" s="310">
        <f t="shared" ca="1" si="141"/>
        <v>11.999999999999975</v>
      </c>
      <c r="AD304" s="323">
        <f t="shared" ca="1" si="142"/>
        <v>56.288824373840264</v>
      </c>
      <c r="AE304" s="324">
        <f t="shared" ca="1" si="121"/>
        <v>-6.6860450534402815E-3</v>
      </c>
      <c r="AG304" s="306">
        <f t="shared" ca="1" si="143"/>
        <v>6.4367647605338068</v>
      </c>
      <c r="AH304" s="304">
        <f t="shared" ca="1" si="144"/>
        <v>-3.3438442647883542</v>
      </c>
    </row>
    <row r="305" spans="1:34" x14ac:dyDescent="0.2">
      <c r="A305" s="347">
        <f t="shared" ca="1" si="122"/>
        <v>1E-4</v>
      </c>
      <c r="B305" s="304">
        <f t="shared" ca="1" si="123"/>
        <v>12.000099999999975</v>
      </c>
      <c r="D305" s="306">
        <f t="shared" ca="1" si="124"/>
        <v>-0.26032860349712578</v>
      </c>
      <c r="E305" s="307">
        <f t="shared" ca="1" si="125"/>
        <v>-6.3893080131923981</v>
      </c>
      <c r="F305" s="304">
        <f t="shared" ca="1" si="126"/>
        <v>6.3946092819845806</v>
      </c>
      <c r="G305" s="306">
        <f t="shared" ca="1" si="127"/>
        <v>3.9171682964451384</v>
      </c>
      <c r="H305" s="307">
        <f t="shared" ca="1" si="128"/>
        <v>-51.472183252174361</v>
      </c>
      <c r="I305" s="304">
        <f t="shared" ca="1" si="129"/>
        <v>51.621021456457967</v>
      </c>
      <c r="J305" s="306">
        <f t="shared" ca="1" si="130"/>
        <v>56.288824373840264</v>
      </c>
      <c r="K305" s="307">
        <f t="shared" ca="1" si="131"/>
        <v>-1.183323143211765E-2</v>
      </c>
      <c r="L305" s="304">
        <f t="shared" ca="1" si="116"/>
        <v>56.288825617651675</v>
      </c>
      <c r="M305" s="306">
        <f t="shared" ca="1" si="132"/>
        <v>-1.494840111550916</v>
      </c>
      <c r="N305" s="304">
        <f t="shared" ca="1" si="133"/>
        <v>-85.648029438732664</v>
      </c>
      <c r="P305" s="310">
        <f t="shared" ca="1" si="134"/>
        <v>23</v>
      </c>
      <c r="Q305" s="304">
        <f t="shared" ca="1" si="135"/>
        <v>0</v>
      </c>
      <c r="R305" s="306">
        <f t="shared" ca="1" si="136"/>
        <v>0</v>
      </c>
      <c r="S305" s="307">
        <f t="shared" ca="1" si="137"/>
        <v>2.0843000000000003</v>
      </c>
      <c r="T305" s="304">
        <f t="shared" ca="1" si="117"/>
        <v>20.446983000000003</v>
      </c>
      <c r="U305" s="311">
        <f t="shared" ca="1" si="118"/>
        <v>0</v>
      </c>
      <c r="V305" s="306">
        <f t="shared" ca="1" si="119"/>
        <v>1.2250014495717079</v>
      </c>
      <c r="W305" s="304">
        <f t="shared" ca="1" si="120"/>
        <v>7.1505452758078629</v>
      </c>
      <c r="Y305" s="314" t="str">
        <f t="shared" ca="1" si="138"/>
        <v/>
      </c>
      <c r="Z305" s="315" t="str">
        <f t="shared" ca="1" si="139"/>
        <v/>
      </c>
      <c r="AA305" s="316" t="str">
        <f t="shared" ca="1" si="140"/>
        <v/>
      </c>
      <c r="AC305" s="310">
        <f t="shared" ca="1" si="141"/>
        <v>12.000099999999975</v>
      </c>
      <c r="AD305" s="323">
        <f t="shared" ca="1" si="142"/>
        <v>56.288824373840264</v>
      </c>
      <c r="AE305" s="324">
        <f t="shared" ca="1" si="121"/>
        <v>-1.183323143211765E-2</v>
      </c>
      <c r="AG305" s="306">
        <f t="shared" ca="1" si="143"/>
        <v>6.3511301653897192</v>
      </c>
      <c r="AH305" s="304">
        <f t="shared" ca="1" si="144"/>
        <v>-3.4305837186124033</v>
      </c>
    </row>
    <row r="306" spans="1:34" x14ac:dyDescent="0.2">
      <c r="A306" s="347">
        <f t="shared" ca="1" si="122"/>
        <v>1E-4</v>
      </c>
      <c r="B306" s="304">
        <f t="shared" ca="1" si="123"/>
        <v>12.000199999999975</v>
      </c>
      <c r="D306" s="306">
        <f t="shared" ca="1" si="124"/>
        <v>-0.26033021034403692</v>
      </c>
      <c r="E306" s="307">
        <f t="shared" ca="1" si="125"/>
        <v>-6.389221703324373</v>
      </c>
      <c r="F306" s="304">
        <f t="shared" ca="1" si="126"/>
        <v>6.3945231090871015</v>
      </c>
      <c r="G306" s="306">
        <f t="shared" ca="1" si="127"/>
        <v>3.917142263424104</v>
      </c>
      <c r="H306" s="307">
        <f t="shared" ca="1" si="128"/>
        <v>-51.472822174344692</v>
      </c>
      <c r="I306" s="304">
        <f t="shared" ca="1" si="129"/>
        <v>51.62165656101724</v>
      </c>
      <c r="J306" s="306">
        <f t="shared" ca="1" si="130"/>
        <v>56.288824373840264</v>
      </c>
      <c r="K306" s="307">
        <f t="shared" ca="1" si="131"/>
        <v>-1.6980481703443604E-2</v>
      </c>
      <c r="L306" s="304">
        <f t="shared" ca="1" si="116"/>
        <v>56.288826935065835</v>
      </c>
      <c r="M306" s="306">
        <f t="shared" ca="1" si="132"/>
        <v>-1.4948415536088464</v>
      </c>
      <c r="N306" s="304">
        <f t="shared" ca="1" si="133"/>
        <v>-85.648112062565886</v>
      </c>
      <c r="P306" s="310">
        <f t="shared" ca="1" si="134"/>
        <v>23</v>
      </c>
      <c r="Q306" s="304">
        <f t="shared" ca="1" si="135"/>
        <v>0</v>
      </c>
      <c r="R306" s="306">
        <f t="shared" ca="1" si="136"/>
        <v>0</v>
      </c>
      <c r="S306" s="307">
        <f t="shared" ca="1" si="137"/>
        <v>2.0843000000000003</v>
      </c>
      <c r="T306" s="304">
        <f t="shared" ca="1" si="117"/>
        <v>20.446983000000003</v>
      </c>
      <c r="U306" s="311">
        <f t="shared" ca="1" si="118"/>
        <v>0</v>
      </c>
      <c r="V306" s="306">
        <f t="shared" ca="1" si="119"/>
        <v>1.225002080110775</v>
      </c>
      <c r="W306" s="304">
        <f t="shared" ca="1" si="120"/>
        <v>7.1507249069475112</v>
      </c>
      <c r="Y306" s="314" t="str">
        <f t="shared" ca="1" si="138"/>
        <v/>
      </c>
      <c r="Z306" s="315" t="str">
        <f t="shared" ca="1" si="139"/>
        <v/>
      </c>
      <c r="AA306" s="316" t="str">
        <f t="shared" ca="1" si="140"/>
        <v/>
      </c>
      <c r="AC306" s="310">
        <f t="shared" ca="1" si="141"/>
        <v>12.000199999999975</v>
      </c>
      <c r="AD306" s="323">
        <f t="shared" ca="1" si="142"/>
        <v>56.288824373840264</v>
      </c>
      <c r="AE306" s="324">
        <f t="shared" ca="1" si="121"/>
        <v>-1.6980481703443604E-2</v>
      </c>
      <c r="AG306" s="306">
        <f t="shared" ca="1" si="143"/>
        <v>6.3510450559807818</v>
      </c>
      <c r="AH306" s="304">
        <f t="shared" ca="1" si="144"/>
        <v>-3.4306699015534527</v>
      </c>
    </row>
    <row r="307" spans="1:34" x14ac:dyDescent="0.2">
      <c r="A307" s="347">
        <f t="shared" ca="1" si="122"/>
        <v>1E-4</v>
      </c>
      <c r="B307" s="304">
        <f t="shared" ca="1" si="123"/>
        <v>12.000299999999974</v>
      </c>
      <c r="D307" s="306">
        <f t="shared" ca="1" si="124"/>
        <v>-0.26033181709802372</v>
      </c>
      <c r="E307" s="307">
        <f t="shared" ca="1" si="125"/>
        <v>-6.3891353934392923</v>
      </c>
      <c r="F307" s="304">
        <f t="shared" ca="1" si="126"/>
        <v>6.3944369361728972</v>
      </c>
      <c r="G307" s="306">
        <f t="shared" ca="1" si="127"/>
        <v>3.9171162302423941</v>
      </c>
      <c r="H307" s="307">
        <f t="shared" ca="1" si="128"/>
        <v>-51.473461087884033</v>
      </c>
      <c r="I307" s="304">
        <f t="shared" ca="1" si="129"/>
        <v>51.62229165706556</v>
      </c>
      <c r="J307" s="306">
        <f t="shared" ca="1" si="130"/>
        <v>56.288824373840264</v>
      </c>
      <c r="K307" s="307">
        <f t="shared" ca="1" si="131"/>
        <v>-2.2127795866555042E-2</v>
      </c>
      <c r="L307" s="304">
        <f t="shared" ca="1" si="116"/>
        <v>56.288828723187905</v>
      </c>
      <c r="M307" s="306">
        <f t="shared" ca="1" si="132"/>
        <v>-1.4948429956217104</v>
      </c>
      <c r="N307" s="304">
        <f t="shared" ca="1" si="133"/>
        <v>-85.64819468381701</v>
      </c>
      <c r="P307" s="310">
        <f t="shared" ca="1" si="134"/>
        <v>23</v>
      </c>
      <c r="Q307" s="304">
        <f t="shared" ca="1" si="135"/>
        <v>0</v>
      </c>
      <c r="R307" s="306">
        <f t="shared" ca="1" si="136"/>
        <v>0</v>
      </c>
      <c r="S307" s="307">
        <f t="shared" ca="1" si="137"/>
        <v>2.0843000000000003</v>
      </c>
      <c r="T307" s="304">
        <f t="shared" ca="1" si="117"/>
        <v>20.446983000000003</v>
      </c>
      <c r="U307" s="311">
        <f t="shared" ca="1" si="118"/>
        <v>0</v>
      </c>
      <c r="V307" s="306">
        <f t="shared" ca="1" si="119"/>
        <v>1.2250027106579926</v>
      </c>
      <c r="W307" s="304">
        <f t="shared" ca="1" si="120"/>
        <v>7.1509045381226786</v>
      </c>
      <c r="Y307" s="314" t="str">
        <f t="shared" ca="1" si="138"/>
        <v/>
      </c>
      <c r="Z307" s="315" t="str">
        <f t="shared" ca="1" si="139"/>
        <v/>
      </c>
      <c r="AA307" s="316" t="str">
        <f t="shared" ca="1" si="140"/>
        <v/>
      </c>
      <c r="AC307" s="310">
        <f t="shared" ca="1" si="141"/>
        <v>12.000299999999974</v>
      </c>
      <c r="AD307" s="323">
        <f t="shared" ca="1" si="142"/>
        <v>56.288824373840264</v>
      </c>
      <c r="AE307" s="324">
        <f t="shared" ca="1" si="121"/>
        <v>-2.2127795866555042E-2</v>
      </c>
      <c r="AG307" s="306">
        <f t="shared" ca="1" si="143"/>
        <v>6.3509599465008613</v>
      </c>
      <c r="AH307" s="304">
        <f t="shared" ca="1" si="144"/>
        <v>-3.4307560845115916</v>
      </c>
    </row>
    <row r="308" spans="1:34" x14ac:dyDescent="0.2">
      <c r="A308" s="347">
        <f t="shared" ca="1" si="122"/>
        <v>1E-4</v>
      </c>
      <c r="B308" s="304">
        <f t="shared" ca="1" si="123"/>
        <v>12.000399999999974</v>
      </c>
      <c r="D308" s="306">
        <f t="shared" ca="1" si="124"/>
        <v>-0.26033342375908713</v>
      </c>
      <c r="E308" s="307">
        <f t="shared" ca="1" si="125"/>
        <v>-6.3890490835372047</v>
      </c>
      <c r="F308" s="304">
        <f t="shared" ca="1" si="126"/>
        <v>6.3943507632420138</v>
      </c>
      <c r="G308" s="306">
        <f t="shared" ca="1" si="127"/>
        <v>3.917090196900018</v>
      </c>
      <c r="H308" s="307">
        <f t="shared" ca="1" si="128"/>
        <v>-51.474099992792389</v>
      </c>
      <c r="I308" s="304">
        <f t="shared" ca="1" si="129"/>
        <v>51.622926744602921</v>
      </c>
      <c r="J308" s="306">
        <f t="shared" ca="1" si="130"/>
        <v>56.288824373840264</v>
      </c>
      <c r="K308" s="307">
        <f t="shared" ca="1" si="131"/>
        <v>-2.7275173920588862E-2</v>
      </c>
      <c r="L308" s="304">
        <f t="shared" ca="1" si="116"/>
        <v>56.288830982035385</v>
      </c>
      <c r="M308" s="306">
        <f t="shared" ca="1" si="132"/>
        <v>-1.4948444375895102</v>
      </c>
      <c r="N308" s="304">
        <f t="shared" ca="1" si="133"/>
        <v>-85.648277302486122</v>
      </c>
      <c r="P308" s="310">
        <f t="shared" ca="1" si="134"/>
        <v>23</v>
      </c>
      <c r="Q308" s="304">
        <f t="shared" ca="1" si="135"/>
        <v>0</v>
      </c>
      <c r="R308" s="306">
        <f t="shared" ca="1" si="136"/>
        <v>0</v>
      </c>
      <c r="S308" s="307">
        <f t="shared" ca="1" si="137"/>
        <v>2.0843000000000003</v>
      </c>
      <c r="T308" s="304">
        <f t="shared" ca="1" si="117"/>
        <v>20.446983000000003</v>
      </c>
      <c r="U308" s="311">
        <f t="shared" ca="1" si="118"/>
        <v>0</v>
      </c>
      <c r="V308" s="306">
        <f t="shared" ca="1" si="119"/>
        <v>1.2250033412133621</v>
      </c>
      <c r="W308" s="304">
        <f t="shared" ca="1" si="120"/>
        <v>7.1510841693332896</v>
      </c>
      <c r="Y308" s="314" t="str">
        <f t="shared" ca="1" si="138"/>
        <v/>
      </c>
      <c r="Z308" s="315" t="str">
        <f t="shared" ca="1" si="139"/>
        <v/>
      </c>
      <c r="AA308" s="316" t="str">
        <f t="shared" ca="1" si="140"/>
        <v/>
      </c>
      <c r="AC308" s="310">
        <f t="shared" ca="1" si="141"/>
        <v>12.000399999999974</v>
      </c>
      <c r="AD308" s="323">
        <f t="shared" ca="1" si="142"/>
        <v>56.288824373840264</v>
      </c>
      <c r="AE308" s="324">
        <f t="shared" ca="1" si="121"/>
        <v>-2.7275173920588862E-2</v>
      </c>
      <c r="AG308" s="306">
        <f t="shared" ca="1" si="143"/>
        <v>6.3508748369500116</v>
      </c>
      <c r="AH308" s="304">
        <f t="shared" ca="1" si="144"/>
        <v>-3.4308422674867716</v>
      </c>
    </row>
    <row r="309" spans="1:34" x14ac:dyDescent="0.2">
      <c r="A309" s="347">
        <f t="shared" ca="1" si="122"/>
        <v>1E-4</v>
      </c>
      <c r="B309" s="304">
        <f t="shared" ca="1" si="123"/>
        <v>12.000499999999974</v>
      </c>
      <c r="D309" s="306">
        <f t="shared" ca="1" si="124"/>
        <v>-0.26033503032722843</v>
      </c>
      <c r="E309" s="307">
        <f t="shared" ca="1" si="125"/>
        <v>-6.3889627736181449</v>
      </c>
      <c r="F309" s="304">
        <f t="shared" ca="1" si="126"/>
        <v>6.3942645902944877</v>
      </c>
      <c r="G309" s="306">
        <f t="shared" ca="1" si="127"/>
        <v>3.9170641633969852</v>
      </c>
      <c r="H309" s="307">
        <f t="shared" ca="1" si="128"/>
        <v>-51.474738889069748</v>
      </c>
      <c r="I309" s="304">
        <f t="shared" ca="1" si="129"/>
        <v>51.623561823629316</v>
      </c>
      <c r="J309" s="306">
        <f t="shared" ca="1" si="130"/>
        <v>56.288824373840264</v>
      </c>
      <c r="K309" s="307">
        <f t="shared" ca="1" si="131"/>
        <v>-3.2422615864681967E-2</v>
      </c>
      <c r="L309" s="304">
        <f t="shared" ca="1" si="116"/>
        <v>56.288833711625735</v>
      </c>
      <c r="M309" s="306">
        <f t="shared" ca="1" si="132"/>
        <v>-1.4948458795122483</v>
      </c>
      <c r="N309" s="304">
        <f t="shared" ca="1" si="133"/>
        <v>-85.648359918573405</v>
      </c>
      <c r="P309" s="310">
        <f t="shared" ca="1" si="134"/>
        <v>23</v>
      </c>
      <c r="Q309" s="304">
        <f t="shared" ca="1" si="135"/>
        <v>0</v>
      </c>
      <c r="R309" s="306">
        <f t="shared" ca="1" si="136"/>
        <v>0</v>
      </c>
      <c r="S309" s="307">
        <f t="shared" ca="1" si="137"/>
        <v>2.0843000000000003</v>
      </c>
      <c r="T309" s="304">
        <f t="shared" ca="1" si="117"/>
        <v>20.446983000000003</v>
      </c>
      <c r="U309" s="311">
        <f t="shared" ca="1" si="118"/>
        <v>0</v>
      </c>
      <c r="V309" s="306">
        <f t="shared" ca="1" si="119"/>
        <v>1.2250039717768826</v>
      </c>
      <c r="W309" s="304">
        <f t="shared" ca="1" si="120"/>
        <v>7.1512638005792528</v>
      </c>
      <c r="Y309" s="314" t="str">
        <f t="shared" ca="1" si="138"/>
        <v/>
      </c>
      <c r="Z309" s="315" t="str">
        <f t="shared" ca="1" si="139"/>
        <v/>
      </c>
      <c r="AA309" s="316" t="str">
        <f t="shared" ca="1" si="140"/>
        <v/>
      </c>
      <c r="AC309" s="310">
        <f t="shared" ca="1" si="141"/>
        <v>12.000499999999974</v>
      </c>
      <c r="AD309" s="323">
        <f t="shared" ca="1" si="142"/>
        <v>56.288824373840264</v>
      </c>
      <c r="AE309" s="324">
        <f t="shared" ca="1" si="121"/>
        <v>-3.2422615864681967E-2</v>
      </c>
      <c r="AG309" s="306">
        <f t="shared" ca="1" si="143"/>
        <v>6.350789727328273</v>
      </c>
      <c r="AH309" s="304">
        <f t="shared" ca="1" si="144"/>
        <v>-3.4309284504789566</v>
      </c>
    </row>
    <row r="310" spans="1:34" x14ac:dyDescent="0.2">
      <c r="A310" s="347">
        <f t="shared" ca="1" si="122"/>
        <v>1E-4</v>
      </c>
      <c r="B310" s="304">
        <f t="shared" ca="1" si="123"/>
        <v>12.000599999999974</v>
      </c>
      <c r="D310" s="306">
        <f t="shared" ca="1" si="124"/>
        <v>-0.26033663680244756</v>
      </c>
      <c r="E310" s="307">
        <f t="shared" ca="1" si="125"/>
        <v>-6.3888764636821591</v>
      </c>
      <c r="F310" s="304">
        <f t="shared" ca="1" si="126"/>
        <v>6.394178417330366</v>
      </c>
      <c r="G310" s="306">
        <f t="shared" ca="1" si="127"/>
        <v>3.9170381297333048</v>
      </c>
      <c r="H310" s="307">
        <f t="shared" ca="1" si="128"/>
        <v>-51.475377776716115</v>
      </c>
      <c r="I310" s="304">
        <f t="shared" ca="1" si="129"/>
        <v>51.624196894144745</v>
      </c>
      <c r="J310" s="306">
        <f t="shared" ca="1" si="130"/>
        <v>56.288824373840264</v>
      </c>
      <c r="K310" s="307">
        <f t="shared" ca="1" si="131"/>
        <v>-3.7570121697971262E-2</v>
      </c>
      <c r="L310" s="304">
        <f t="shared" ca="1" si="116"/>
        <v>56.288836911976411</v>
      </c>
      <c r="M310" s="306">
        <f t="shared" ca="1" si="132"/>
        <v>-1.4948473213899267</v>
      </c>
      <c r="N310" s="304">
        <f t="shared" ca="1" si="133"/>
        <v>-85.648442532078946</v>
      </c>
      <c r="P310" s="310">
        <f t="shared" ca="1" si="134"/>
        <v>23</v>
      </c>
      <c r="Q310" s="304">
        <f t="shared" ca="1" si="135"/>
        <v>0</v>
      </c>
      <c r="R310" s="306">
        <f t="shared" ca="1" si="136"/>
        <v>0</v>
      </c>
      <c r="S310" s="307">
        <f t="shared" ca="1" si="137"/>
        <v>2.0843000000000003</v>
      </c>
      <c r="T310" s="304">
        <f t="shared" ca="1" si="117"/>
        <v>20.446983000000003</v>
      </c>
      <c r="U310" s="311">
        <f t="shared" ca="1" si="118"/>
        <v>0</v>
      </c>
      <c r="V310" s="306">
        <f t="shared" ca="1" si="119"/>
        <v>1.2250046023485537</v>
      </c>
      <c r="W310" s="304">
        <f t="shared" ca="1" si="120"/>
        <v>7.151443431860482</v>
      </c>
      <c r="Y310" s="314" t="str">
        <f t="shared" ca="1" si="138"/>
        <v/>
      </c>
      <c r="Z310" s="315" t="str">
        <f t="shared" ca="1" si="139"/>
        <v/>
      </c>
      <c r="AA310" s="316" t="str">
        <f t="shared" ca="1" si="140"/>
        <v/>
      </c>
      <c r="AC310" s="310">
        <f t="shared" ca="1" si="141"/>
        <v>12.000599999999974</v>
      </c>
      <c r="AD310" s="323">
        <f t="shared" ca="1" si="142"/>
        <v>56.288824373840264</v>
      </c>
      <c r="AE310" s="324">
        <f t="shared" ca="1" si="121"/>
        <v>-3.7570121697971262E-2</v>
      </c>
      <c r="AG310" s="306">
        <f t="shared" ca="1" si="143"/>
        <v>6.3507046176356923</v>
      </c>
      <c r="AH310" s="304">
        <f t="shared" ca="1" si="144"/>
        <v>-3.4310146334881026</v>
      </c>
    </row>
    <row r="311" spans="1:34" x14ac:dyDescent="0.2">
      <c r="A311" s="347">
        <f t="shared" ca="1" si="122"/>
        <v>1E-4</v>
      </c>
      <c r="B311" s="304">
        <f t="shared" ca="1" si="123"/>
        <v>12.000699999999973</v>
      </c>
      <c r="D311" s="306">
        <f t="shared" ca="1" si="124"/>
        <v>-0.26033824318474597</v>
      </c>
      <c r="E311" s="307">
        <f t="shared" ca="1" si="125"/>
        <v>-6.3887901537292873</v>
      </c>
      <c r="F311" s="304">
        <f t="shared" ca="1" si="126"/>
        <v>6.3940922443496859</v>
      </c>
      <c r="G311" s="306">
        <f t="shared" ca="1" si="127"/>
        <v>3.9170120959089862</v>
      </c>
      <c r="H311" s="307">
        <f t="shared" ca="1" si="128"/>
        <v>-51.476016655731492</v>
      </c>
      <c r="I311" s="304">
        <f t="shared" ca="1" si="129"/>
        <v>51.624831956149194</v>
      </c>
      <c r="J311" s="306">
        <f t="shared" ca="1" si="130"/>
        <v>56.288824373840264</v>
      </c>
      <c r="K311" s="307">
        <f t="shared" ca="1" si="131"/>
        <v>-4.271769141959364E-2</v>
      </c>
      <c r="L311" s="304">
        <f t="shared" ca="1" si="116"/>
        <v>56.288840583104871</v>
      </c>
      <c r="M311" s="306">
        <f t="shared" ca="1" si="132"/>
        <v>-1.4948487632225476</v>
      </c>
      <c r="N311" s="304">
        <f t="shared" ca="1" si="133"/>
        <v>-85.648525143002885</v>
      </c>
      <c r="P311" s="310">
        <f t="shared" ca="1" si="134"/>
        <v>23</v>
      </c>
      <c r="Q311" s="304">
        <f t="shared" ca="1" si="135"/>
        <v>0</v>
      </c>
      <c r="R311" s="306">
        <f t="shared" ca="1" si="136"/>
        <v>0</v>
      </c>
      <c r="S311" s="307">
        <f t="shared" ca="1" si="137"/>
        <v>2.0843000000000003</v>
      </c>
      <c r="T311" s="304">
        <f t="shared" ca="1" si="117"/>
        <v>20.446983000000003</v>
      </c>
      <c r="U311" s="311">
        <f t="shared" ca="1" si="118"/>
        <v>0</v>
      </c>
      <c r="V311" s="306">
        <f t="shared" ca="1" si="119"/>
        <v>1.225005232928376</v>
      </c>
      <c r="W311" s="304">
        <f t="shared" ca="1" si="120"/>
        <v>7.1516230631768947</v>
      </c>
      <c r="Y311" s="314" t="str">
        <f t="shared" ca="1" si="138"/>
        <v/>
      </c>
      <c r="Z311" s="315" t="str">
        <f t="shared" ca="1" si="139"/>
        <v/>
      </c>
      <c r="AA311" s="316" t="str">
        <f t="shared" ca="1" si="140"/>
        <v/>
      </c>
      <c r="AC311" s="310">
        <f t="shared" ca="1" si="141"/>
        <v>12.000699999999973</v>
      </c>
      <c r="AD311" s="323">
        <f t="shared" ca="1" si="142"/>
        <v>56.288824373840264</v>
      </c>
      <c r="AE311" s="324">
        <f t="shared" ca="1" si="121"/>
        <v>-4.271769141959364E-2</v>
      </c>
      <c r="AG311" s="306">
        <f t="shared" ca="1" si="143"/>
        <v>6.3506195078723113</v>
      </c>
      <c r="AH311" s="304">
        <f t="shared" ca="1" si="144"/>
        <v>-3.4311008165141685</v>
      </c>
    </row>
    <row r="312" spans="1:34" x14ac:dyDescent="0.2">
      <c r="A312" s="347">
        <f t="shared" ca="1" si="122"/>
        <v>1E-4</v>
      </c>
      <c r="B312" s="304">
        <f t="shared" ca="1" si="123"/>
        <v>12.000799999999973</v>
      </c>
      <c r="D312" s="306">
        <f t="shared" ca="1" si="124"/>
        <v>-0.2603398494741247</v>
      </c>
      <c r="E312" s="307">
        <f t="shared" ca="1" si="125"/>
        <v>-6.3887038437595702</v>
      </c>
      <c r="F312" s="304">
        <f t="shared" ca="1" si="126"/>
        <v>6.3940060713524911</v>
      </c>
      <c r="G312" s="306">
        <f t="shared" ca="1" si="127"/>
        <v>3.9169860619240389</v>
      </c>
      <c r="H312" s="307">
        <f t="shared" ca="1" si="128"/>
        <v>-51.47665552611587</v>
      </c>
      <c r="I312" s="304">
        <f t="shared" ca="1" si="129"/>
        <v>51.625467009642662</v>
      </c>
      <c r="J312" s="306">
        <f t="shared" ca="1" si="130"/>
        <v>56.288824373840264</v>
      </c>
      <c r="K312" s="307">
        <f t="shared" ca="1" si="131"/>
        <v>-4.7865325028686005E-2</v>
      </c>
      <c r="L312" s="304">
        <f t="shared" ca="1" si="116"/>
        <v>56.288844725028547</v>
      </c>
      <c r="M312" s="306">
        <f t="shared" ca="1" si="132"/>
        <v>-1.4948502050101129</v>
      </c>
      <c r="N312" s="304">
        <f t="shared" ca="1" si="133"/>
        <v>-85.648607751345338</v>
      </c>
      <c r="P312" s="310">
        <f t="shared" ca="1" si="134"/>
        <v>23</v>
      </c>
      <c r="Q312" s="304">
        <f t="shared" ca="1" si="135"/>
        <v>0</v>
      </c>
      <c r="R312" s="306">
        <f t="shared" ca="1" si="136"/>
        <v>0</v>
      </c>
      <c r="S312" s="307">
        <f t="shared" ca="1" si="137"/>
        <v>2.0843000000000003</v>
      </c>
      <c r="T312" s="304">
        <f t="shared" ca="1" si="117"/>
        <v>20.446983000000003</v>
      </c>
      <c r="U312" s="311">
        <f t="shared" ca="1" si="118"/>
        <v>0</v>
      </c>
      <c r="V312" s="306">
        <f t="shared" ca="1" si="119"/>
        <v>1.225005863516349</v>
      </c>
      <c r="W312" s="304">
        <f t="shared" ca="1" si="120"/>
        <v>7.1518026945284028</v>
      </c>
      <c r="Y312" s="314" t="str">
        <f t="shared" ca="1" si="138"/>
        <v/>
      </c>
      <c r="Z312" s="315" t="str">
        <f t="shared" ca="1" si="139"/>
        <v/>
      </c>
      <c r="AA312" s="316" t="str">
        <f t="shared" ca="1" si="140"/>
        <v/>
      </c>
      <c r="AC312" s="310">
        <f t="shared" ca="1" si="141"/>
        <v>12.000799999999973</v>
      </c>
      <c r="AD312" s="323">
        <f t="shared" ca="1" si="142"/>
        <v>56.288824373840264</v>
      </c>
      <c r="AE312" s="324">
        <f t="shared" ca="1" si="121"/>
        <v>-4.7865325028686005E-2</v>
      </c>
      <c r="AG312" s="306">
        <f t="shared" ca="1" si="143"/>
        <v>6.3505343980381799</v>
      </c>
      <c r="AH312" s="304">
        <f t="shared" ca="1" si="144"/>
        <v>-3.4311869995571147</v>
      </c>
    </row>
    <row r="313" spans="1:34" x14ac:dyDescent="0.2">
      <c r="A313" s="347">
        <f t="shared" ca="1" si="122"/>
        <v>1E-4</v>
      </c>
      <c r="B313" s="304">
        <f t="shared" ca="1" si="123"/>
        <v>12.000899999999973</v>
      </c>
      <c r="D313" s="306">
        <f t="shared" ca="1" si="124"/>
        <v>-0.26034145567058525</v>
      </c>
      <c r="E313" s="307">
        <f t="shared" ca="1" si="125"/>
        <v>-6.3886175337730489</v>
      </c>
      <c r="F313" s="304">
        <f t="shared" ca="1" si="126"/>
        <v>6.3939198983388206</v>
      </c>
      <c r="G313" s="306">
        <f t="shared" ca="1" si="127"/>
        <v>3.916960027778472</v>
      </c>
      <c r="H313" s="307">
        <f t="shared" ca="1" si="128"/>
        <v>-51.47729438786925</v>
      </c>
      <c r="I313" s="304">
        <f t="shared" ca="1" si="129"/>
        <v>51.626102054625136</v>
      </c>
      <c r="J313" s="306">
        <f t="shared" ca="1" si="130"/>
        <v>56.288824373840264</v>
      </c>
      <c r="K313" s="307">
        <f t="shared" ca="1" si="131"/>
        <v>-5.3013022524385264E-2</v>
      </c>
      <c r="L313" s="304">
        <f t="shared" ca="1" si="116"/>
        <v>56.288849337764859</v>
      </c>
      <c r="M313" s="306">
        <f t="shared" ca="1" si="132"/>
        <v>-1.4948516467526254</v>
      </c>
      <c r="N313" s="304">
        <f t="shared" ca="1" si="133"/>
        <v>-85.648690357106446</v>
      </c>
      <c r="P313" s="310">
        <f t="shared" ca="1" si="134"/>
        <v>23</v>
      </c>
      <c r="Q313" s="304">
        <f t="shared" ca="1" si="135"/>
        <v>0</v>
      </c>
      <c r="R313" s="306">
        <f t="shared" ca="1" si="136"/>
        <v>0</v>
      </c>
      <c r="S313" s="307">
        <f t="shared" ca="1" si="137"/>
        <v>2.0843000000000003</v>
      </c>
      <c r="T313" s="304">
        <f t="shared" ca="1" si="117"/>
        <v>20.446983000000003</v>
      </c>
      <c r="U313" s="311">
        <f t="shared" ca="1" si="118"/>
        <v>0</v>
      </c>
      <c r="V313" s="306">
        <f t="shared" ca="1" si="119"/>
        <v>1.225006494112473</v>
      </c>
      <c r="W313" s="304">
        <f t="shared" ca="1" si="120"/>
        <v>7.1519823259149193</v>
      </c>
      <c r="Y313" s="314" t="str">
        <f t="shared" ca="1" si="138"/>
        <v/>
      </c>
      <c r="Z313" s="315" t="str">
        <f t="shared" ca="1" si="139"/>
        <v/>
      </c>
      <c r="AA313" s="316" t="str">
        <f t="shared" ca="1" si="140"/>
        <v/>
      </c>
      <c r="AC313" s="310">
        <f t="shared" ca="1" si="141"/>
        <v>12.000899999999973</v>
      </c>
      <c r="AD313" s="323">
        <f t="shared" ca="1" si="142"/>
        <v>56.288824373840264</v>
      </c>
      <c r="AE313" s="324">
        <f t="shared" ca="1" si="121"/>
        <v>-5.3013022524385264E-2</v>
      </c>
      <c r="AG313" s="306">
        <f t="shared" ca="1" si="143"/>
        <v>6.3504492881333388</v>
      </c>
      <c r="AH313" s="304">
        <f t="shared" ca="1" si="144"/>
        <v>-3.4312731826168985</v>
      </c>
    </row>
    <row r="314" spans="1:34" x14ac:dyDescent="0.2">
      <c r="A314" s="347">
        <f t="shared" ca="1" si="122"/>
        <v>1E-4</v>
      </c>
      <c r="B314" s="304">
        <f t="shared" ca="1" si="123"/>
        <v>12.000999999999973</v>
      </c>
      <c r="D314" s="306">
        <f t="shared" ca="1" si="124"/>
        <v>-0.26034306177412703</v>
      </c>
      <c r="E314" s="307">
        <f t="shared" ca="1" si="125"/>
        <v>-6.388531223769764</v>
      </c>
      <c r="F314" s="304">
        <f t="shared" ca="1" si="126"/>
        <v>6.3938337253087152</v>
      </c>
      <c r="G314" s="306">
        <f t="shared" ca="1" si="127"/>
        <v>3.9169339934722944</v>
      </c>
      <c r="H314" s="307">
        <f t="shared" ca="1" si="128"/>
        <v>-51.477933240991625</v>
      </c>
      <c r="I314" s="304">
        <f t="shared" ca="1" si="129"/>
        <v>51.626737091096601</v>
      </c>
      <c r="J314" s="306">
        <f t="shared" ca="1" si="130"/>
        <v>56.288824373840264</v>
      </c>
      <c r="K314" s="307">
        <f t="shared" ca="1" si="131"/>
        <v>-5.8160783905828309E-2</v>
      </c>
      <c r="L314" s="304">
        <f t="shared" ca="1" si="116"/>
        <v>56.288854421331216</v>
      </c>
      <c r="M314" s="306">
        <f t="shared" ca="1" si="132"/>
        <v>-1.494853088450087</v>
      </c>
      <c r="N314" s="304">
        <f t="shared" ca="1" si="133"/>
        <v>-85.648772960286337</v>
      </c>
      <c r="P314" s="310">
        <f t="shared" ca="1" si="134"/>
        <v>23</v>
      </c>
      <c r="Q314" s="304">
        <f t="shared" ca="1" si="135"/>
        <v>0</v>
      </c>
      <c r="R314" s="306">
        <f t="shared" ca="1" si="136"/>
        <v>0</v>
      </c>
      <c r="S314" s="307">
        <f t="shared" ca="1" si="137"/>
        <v>2.0843000000000003</v>
      </c>
      <c r="T314" s="304">
        <f t="shared" ca="1" si="117"/>
        <v>20.446983000000003</v>
      </c>
      <c r="U314" s="311">
        <f t="shared" ca="1" si="118"/>
        <v>0</v>
      </c>
      <c r="V314" s="306">
        <f t="shared" ca="1" si="119"/>
        <v>1.2250071247167473</v>
      </c>
      <c r="W314" s="304">
        <f t="shared" ca="1" si="120"/>
        <v>7.1521619573363537</v>
      </c>
      <c r="Y314" s="314" t="str">
        <f t="shared" ca="1" si="138"/>
        <v/>
      </c>
      <c r="Z314" s="315" t="str">
        <f t="shared" ca="1" si="139"/>
        <v/>
      </c>
      <c r="AA314" s="316" t="str">
        <f t="shared" ca="1" si="140"/>
        <v/>
      </c>
      <c r="AC314" s="310">
        <f t="shared" ca="1" si="141"/>
        <v>12.000999999999973</v>
      </c>
      <c r="AD314" s="323">
        <f t="shared" ca="1" si="142"/>
        <v>56.288824373840264</v>
      </c>
      <c r="AE314" s="324">
        <f t="shared" ca="1" si="121"/>
        <v>-5.8160783905828309E-2</v>
      </c>
      <c r="AG314" s="306">
        <f t="shared" ca="1" si="143"/>
        <v>6.3503641781578342</v>
      </c>
      <c r="AH314" s="304">
        <f t="shared" ca="1" si="144"/>
        <v>-3.4313593656934791</v>
      </c>
    </row>
    <row r="315" spans="1:34" x14ac:dyDescent="0.2">
      <c r="A315" s="347">
        <f t="shared" ca="1" si="122"/>
        <v>1E-4</v>
      </c>
      <c r="B315" s="304">
        <f t="shared" ca="1" si="123"/>
        <v>12.001099999999973</v>
      </c>
      <c r="D315" s="306">
        <f t="shared" ca="1" si="124"/>
        <v>-0.26034466778475124</v>
      </c>
      <c r="E315" s="307">
        <f t="shared" ca="1" si="125"/>
        <v>-6.3884449137497619</v>
      </c>
      <c r="F315" s="304">
        <f t="shared" ca="1" si="126"/>
        <v>6.393747552262222</v>
      </c>
      <c r="G315" s="306">
        <f t="shared" ca="1" si="127"/>
        <v>3.916907959005516</v>
      </c>
      <c r="H315" s="307">
        <f t="shared" ca="1" si="128"/>
        <v>-51.478572085483002</v>
      </c>
      <c r="I315" s="304">
        <f t="shared" ca="1" si="129"/>
        <v>51.627372119057064</v>
      </c>
      <c r="J315" s="306">
        <f t="shared" ca="1" si="130"/>
        <v>56.288824373840264</v>
      </c>
      <c r="K315" s="307">
        <f t="shared" ca="1" si="131"/>
        <v>-6.3308609172152044E-2</v>
      </c>
      <c r="L315" s="304">
        <f t="shared" ca="1" si="116"/>
        <v>56.288859975745012</v>
      </c>
      <c r="M315" s="306">
        <f t="shared" ca="1" si="132"/>
        <v>-1.4948545301024998</v>
      </c>
      <c r="N315" s="304">
        <f t="shared" ca="1" si="133"/>
        <v>-85.64885556088511</v>
      </c>
      <c r="P315" s="310">
        <f t="shared" ca="1" si="134"/>
        <v>23</v>
      </c>
      <c r="Q315" s="304">
        <f t="shared" ca="1" si="135"/>
        <v>0</v>
      </c>
      <c r="R315" s="306">
        <f t="shared" ca="1" si="136"/>
        <v>0</v>
      </c>
      <c r="S315" s="307">
        <f t="shared" ca="1" si="137"/>
        <v>2.0843000000000003</v>
      </c>
      <c r="T315" s="304">
        <f t="shared" ca="1" si="117"/>
        <v>20.446983000000003</v>
      </c>
      <c r="U315" s="311">
        <f t="shared" ca="1" si="118"/>
        <v>0</v>
      </c>
      <c r="V315" s="306">
        <f t="shared" ca="1" si="119"/>
        <v>1.2250077553291727</v>
      </c>
      <c r="W315" s="304">
        <f t="shared" ca="1" si="120"/>
        <v>7.1523415887926296</v>
      </c>
      <c r="Y315" s="314" t="str">
        <f t="shared" ca="1" si="138"/>
        <v/>
      </c>
      <c r="Z315" s="315" t="str">
        <f t="shared" ca="1" si="139"/>
        <v/>
      </c>
      <c r="AA315" s="316" t="str">
        <f t="shared" ca="1" si="140"/>
        <v/>
      </c>
      <c r="AC315" s="310" t="e">
        <f t="shared" ca="1" si="141"/>
        <v>#N/A</v>
      </c>
      <c r="AD315" s="323" t="e">
        <f t="shared" ca="1" si="142"/>
        <v>#N/A</v>
      </c>
      <c r="AE315" s="324">
        <f t="shared" ca="1" si="121"/>
        <v>-6.3308609172152044E-2</v>
      </c>
      <c r="AG315" s="306">
        <f t="shared" ca="1" si="143"/>
        <v>6.3502790681117141</v>
      </c>
      <c r="AH315" s="304">
        <f t="shared" ca="1" si="144"/>
        <v>-3.4314455487868121</v>
      </c>
    </row>
    <row r="316" spans="1:34" x14ac:dyDescent="0.2">
      <c r="A316" s="347">
        <f t="shared" ca="1" si="122"/>
        <v>1E-4</v>
      </c>
      <c r="B316" s="304">
        <f t="shared" ca="1" si="123"/>
        <v>12.001199999999972</v>
      </c>
      <c r="D316" s="306">
        <f t="shared" ca="1" si="124"/>
        <v>-0.26034627370245994</v>
      </c>
      <c r="E316" s="307">
        <f t="shared" ca="1" si="125"/>
        <v>-6.388358603713078</v>
      </c>
      <c r="F316" s="304">
        <f t="shared" ca="1" si="126"/>
        <v>6.3936613791993757</v>
      </c>
      <c r="G316" s="306">
        <f t="shared" ca="1" si="127"/>
        <v>3.9168819243781456</v>
      </c>
      <c r="H316" s="307">
        <f t="shared" ca="1" si="128"/>
        <v>-51.479210921343373</v>
      </c>
      <c r="I316" s="304">
        <f t="shared" ca="1" si="129"/>
        <v>51.628007138506511</v>
      </c>
      <c r="J316" s="306">
        <f t="shared" ca="1" si="130"/>
        <v>56.288824373840264</v>
      </c>
      <c r="K316" s="307">
        <f t="shared" ca="1" si="131"/>
        <v>-6.845649832249337E-2</v>
      </c>
      <c r="L316" s="304">
        <f t="shared" ca="1" si="116"/>
        <v>56.288866001023656</v>
      </c>
      <c r="M316" s="306">
        <f t="shared" ca="1" si="132"/>
        <v>-1.4948559717098659</v>
      </c>
      <c r="N316" s="304">
        <f t="shared" ca="1" si="133"/>
        <v>-85.648938158902908</v>
      </c>
      <c r="P316" s="310">
        <f t="shared" ca="1" si="134"/>
        <v>23</v>
      </c>
      <c r="Q316" s="304">
        <f t="shared" ca="1" si="135"/>
        <v>0</v>
      </c>
      <c r="R316" s="306">
        <f t="shared" ca="1" si="136"/>
        <v>0</v>
      </c>
      <c r="S316" s="307">
        <f t="shared" ca="1" si="137"/>
        <v>2.0843000000000003</v>
      </c>
      <c r="T316" s="304">
        <f t="shared" ca="1" si="117"/>
        <v>20.446983000000003</v>
      </c>
      <c r="U316" s="311">
        <f t="shared" ca="1" si="118"/>
        <v>0</v>
      </c>
      <c r="V316" s="306">
        <f t="shared" ca="1" si="119"/>
        <v>1.2250083859497485</v>
      </c>
      <c r="W316" s="304">
        <f t="shared" ca="1" si="120"/>
        <v>7.1525212202836519</v>
      </c>
      <c r="Y316" s="314" t="str">
        <f t="shared" ca="1" si="138"/>
        <v/>
      </c>
      <c r="Z316" s="315" t="str">
        <f t="shared" ca="1" si="139"/>
        <v/>
      </c>
      <c r="AA316" s="316" t="str">
        <f t="shared" ca="1" si="140"/>
        <v/>
      </c>
      <c r="AC316" s="310" t="e">
        <f t="shared" ca="1" si="141"/>
        <v>#N/A</v>
      </c>
      <c r="AD316" s="323" t="e">
        <f t="shared" ca="1" si="142"/>
        <v>#N/A</v>
      </c>
      <c r="AE316" s="324">
        <f t="shared" ca="1" si="121"/>
        <v>-6.845649832249337E-2</v>
      </c>
      <c r="AG316" s="306">
        <f t="shared" ca="1" si="143"/>
        <v>6.3501939579950193</v>
      </c>
      <c r="AH316" s="304">
        <f t="shared" ca="1" si="144"/>
        <v>-3.4315317318968614</v>
      </c>
    </row>
    <row r="317" spans="1:34" x14ac:dyDescent="0.2">
      <c r="A317" s="347">
        <f t="shared" ca="1" si="122"/>
        <v>1E-4</v>
      </c>
      <c r="B317" s="304">
        <f t="shared" ca="1" si="123"/>
        <v>12.001299999999972</v>
      </c>
      <c r="D317" s="306">
        <f t="shared" ca="1" si="124"/>
        <v>-0.26034787952725374</v>
      </c>
      <c r="E317" s="307">
        <f t="shared" ca="1" si="125"/>
        <v>-6.3882722936597585</v>
      </c>
      <c r="F317" s="304">
        <f t="shared" ca="1" si="126"/>
        <v>6.3935752061202233</v>
      </c>
      <c r="G317" s="306">
        <f t="shared" ca="1" si="127"/>
        <v>3.916855889590193</v>
      </c>
      <c r="H317" s="307">
        <f t="shared" ca="1" si="128"/>
        <v>-51.47984974857274</v>
      </c>
      <c r="I317" s="304">
        <f t="shared" ca="1" si="129"/>
        <v>51.628642149444936</v>
      </c>
      <c r="J317" s="306">
        <f t="shared" ca="1" si="130"/>
        <v>56.288824373840264</v>
      </c>
      <c r="K317" s="307">
        <f t="shared" ca="1" si="131"/>
        <v>-7.360445135598917E-2</v>
      </c>
      <c r="L317" s="304">
        <f t="shared" ca="1" si="116"/>
        <v>56.288872497184499</v>
      </c>
      <c r="M317" s="306">
        <f t="shared" ca="1" si="132"/>
        <v>-1.4948574132721879</v>
      </c>
      <c r="N317" s="304">
        <f t="shared" ca="1" si="133"/>
        <v>-85.649020754339858</v>
      </c>
      <c r="P317" s="310">
        <f t="shared" ca="1" si="134"/>
        <v>23</v>
      </c>
      <c r="Q317" s="304">
        <f t="shared" ca="1" si="135"/>
        <v>0</v>
      </c>
      <c r="R317" s="306">
        <f t="shared" ca="1" si="136"/>
        <v>0</v>
      </c>
      <c r="S317" s="307">
        <f t="shared" ca="1" si="137"/>
        <v>2.0843000000000003</v>
      </c>
      <c r="T317" s="304">
        <f t="shared" ca="1" si="117"/>
        <v>20.446983000000003</v>
      </c>
      <c r="U317" s="311">
        <f t="shared" ca="1" si="118"/>
        <v>0</v>
      </c>
      <c r="V317" s="306">
        <f t="shared" ca="1" si="119"/>
        <v>1.2250090165784739</v>
      </c>
      <c r="W317" s="304">
        <f t="shared" ca="1" si="120"/>
        <v>7.1527008518093336</v>
      </c>
      <c r="Y317" s="314" t="str">
        <f t="shared" ca="1" si="138"/>
        <v/>
      </c>
      <c r="Z317" s="315" t="str">
        <f t="shared" ca="1" si="139"/>
        <v/>
      </c>
      <c r="AA317" s="316" t="str">
        <f t="shared" ca="1" si="140"/>
        <v/>
      </c>
      <c r="AC317" s="310" t="e">
        <f t="shared" ca="1" si="141"/>
        <v>#N/A</v>
      </c>
      <c r="AD317" s="323" t="e">
        <f t="shared" ca="1" si="142"/>
        <v>#N/A</v>
      </c>
      <c r="AE317" s="324">
        <f t="shared" ca="1" si="121"/>
        <v>-7.360445135598917E-2</v>
      </c>
      <c r="AG317" s="306">
        <f t="shared" ca="1" si="143"/>
        <v>6.3501088478077961</v>
      </c>
      <c r="AH317" s="304">
        <f t="shared" ca="1" si="144"/>
        <v>-3.4316179150235815</v>
      </c>
    </row>
    <row r="318" spans="1:34" x14ac:dyDescent="0.2">
      <c r="A318" s="347">
        <f t="shared" ca="1" si="122"/>
        <v>1E-4</v>
      </c>
      <c r="B318" s="304">
        <f t="shared" ca="1" si="123"/>
        <v>12.001399999999972</v>
      </c>
      <c r="D318" s="306">
        <f t="shared" ca="1" si="124"/>
        <v>-0.26034948525913248</v>
      </c>
      <c r="E318" s="307">
        <f t="shared" ca="1" si="125"/>
        <v>-6.3881859835898442</v>
      </c>
      <c r="F318" s="304">
        <f t="shared" ca="1" si="126"/>
        <v>6.393489033024804</v>
      </c>
      <c r="G318" s="306">
        <f t="shared" ca="1" si="127"/>
        <v>3.9168298546416671</v>
      </c>
      <c r="H318" s="307">
        <f t="shared" ca="1" si="128"/>
        <v>-51.480488567171101</v>
      </c>
      <c r="I318" s="304">
        <f t="shared" ca="1" si="129"/>
        <v>51.629277151872337</v>
      </c>
      <c r="J318" s="306">
        <f t="shared" ca="1" si="130"/>
        <v>56.288824373840264</v>
      </c>
      <c r="K318" s="307">
        <f t="shared" ca="1" si="131"/>
        <v>-7.8752468271776357E-2</v>
      </c>
      <c r="L318" s="304">
        <f t="shared" ca="1" si="116"/>
        <v>56.288879464244914</v>
      </c>
      <c r="M318" s="306">
        <f t="shared" ca="1" si="132"/>
        <v>-1.4948588547894677</v>
      </c>
      <c r="N318" s="304">
        <f t="shared" ca="1" si="133"/>
        <v>-85.649103347196089</v>
      </c>
      <c r="P318" s="310">
        <f t="shared" ca="1" si="134"/>
        <v>23</v>
      </c>
      <c r="Q318" s="304">
        <f t="shared" ca="1" si="135"/>
        <v>0</v>
      </c>
      <c r="R318" s="306">
        <f t="shared" ca="1" si="136"/>
        <v>0</v>
      </c>
      <c r="S318" s="307">
        <f t="shared" ca="1" si="137"/>
        <v>2.0843000000000003</v>
      </c>
      <c r="T318" s="304">
        <f t="shared" ca="1" si="117"/>
        <v>20.446983000000003</v>
      </c>
      <c r="U318" s="311">
        <f t="shared" ca="1" si="118"/>
        <v>0</v>
      </c>
      <c r="V318" s="306">
        <f t="shared" ca="1" si="119"/>
        <v>1.2250096472153504</v>
      </c>
      <c r="W318" s="304">
        <f t="shared" ca="1" si="120"/>
        <v>7.1528804833695983</v>
      </c>
      <c r="Y318" s="314" t="str">
        <f t="shared" ca="1" si="138"/>
        <v/>
      </c>
      <c r="Z318" s="315" t="str">
        <f t="shared" ca="1" si="139"/>
        <v/>
      </c>
      <c r="AA318" s="316" t="str">
        <f t="shared" ca="1" si="140"/>
        <v/>
      </c>
      <c r="AC318" s="310" t="e">
        <f t="shared" ca="1" si="141"/>
        <v>#N/A</v>
      </c>
      <c r="AD318" s="323" t="e">
        <f t="shared" ca="1" si="142"/>
        <v>#N/A</v>
      </c>
      <c r="AE318" s="324">
        <f t="shared" ca="1" si="121"/>
        <v>-7.8752468271776357E-2</v>
      </c>
      <c r="AG318" s="306">
        <f t="shared" ca="1" si="143"/>
        <v>6.3500237375500905</v>
      </c>
      <c r="AH318" s="304">
        <f t="shared" ca="1" si="144"/>
        <v>-3.43170409816693</v>
      </c>
    </row>
    <row r="319" spans="1:34" x14ac:dyDescent="0.2">
      <c r="A319" s="347">
        <f t="shared" ca="1" si="122"/>
        <v>1E-4</v>
      </c>
      <c r="B319" s="304">
        <f t="shared" ca="1" si="123"/>
        <v>12.001499999999972</v>
      </c>
      <c r="D319" s="306">
        <f t="shared" ca="1" si="124"/>
        <v>-0.26035109089809821</v>
      </c>
      <c r="E319" s="307">
        <f t="shared" ca="1" si="125"/>
        <v>-6.3880996735033717</v>
      </c>
      <c r="F319" s="304">
        <f t="shared" ca="1" si="126"/>
        <v>6.3934028599131549</v>
      </c>
      <c r="G319" s="306">
        <f t="shared" ca="1" si="127"/>
        <v>3.9168038195325772</v>
      </c>
      <c r="H319" s="307">
        <f t="shared" ca="1" si="128"/>
        <v>-51.481127377138449</v>
      </c>
      <c r="I319" s="304">
        <f t="shared" ca="1" si="129"/>
        <v>51.629912145788694</v>
      </c>
      <c r="J319" s="306">
        <f t="shared" ca="1" si="130"/>
        <v>56.288824373840264</v>
      </c>
      <c r="K319" s="307">
        <f t="shared" ca="1" si="131"/>
        <v>-8.3900549068991831E-2</v>
      </c>
      <c r="L319" s="304">
        <f t="shared" ca="1" si="116"/>
        <v>56.288886902222252</v>
      </c>
      <c r="M319" s="306">
        <f t="shared" ca="1" si="132"/>
        <v>-1.4948602962617077</v>
      </c>
      <c r="N319" s="304">
        <f t="shared" ca="1" si="133"/>
        <v>-85.649185937471728</v>
      </c>
      <c r="P319" s="310">
        <f t="shared" ca="1" si="134"/>
        <v>23</v>
      </c>
      <c r="Q319" s="304">
        <f t="shared" ca="1" si="135"/>
        <v>0</v>
      </c>
      <c r="R319" s="306">
        <f t="shared" ca="1" si="136"/>
        <v>0</v>
      </c>
      <c r="S319" s="307">
        <f t="shared" ca="1" si="137"/>
        <v>2.0843000000000003</v>
      </c>
      <c r="T319" s="304">
        <f t="shared" ca="1" si="117"/>
        <v>20.446983000000003</v>
      </c>
      <c r="U319" s="311">
        <f t="shared" ca="1" si="118"/>
        <v>0</v>
      </c>
      <c r="V319" s="306">
        <f t="shared" ca="1" si="119"/>
        <v>1.2250102778603771</v>
      </c>
      <c r="W319" s="304">
        <f t="shared" ca="1" si="120"/>
        <v>7.15306011496435</v>
      </c>
      <c r="Y319" s="314" t="str">
        <f t="shared" ca="1" si="138"/>
        <v/>
      </c>
      <c r="Z319" s="315" t="str">
        <f t="shared" ca="1" si="139"/>
        <v/>
      </c>
      <c r="AA319" s="316" t="str">
        <f t="shared" ca="1" si="140"/>
        <v/>
      </c>
      <c r="AC319" s="310" t="e">
        <f t="shared" ca="1" si="141"/>
        <v>#N/A</v>
      </c>
      <c r="AD319" s="323" t="e">
        <f t="shared" ca="1" si="142"/>
        <v>#N/A</v>
      </c>
      <c r="AE319" s="324">
        <f t="shared" ca="1" si="121"/>
        <v>-8.3900549068991831E-2</v>
      </c>
      <c r="AG319" s="306">
        <f t="shared" ca="1" si="143"/>
        <v>6.3499386272219454</v>
      </c>
      <c r="AH319" s="304">
        <f t="shared" ca="1" si="144"/>
        <v>-3.431790281326871</v>
      </c>
    </row>
    <row r="320" spans="1:34" x14ac:dyDescent="0.2">
      <c r="A320" s="347">
        <f t="shared" ca="1" si="122"/>
        <v>1E-4</v>
      </c>
      <c r="B320" s="304">
        <f t="shared" ca="1" si="123"/>
        <v>12.001599999999971</v>
      </c>
      <c r="D320" s="306">
        <f t="shared" ca="1" si="124"/>
        <v>-0.26035269644415066</v>
      </c>
      <c r="E320" s="307">
        <f t="shared" ca="1" si="125"/>
        <v>-6.3880133634003879</v>
      </c>
      <c r="F320" s="304">
        <f t="shared" ca="1" si="126"/>
        <v>6.3933166867853242</v>
      </c>
      <c r="G320" s="306">
        <f t="shared" ca="1" si="127"/>
        <v>3.9167777842629325</v>
      </c>
      <c r="H320" s="307">
        <f t="shared" ca="1" si="128"/>
        <v>-51.481766178474793</v>
      </c>
      <c r="I320" s="304">
        <f t="shared" ca="1" si="129"/>
        <v>51.630547131194014</v>
      </c>
      <c r="J320" s="306">
        <f t="shared" ca="1" si="130"/>
        <v>56.288824373840264</v>
      </c>
      <c r="K320" s="307">
        <f t="shared" ca="1" si="131"/>
        <v>-8.9048693746772489E-2</v>
      </c>
      <c r="L320" s="304">
        <f t="shared" ca="1" si="116"/>
        <v>56.288894811133858</v>
      </c>
      <c r="M320" s="306">
        <f t="shared" ca="1" si="132"/>
        <v>-1.4948617376889097</v>
      </c>
      <c r="N320" s="304">
        <f t="shared" ca="1" si="133"/>
        <v>-85.649268525166875</v>
      </c>
      <c r="P320" s="310">
        <f t="shared" ca="1" si="134"/>
        <v>23</v>
      </c>
      <c r="Q320" s="304">
        <f t="shared" ca="1" si="135"/>
        <v>0</v>
      </c>
      <c r="R320" s="306">
        <f t="shared" ca="1" si="136"/>
        <v>0</v>
      </c>
      <c r="S320" s="307">
        <f t="shared" ca="1" si="137"/>
        <v>2.0843000000000003</v>
      </c>
      <c r="T320" s="304">
        <f t="shared" ca="1" si="117"/>
        <v>20.446983000000003</v>
      </c>
      <c r="U320" s="311">
        <f t="shared" ca="1" si="118"/>
        <v>0</v>
      </c>
      <c r="V320" s="306">
        <f t="shared" ca="1" si="119"/>
        <v>1.2250109085135534</v>
      </c>
      <c r="W320" s="304">
        <f t="shared" ca="1" si="120"/>
        <v>7.1532397465935063</v>
      </c>
      <c r="Y320" s="314" t="str">
        <f t="shared" ca="1" si="138"/>
        <v/>
      </c>
      <c r="Z320" s="315" t="str">
        <f t="shared" ca="1" si="139"/>
        <v/>
      </c>
      <c r="AA320" s="316" t="str">
        <f t="shared" ca="1" si="140"/>
        <v/>
      </c>
      <c r="AC320" s="310" t="e">
        <f t="shared" ca="1" si="141"/>
        <v>#N/A</v>
      </c>
      <c r="AD320" s="323" t="e">
        <f t="shared" ca="1" si="142"/>
        <v>#N/A</v>
      </c>
      <c r="AE320" s="324">
        <f t="shared" ca="1" si="121"/>
        <v>-8.9048693746772489E-2</v>
      </c>
      <c r="AG320" s="306">
        <f t="shared" ca="1" si="143"/>
        <v>6.3498535168234067</v>
      </c>
      <c r="AH320" s="304">
        <f t="shared" ca="1" si="144"/>
        <v>-3.4318764645033579</v>
      </c>
    </row>
    <row r="321" spans="1:34" x14ac:dyDescent="0.2">
      <c r="A321" s="347">
        <f t="shared" ca="1" si="122"/>
        <v>1E-4</v>
      </c>
      <c r="B321" s="304">
        <f t="shared" ca="1" si="123"/>
        <v>12.001699999999971</v>
      </c>
      <c r="D321" s="306">
        <f t="shared" ca="1" si="124"/>
        <v>-0.26035430189729225</v>
      </c>
      <c r="E321" s="307">
        <f t="shared" ca="1" si="125"/>
        <v>-6.3879270532809329</v>
      </c>
      <c r="F321" s="304">
        <f t="shared" ca="1" si="126"/>
        <v>6.3932305136413508</v>
      </c>
      <c r="G321" s="306">
        <f t="shared" ca="1" si="127"/>
        <v>3.916751748832743</v>
      </c>
      <c r="H321" s="307">
        <f t="shared" ca="1" si="128"/>
        <v>-51.482404971180124</v>
      </c>
      <c r="I321" s="304">
        <f t="shared" ca="1" si="129"/>
        <v>51.631182108088289</v>
      </c>
      <c r="J321" s="306">
        <f t="shared" ca="1" si="130"/>
        <v>56.288824373840264</v>
      </c>
      <c r="K321" s="307">
        <f t="shared" ca="1" si="131"/>
        <v>-9.4196902304255231E-2</v>
      </c>
      <c r="L321" s="304">
        <f t="shared" ca="1" si="116"/>
        <v>56.288903190997047</v>
      </c>
      <c r="M321" s="306">
        <f t="shared" ca="1" si="132"/>
        <v>-1.4948631790710762</v>
      </c>
      <c r="N321" s="304">
        <f t="shared" ca="1" si="133"/>
        <v>-85.649351110281685</v>
      </c>
      <c r="P321" s="310">
        <f t="shared" ca="1" si="134"/>
        <v>23</v>
      </c>
      <c r="Q321" s="304">
        <f t="shared" ca="1" si="135"/>
        <v>0</v>
      </c>
      <c r="R321" s="306">
        <f t="shared" ca="1" si="136"/>
        <v>0</v>
      </c>
      <c r="S321" s="307">
        <f t="shared" ca="1" si="137"/>
        <v>2.0843000000000003</v>
      </c>
      <c r="T321" s="304">
        <f t="shared" ca="1" si="117"/>
        <v>20.446983000000003</v>
      </c>
      <c r="U321" s="311">
        <f t="shared" ca="1" si="118"/>
        <v>0</v>
      </c>
      <c r="V321" s="306">
        <f t="shared" ca="1" si="119"/>
        <v>1.2250115391748799</v>
      </c>
      <c r="W321" s="304">
        <f t="shared" ca="1" si="120"/>
        <v>7.1534193782569808</v>
      </c>
      <c r="Y321" s="314" t="str">
        <f t="shared" ca="1" si="138"/>
        <v/>
      </c>
      <c r="Z321" s="315" t="str">
        <f t="shared" ca="1" si="139"/>
        <v/>
      </c>
      <c r="AA321" s="316" t="str">
        <f t="shared" ca="1" si="140"/>
        <v/>
      </c>
      <c r="AC321" s="310" t="e">
        <f t="shared" ca="1" si="141"/>
        <v>#N/A</v>
      </c>
      <c r="AD321" s="323" t="e">
        <f t="shared" ca="1" si="142"/>
        <v>#N/A</v>
      </c>
      <c r="AE321" s="324">
        <f t="shared" ca="1" si="121"/>
        <v>-9.4196902304255231E-2</v>
      </c>
      <c r="AG321" s="306">
        <f t="shared" ca="1" si="143"/>
        <v>6.3497684063545208</v>
      </c>
      <c r="AH321" s="304">
        <f t="shared" ca="1" si="144"/>
        <v>-3.4319626476963516</v>
      </c>
    </row>
    <row r="322" spans="1:34" x14ac:dyDescent="0.2">
      <c r="A322" s="347">
        <f t="shared" ca="1" si="122"/>
        <v>1E-4</v>
      </c>
      <c r="B322" s="304">
        <f t="shared" ca="1" si="123"/>
        <v>12.001799999999971</v>
      </c>
      <c r="D322" s="306">
        <f t="shared" ca="1" si="124"/>
        <v>-0.26035590725752306</v>
      </c>
      <c r="E322" s="307">
        <f t="shared" ca="1" si="125"/>
        <v>-6.3878407431450466</v>
      </c>
      <c r="F322" s="304">
        <f t="shared" ca="1" si="126"/>
        <v>6.3931443404812747</v>
      </c>
      <c r="G322" s="306">
        <f t="shared" ca="1" si="127"/>
        <v>3.9167257132420175</v>
      </c>
      <c r="H322" s="307">
        <f t="shared" ca="1" si="128"/>
        <v>-51.483043755254435</v>
      </c>
      <c r="I322" s="304">
        <f t="shared" ca="1" si="129"/>
        <v>51.631817076471499</v>
      </c>
      <c r="J322" s="306">
        <f t="shared" ca="1" si="130"/>
        <v>56.288824373840264</v>
      </c>
      <c r="K322" s="307">
        <f t="shared" ca="1" si="131"/>
        <v>-9.9345174740576955E-2</v>
      </c>
      <c r="L322" s="304">
        <f t="shared" ca="1" si="116"/>
        <v>56.288912041829143</v>
      </c>
      <c r="M322" s="306">
        <f t="shared" ca="1" si="132"/>
        <v>-1.4948646204082097</v>
      </c>
      <c r="N322" s="304">
        <f t="shared" ca="1" si="133"/>
        <v>-85.649433692816288</v>
      </c>
      <c r="P322" s="310">
        <f t="shared" ca="1" si="134"/>
        <v>23</v>
      </c>
      <c r="Q322" s="304">
        <f t="shared" ca="1" si="135"/>
        <v>0</v>
      </c>
      <c r="R322" s="306">
        <f t="shared" ca="1" si="136"/>
        <v>0</v>
      </c>
      <c r="S322" s="307">
        <f t="shared" ca="1" si="137"/>
        <v>2.0843000000000003</v>
      </c>
      <c r="T322" s="304">
        <f t="shared" ca="1" si="117"/>
        <v>20.446983000000003</v>
      </c>
      <c r="U322" s="311">
        <f t="shared" ca="1" si="118"/>
        <v>0</v>
      </c>
      <c r="V322" s="306">
        <f t="shared" ca="1" si="119"/>
        <v>1.2250121698443568</v>
      </c>
      <c r="W322" s="304">
        <f t="shared" ca="1" si="120"/>
        <v>7.1535990099546893</v>
      </c>
      <c r="Y322" s="314" t="str">
        <f t="shared" ca="1" si="138"/>
        <v/>
      </c>
      <c r="Z322" s="315" t="str">
        <f t="shared" ca="1" si="139"/>
        <v/>
      </c>
      <c r="AA322" s="316" t="str">
        <f t="shared" ca="1" si="140"/>
        <v/>
      </c>
      <c r="AC322" s="310" t="e">
        <f t="shared" ca="1" si="141"/>
        <v>#N/A</v>
      </c>
      <c r="AD322" s="323" t="e">
        <f t="shared" ca="1" si="142"/>
        <v>#N/A</v>
      </c>
      <c r="AE322" s="324">
        <f t="shared" ca="1" si="121"/>
        <v>-9.9345174740576955E-2</v>
      </c>
      <c r="AG322" s="306">
        <f t="shared" ca="1" si="143"/>
        <v>6.349683295815332</v>
      </c>
      <c r="AH322" s="304">
        <f t="shared" ca="1" si="144"/>
        <v>-3.4320488309058099</v>
      </c>
    </row>
    <row r="323" spans="1:34" x14ac:dyDescent="0.2">
      <c r="A323" s="347">
        <f t="shared" ca="1" si="122"/>
        <v>1E-4</v>
      </c>
      <c r="B323" s="304">
        <f t="shared" ca="1" si="123"/>
        <v>12.001899999999971</v>
      </c>
      <c r="D323" s="306">
        <f t="shared" ca="1" si="124"/>
        <v>-0.26035751252484324</v>
      </c>
      <c r="E323" s="307">
        <f t="shared" ca="1" si="125"/>
        <v>-6.3877544329927707</v>
      </c>
      <c r="F323" s="304">
        <f t="shared" ca="1" si="126"/>
        <v>6.3930581673051368</v>
      </c>
      <c r="G323" s="306">
        <f t="shared" ca="1" si="127"/>
        <v>3.9166996774907652</v>
      </c>
      <c r="H323" s="307">
        <f t="shared" ca="1" si="128"/>
        <v>-51.483682530697735</v>
      </c>
      <c r="I323" s="304">
        <f t="shared" ca="1" si="129"/>
        <v>51.632452036343651</v>
      </c>
      <c r="J323" s="306">
        <f t="shared" ca="1" si="130"/>
        <v>56.288824373840264</v>
      </c>
      <c r="K323" s="307">
        <f t="shared" ca="1" si="131"/>
        <v>-0.10449351105487456</v>
      </c>
      <c r="L323" s="304">
        <f t="shared" ca="1" si="116"/>
        <v>56.288921363647454</v>
      </c>
      <c r="M323" s="306">
        <f t="shared" ca="1" si="132"/>
        <v>-1.4948660617003118</v>
      </c>
      <c r="N323" s="304">
        <f t="shared" ca="1" si="133"/>
        <v>-85.649516272770782</v>
      </c>
      <c r="P323" s="310">
        <f t="shared" ca="1" si="134"/>
        <v>23</v>
      </c>
      <c r="Q323" s="304">
        <f t="shared" ca="1" si="135"/>
        <v>0</v>
      </c>
      <c r="R323" s="306">
        <f t="shared" ca="1" si="136"/>
        <v>0</v>
      </c>
      <c r="S323" s="307">
        <f t="shared" ca="1" si="137"/>
        <v>2.0843000000000003</v>
      </c>
      <c r="T323" s="304">
        <f t="shared" ca="1" si="117"/>
        <v>20.446983000000003</v>
      </c>
      <c r="U323" s="311">
        <f t="shared" ca="1" si="118"/>
        <v>0</v>
      </c>
      <c r="V323" s="306">
        <f t="shared" ca="1" si="119"/>
        <v>1.2250128005219829</v>
      </c>
      <c r="W323" s="304">
        <f t="shared" ca="1" si="120"/>
        <v>7.1537786416865394</v>
      </c>
      <c r="Y323" s="314" t="str">
        <f t="shared" ca="1" si="138"/>
        <v/>
      </c>
      <c r="Z323" s="315" t="str">
        <f t="shared" ca="1" si="139"/>
        <v/>
      </c>
      <c r="AA323" s="316" t="str">
        <f t="shared" ca="1" si="140"/>
        <v/>
      </c>
      <c r="AC323" s="310" t="e">
        <f t="shared" ca="1" si="141"/>
        <v>#N/A</v>
      </c>
      <c r="AD323" s="323" t="e">
        <f t="shared" ca="1" si="142"/>
        <v>#N/A</v>
      </c>
      <c r="AE323" s="324">
        <f t="shared" ca="1" si="121"/>
        <v>-0.10449351105487456</v>
      </c>
      <c r="AG323" s="306">
        <f t="shared" ca="1" si="143"/>
        <v>6.3495981852058812</v>
      </c>
      <c r="AH323" s="304">
        <f t="shared" ca="1" si="144"/>
        <v>-3.4321350141316933</v>
      </c>
    </row>
    <row r="324" spans="1:34" x14ac:dyDescent="0.2">
      <c r="A324" s="347">
        <f t="shared" ca="1" si="122"/>
        <v>1E-4</v>
      </c>
      <c r="B324" s="304">
        <f t="shared" ca="1" si="123"/>
        <v>12.00199999999997</v>
      </c>
      <c r="D324" s="306">
        <f t="shared" ca="1" si="124"/>
        <v>-0.2603591176992549</v>
      </c>
      <c r="E324" s="307">
        <f t="shared" ca="1" si="125"/>
        <v>-6.3876681228241488</v>
      </c>
      <c r="F324" s="304">
        <f t="shared" ca="1" si="126"/>
        <v>6.3929719941129823</v>
      </c>
      <c r="G324" s="306">
        <f t="shared" ca="1" si="127"/>
        <v>3.9166736415789951</v>
      </c>
      <c r="H324" s="307">
        <f t="shared" ca="1" si="128"/>
        <v>-51.484321297510014</v>
      </c>
      <c r="I324" s="304">
        <f t="shared" ca="1" si="129"/>
        <v>51.633086987704729</v>
      </c>
      <c r="J324" s="306">
        <f t="shared" ca="1" si="130"/>
        <v>56.288824373840264</v>
      </c>
      <c r="K324" s="307">
        <f t="shared" ca="1" si="131"/>
        <v>-0.10964191124628495</v>
      </c>
      <c r="L324" s="304">
        <f t="shared" ref="L324:L387" ca="1" si="145">SQRT(pos_x^2+pos_z^2)</f>
        <v>56.28893115646926</v>
      </c>
      <c r="M324" s="306">
        <f t="shared" ca="1" si="132"/>
        <v>-1.4948675029473848</v>
      </c>
      <c r="N324" s="304">
        <f t="shared" ca="1" si="133"/>
        <v>-85.649598850145296</v>
      </c>
      <c r="P324" s="310">
        <f t="shared" ca="1" si="134"/>
        <v>23</v>
      </c>
      <c r="Q324" s="304">
        <f t="shared" ca="1" si="135"/>
        <v>0</v>
      </c>
      <c r="R324" s="306">
        <f t="shared" ca="1" si="136"/>
        <v>0</v>
      </c>
      <c r="S324" s="307">
        <f t="shared" ca="1" si="137"/>
        <v>2.0843000000000003</v>
      </c>
      <c r="T324" s="304">
        <f t="shared" ref="T324:T387" ca="1" si="146">m*g</f>
        <v>20.446983000000003</v>
      </c>
      <c r="U324" s="311">
        <f t="shared" ref="U324:U387" ca="1" si="147">IF(pos_xz&lt;L_rampe,Poids*COS(Beta),0)</f>
        <v>0</v>
      </c>
      <c r="V324" s="306">
        <f t="shared" ref="V324:V387" ca="1" si="148">Rho_moyen*(20000-Alt_rampe-pos_z)/(20000+Alt_rampe+pos_z)</f>
        <v>1.2250134312077592</v>
      </c>
      <c r="W324" s="304">
        <f t="shared" ref="W324:W387" ca="1" si="149">1/2*Rho*Sref*Cx*vit_xz^2</f>
        <v>7.1539582734524512</v>
      </c>
      <c r="Y324" s="314" t="str">
        <f t="shared" ca="1" si="138"/>
        <v/>
      </c>
      <c r="Z324" s="315" t="str">
        <f t="shared" ca="1" si="139"/>
        <v/>
      </c>
      <c r="AA324" s="316" t="str">
        <f t="shared" ca="1" si="140"/>
        <v/>
      </c>
      <c r="AC324" s="310" t="e">
        <f t="shared" ca="1" si="141"/>
        <v>#N/A</v>
      </c>
      <c r="AD324" s="323" t="e">
        <f t="shared" ca="1" si="142"/>
        <v>#N/A</v>
      </c>
      <c r="AE324" s="324">
        <f t="shared" ref="AE324:AE387" ca="1" si="150">IF(t&lt;T_para, pos_z, NA())</f>
        <v>-0.10964191124628495</v>
      </c>
      <c r="AG324" s="306">
        <f t="shared" ca="1" si="143"/>
        <v>6.3495130745262198</v>
      </c>
      <c r="AH324" s="304">
        <f t="shared" ca="1" si="144"/>
        <v>-3.4322211973739569</v>
      </c>
    </row>
    <row r="325" spans="1:34" x14ac:dyDescent="0.2">
      <c r="A325" s="347">
        <f t="shared" ref="A325:A388" ca="1" si="151">IF(B324+0.01&lt;=T_ini+ROUNDUP(Temps_fin_propu,0), 0.01, IF(K324&gt;0, 0.1, 0.0001))</f>
        <v>1E-4</v>
      </c>
      <c r="B325" s="304">
        <f t="shared" ref="B325:B388" ca="1" si="152">B324+pas</f>
        <v>12.00209999999997</v>
      </c>
      <c r="D325" s="306">
        <f t="shared" ref="D325:D388" ca="1" si="153">IF(AND(L324&lt;L_rampe,Poussee&lt;Poids*SIN(M324)),0,(-W324+Poussee)/m*COS(M324)-U324/m*SIN(M324))</f>
        <v>-0.26036072278075906</v>
      </c>
      <c r="E325" s="307">
        <f t="shared" ref="E325:E388" ca="1" si="154">IF(AND(L324&lt;L_rampe,Poussee&lt;Poids*SIN(M324)),0,(-W324+Poussee)/m*SIN(M324)+U324/m*COS(M324)-Poids/m)</f>
        <v>-6.3875818126392208</v>
      </c>
      <c r="F325" s="304">
        <f t="shared" ref="F325:F388" ca="1" si="155">SQRT(acc_x^2+acc_z^2)</f>
        <v>6.3928858209048496</v>
      </c>
      <c r="G325" s="306">
        <f t="shared" ref="G325:G388" ca="1" si="156">G324+acc_x*pas</f>
        <v>3.916647605506717</v>
      </c>
      <c r="H325" s="307">
        <f t="shared" ref="H325:H388" ca="1" si="157">H324+acc_z*pas</f>
        <v>-51.484960055691282</v>
      </c>
      <c r="I325" s="304">
        <f t="shared" ref="I325:I388" ca="1" si="158">SQRT(vit_x^2+vit_z^2)</f>
        <v>51.633721930554728</v>
      </c>
      <c r="J325" s="306">
        <f t="shared" ref="J325:J388" ca="1" si="159">J324+0.5*(vit_x+G324)*pas*(K324&gt;=0)</f>
        <v>56.288824373840264</v>
      </c>
      <c r="K325" s="307">
        <f t="shared" ref="K325:K388" ca="1" si="160">K324+0.5*(vit_z+H324)*pas</f>
        <v>-0.11479037531394501</v>
      </c>
      <c r="L325" s="304">
        <f t="shared" ca="1" si="145"/>
        <v>56.288941420311851</v>
      </c>
      <c r="M325" s="306">
        <f t="shared" ref="M325:M388" ca="1" si="161">IF(AND(L324&gt;L_rampe,G325&gt;0),ATAN2(G325,H325),$M$4)</f>
        <v>-1.4948689441494312</v>
      </c>
      <c r="N325" s="304">
        <f t="shared" ref="N325:N388" ca="1" si="162">DEGREES(Beta)</f>
        <v>-85.649681424939985</v>
      </c>
      <c r="P325" s="310">
        <f t="shared" ref="P325:P388" ca="1" si="163">MATCH(t-pas/2-T_ini,CdP_t)</f>
        <v>23</v>
      </c>
      <c r="Q325" s="304">
        <f t="shared" ref="Q325:Q388" ca="1" si="164">(INDEX(CdP,2,i_P+1)-INDEX(CdP,2,i_P+0))/(INDEX(CdP,1,i_P+1)-INDEX(CdP,1,i_P+0))*(t-pas/2-T_ini-INDEX(CdP,1,i_P+0))+INDEX(CdP,2,i_P+0)</f>
        <v>0</v>
      </c>
      <c r="R325" s="306">
        <f t="shared" ref="R325:R388" ca="1" si="165">Poussee/(g*ISP)</f>
        <v>0</v>
      </c>
      <c r="S325" s="307">
        <f t="shared" ref="S325:S388" ca="1" si="166">S324-Débit*pas</f>
        <v>2.0843000000000003</v>
      </c>
      <c r="T325" s="304">
        <f t="shared" ca="1" si="146"/>
        <v>20.446983000000003</v>
      </c>
      <c r="U325" s="311">
        <f t="shared" ca="1" si="147"/>
        <v>0</v>
      </c>
      <c r="V325" s="306">
        <f t="shared" ca="1" si="148"/>
        <v>1.2250140619016847</v>
      </c>
      <c r="W325" s="304">
        <f t="shared" ca="1" si="149"/>
        <v>7.154137905252334</v>
      </c>
      <c r="Y325" s="314" t="str">
        <f t="shared" ref="Y325:Y388" ca="1" si="167">IF(AND(pos_z&lt;=0,K324&gt;0),"Impact balistique","") &amp; IF(AND(H326&lt;0,vit_z&gt;=0),"Apogée","") &amp; IF(AND(Poussee=0,Q324&gt;0),"Fin de propulsion","") &amp; IF(AND(L326&gt;L_rampe,pos_xz&lt;=L_rampe),"Sortie de rampe","")</f>
        <v/>
      </c>
      <c r="Z325" s="315" t="str">
        <f t="shared" ref="Z325:Z388" ca="1" si="168">IF(ABS(t-T_para)&lt;pas/2,"Para","")</f>
        <v/>
      </c>
      <c r="AA325" s="316" t="str">
        <f t="shared" ref="AA325:AA388" ca="1" si="169">IF(ABS(t-T_satellite)&lt;pas/2,"Satellite","")</f>
        <v/>
      </c>
      <c r="AC325" s="310" t="e">
        <f t="shared" ref="AC325:AC388" ca="1" si="170">IF(ABS(t-ROUND(t,0))&lt;0.001,t,NA())</f>
        <v>#N/A</v>
      </c>
      <c r="AD325" s="323" t="e">
        <f t="shared" ref="AD325:AD388" ca="1" si="171">IF(ABS(t-ROUND(t,0))&lt;0.001,pos_x,NA())</f>
        <v>#N/A</v>
      </c>
      <c r="AE325" s="324">
        <f t="shared" ca="1" si="150"/>
        <v>-0.11479037531394501</v>
      </c>
      <c r="AG325" s="306">
        <f t="shared" ref="AG325:AG388" ca="1" si="172">IF(AND(L324&lt;L_rampe,Poussee&lt;Poids*SIN(M324)),0,(-W324+Poussee)/m-Poids*SIN(M324)/m)</f>
        <v>6.3494279637763897</v>
      </c>
      <c r="AH325" s="304">
        <f t="shared" ref="AH325:AH388" ca="1" si="173">IF(AND(L324&lt;L_rampe,Poussee&lt;Poids*SIN(M324)), g*SIN(M324), (-W324+Poussee)/m)</f>
        <v>-3.4323073806325626</v>
      </c>
    </row>
    <row r="326" spans="1:34" x14ac:dyDescent="0.2">
      <c r="A326" s="347">
        <f t="shared" ca="1" si="151"/>
        <v>1E-4</v>
      </c>
      <c r="B326" s="304">
        <f t="shared" ca="1" si="152"/>
        <v>12.00219999999997</v>
      </c>
      <c r="D326" s="306">
        <f t="shared" ca="1" si="153"/>
        <v>-0.26036232776935558</v>
      </c>
      <c r="E326" s="307">
        <f t="shared" ca="1" si="154"/>
        <v>-6.3874955024380284</v>
      </c>
      <c r="F326" s="304">
        <f t="shared" ca="1" si="155"/>
        <v>6.3927996476807811</v>
      </c>
      <c r="G326" s="306">
        <f t="shared" ca="1" si="156"/>
        <v>3.9166215692739401</v>
      </c>
      <c r="H326" s="307">
        <f t="shared" ca="1" si="157"/>
        <v>-51.485598805241523</v>
      </c>
      <c r="I326" s="304">
        <f t="shared" ca="1" si="158"/>
        <v>51.63435686489364</v>
      </c>
      <c r="J326" s="306">
        <f t="shared" ca="1" si="159"/>
        <v>56.288824373840264</v>
      </c>
      <c r="K326" s="307">
        <f t="shared" ca="1" si="160"/>
        <v>-0.11993890325699165</v>
      </c>
      <c r="L326" s="304">
        <f t="shared" ca="1" si="145"/>
        <v>56.288952155192483</v>
      </c>
      <c r="M326" s="306">
        <f t="shared" ca="1" si="161"/>
        <v>-1.4948703853064531</v>
      </c>
      <c r="N326" s="304">
        <f t="shared" ca="1" si="162"/>
        <v>-85.649763997154949</v>
      </c>
      <c r="P326" s="310">
        <f t="shared" ca="1" si="163"/>
        <v>23</v>
      </c>
      <c r="Q326" s="304">
        <f t="shared" ca="1" si="164"/>
        <v>0</v>
      </c>
      <c r="R326" s="306">
        <f t="shared" ca="1" si="165"/>
        <v>0</v>
      </c>
      <c r="S326" s="307">
        <f t="shared" ca="1" si="166"/>
        <v>2.0843000000000003</v>
      </c>
      <c r="T326" s="304">
        <f t="shared" ca="1" si="146"/>
        <v>20.446983000000003</v>
      </c>
      <c r="U326" s="311">
        <f t="shared" ca="1" si="147"/>
        <v>0</v>
      </c>
      <c r="V326" s="306">
        <f t="shared" ca="1" si="148"/>
        <v>1.2250146926037595</v>
      </c>
      <c r="W326" s="304">
        <f t="shared" ca="1" si="149"/>
        <v>7.154317537086099</v>
      </c>
      <c r="Y326" s="314" t="str">
        <f t="shared" ca="1" si="167"/>
        <v/>
      </c>
      <c r="Z326" s="315" t="str">
        <f t="shared" ca="1" si="168"/>
        <v/>
      </c>
      <c r="AA326" s="316" t="str">
        <f t="shared" ca="1" si="169"/>
        <v/>
      </c>
      <c r="AC326" s="310" t="e">
        <f t="shared" ca="1" si="170"/>
        <v>#N/A</v>
      </c>
      <c r="AD326" s="323" t="e">
        <f t="shared" ca="1" si="171"/>
        <v>#N/A</v>
      </c>
      <c r="AE326" s="324">
        <f t="shared" ca="1" si="150"/>
        <v>-0.11993890325699165</v>
      </c>
      <c r="AG326" s="306">
        <f t="shared" ca="1" si="172"/>
        <v>6.3493428529564353</v>
      </c>
      <c r="AH326" s="304">
        <f t="shared" ca="1" si="173"/>
        <v>-3.4323935639074667</v>
      </c>
    </row>
    <row r="327" spans="1:34" x14ac:dyDescent="0.2">
      <c r="A327" s="347">
        <f t="shared" ca="1" si="151"/>
        <v>1E-4</v>
      </c>
      <c r="B327" s="304">
        <f t="shared" ca="1" si="152"/>
        <v>12.00229999999997</v>
      </c>
      <c r="D327" s="306">
        <f t="shared" ca="1" si="153"/>
        <v>-0.26036393266504537</v>
      </c>
      <c r="E327" s="307">
        <f t="shared" ca="1" si="154"/>
        <v>-6.3874091922206162</v>
      </c>
      <c r="F327" s="304">
        <f t="shared" ca="1" si="155"/>
        <v>6.3927134744408205</v>
      </c>
      <c r="G327" s="306">
        <f t="shared" ca="1" si="156"/>
        <v>3.9165955328806734</v>
      </c>
      <c r="H327" s="307">
        <f t="shared" ca="1" si="157"/>
        <v>-51.486237546160744</v>
      </c>
      <c r="I327" s="304">
        <f t="shared" ca="1" si="158"/>
        <v>51.634991790721465</v>
      </c>
      <c r="J327" s="306">
        <f t="shared" ca="1" si="159"/>
        <v>56.288824373840264</v>
      </c>
      <c r="K327" s="307">
        <f t="shared" ca="1" si="160"/>
        <v>-0.12508749507456177</v>
      </c>
      <c r="L327" s="304">
        <f t="shared" ca="1" si="145"/>
        <v>56.288963361128424</v>
      </c>
      <c r="M327" s="306">
        <f t="shared" ca="1" si="161"/>
        <v>-1.4948718264184524</v>
      </c>
      <c r="N327" s="304">
        <f t="shared" ca="1" si="162"/>
        <v>-85.649846566790316</v>
      </c>
      <c r="P327" s="310">
        <f t="shared" ca="1" si="163"/>
        <v>23</v>
      </c>
      <c r="Q327" s="304">
        <f t="shared" ca="1" si="164"/>
        <v>0</v>
      </c>
      <c r="R327" s="306">
        <f t="shared" ca="1" si="165"/>
        <v>0</v>
      </c>
      <c r="S327" s="307">
        <f t="shared" ca="1" si="166"/>
        <v>2.0843000000000003</v>
      </c>
      <c r="T327" s="304">
        <f t="shared" ca="1" si="146"/>
        <v>20.446983000000003</v>
      </c>
      <c r="U327" s="311">
        <f t="shared" ca="1" si="147"/>
        <v>0</v>
      </c>
      <c r="V327" s="306">
        <f t="shared" ca="1" si="148"/>
        <v>1.2250153233139844</v>
      </c>
      <c r="W327" s="304">
        <f t="shared" ca="1" si="149"/>
        <v>7.1544971689536698</v>
      </c>
      <c r="Y327" s="314" t="str">
        <f t="shared" ca="1" si="167"/>
        <v/>
      </c>
      <c r="Z327" s="315" t="str">
        <f t="shared" ca="1" si="168"/>
        <v/>
      </c>
      <c r="AA327" s="316" t="str">
        <f t="shared" ca="1" si="169"/>
        <v/>
      </c>
      <c r="AC327" s="310" t="e">
        <f t="shared" ca="1" si="170"/>
        <v>#N/A</v>
      </c>
      <c r="AD327" s="323" t="e">
        <f t="shared" ca="1" si="171"/>
        <v>#N/A</v>
      </c>
      <c r="AE327" s="324">
        <f t="shared" ca="1" si="150"/>
        <v>-0.12508749507456177</v>
      </c>
      <c r="AG327" s="306">
        <f t="shared" ca="1" si="172"/>
        <v>6.3492577420664045</v>
      </c>
      <c r="AH327" s="304">
        <f t="shared" ca="1" si="173"/>
        <v>-3.4324797471986268</v>
      </c>
    </row>
    <row r="328" spans="1:34" x14ac:dyDescent="0.2">
      <c r="A328" s="347">
        <f t="shared" ca="1" si="151"/>
        <v>1E-4</v>
      </c>
      <c r="B328" s="304">
        <f t="shared" ca="1" si="152"/>
        <v>12.00239999999997</v>
      </c>
      <c r="D328" s="306">
        <f t="shared" ca="1" si="153"/>
        <v>-0.26036553746783098</v>
      </c>
      <c r="E328" s="307">
        <f t="shared" ca="1" si="154"/>
        <v>-6.3873228819870178</v>
      </c>
      <c r="F328" s="304">
        <f t="shared" ca="1" si="155"/>
        <v>6.3926273011850032</v>
      </c>
      <c r="G328" s="306">
        <f t="shared" ca="1" si="156"/>
        <v>3.9165694963269266</v>
      </c>
      <c r="H328" s="307">
        <f t="shared" ca="1" si="157"/>
        <v>-51.486876278448946</v>
      </c>
      <c r="I328" s="304">
        <f t="shared" ca="1" si="158"/>
        <v>51.635626708038195</v>
      </c>
      <c r="J328" s="306">
        <f t="shared" ca="1" si="159"/>
        <v>56.288824373840264</v>
      </c>
      <c r="K328" s="307">
        <f t="shared" ca="1" si="160"/>
        <v>-0.13023615076579226</v>
      </c>
      <c r="L328" s="304">
        <f t="shared" ca="1" si="145"/>
        <v>56.288975038136911</v>
      </c>
      <c r="M328" s="306">
        <f t="shared" ca="1" si="161"/>
        <v>-1.4948732674854317</v>
      </c>
      <c r="N328" s="304">
        <f t="shared" ca="1" si="162"/>
        <v>-85.649929133846229</v>
      </c>
      <c r="P328" s="310">
        <f t="shared" ca="1" si="163"/>
        <v>23</v>
      </c>
      <c r="Q328" s="304">
        <f t="shared" ca="1" si="164"/>
        <v>0</v>
      </c>
      <c r="R328" s="306">
        <f t="shared" ca="1" si="165"/>
        <v>0</v>
      </c>
      <c r="S328" s="307">
        <f t="shared" ca="1" si="166"/>
        <v>2.0843000000000003</v>
      </c>
      <c r="T328" s="304">
        <f t="shared" ca="1" si="146"/>
        <v>20.446983000000003</v>
      </c>
      <c r="U328" s="311">
        <f t="shared" ca="1" si="147"/>
        <v>0</v>
      </c>
      <c r="V328" s="306">
        <f t="shared" ca="1" si="148"/>
        <v>1.2250159540323584</v>
      </c>
      <c r="W328" s="304">
        <f t="shared" ca="1" si="149"/>
        <v>7.1546768008549551</v>
      </c>
      <c r="Y328" s="314" t="str">
        <f t="shared" ca="1" si="167"/>
        <v/>
      </c>
      <c r="Z328" s="315" t="str">
        <f t="shared" ca="1" si="168"/>
        <v/>
      </c>
      <c r="AA328" s="316" t="str">
        <f t="shared" ca="1" si="169"/>
        <v/>
      </c>
      <c r="AC328" s="310" t="e">
        <f t="shared" ca="1" si="170"/>
        <v>#N/A</v>
      </c>
      <c r="AD328" s="323" t="e">
        <f t="shared" ca="1" si="171"/>
        <v>#N/A</v>
      </c>
      <c r="AE328" s="324">
        <f t="shared" ca="1" si="150"/>
        <v>-0.13023615076579226</v>
      </c>
      <c r="AG328" s="306">
        <f t="shared" ca="1" si="172"/>
        <v>6.3491726311063346</v>
      </c>
      <c r="AH328" s="304">
        <f t="shared" ca="1" si="173"/>
        <v>-3.4325659305060063</v>
      </c>
    </row>
    <row r="329" spans="1:34" x14ac:dyDescent="0.2">
      <c r="A329" s="347">
        <f t="shared" ca="1" si="151"/>
        <v>1E-4</v>
      </c>
      <c r="B329" s="304">
        <f t="shared" ca="1" si="152"/>
        <v>12.002499999999969</v>
      </c>
      <c r="D329" s="306">
        <f t="shared" ca="1" si="153"/>
        <v>-0.26036714217771151</v>
      </c>
      <c r="E329" s="307">
        <f t="shared" ca="1" si="154"/>
        <v>-6.3872365717372812</v>
      </c>
      <c r="F329" s="304">
        <f t="shared" ca="1" si="155"/>
        <v>6.3925411279133746</v>
      </c>
      <c r="G329" s="306">
        <f t="shared" ca="1" si="156"/>
        <v>3.9165434596127087</v>
      </c>
      <c r="H329" s="307">
        <f t="shared" ca="1" si="157"/>
        <v>-51.487515002106122</v>
      </c>
      <c r="I329" s="304">
        <f t="shared" ca="1" si="158"/>
        <v>51.636261616843818</v>
      </c>
      <c r="J329" s="306">
        <f t="shared" ca="1" si="159"/>
        <v>56.288824373840264</v>
      </c>
      <c r="K329" s="307">
        <f t="shared" ca="1" si="160"/>
        <v>-0.13538487032982002</v>
      </c>
      <c r="L329" s="304">
        <f t="shared" ca="1" si="145"/>
        <v>56.288987186235182</v>
      </c>
      <c r="M329" s="306">
        <f t="shared" ca="1" si="161"/>
        <v>-1.494874708507393</v>
      </c>
      <c r="N329" s="304">
        <f t="shared" ca="1" si="162"/>
        <v>-85.6500116983228</v>
      </c>
      <c r="P329" s="310">
        <f t="shared" ca="1" si="163"/>
        <v>23</v>
      </c>
      <c r="Q329" s="304">
        <f t="shared" ca="1" si="164"/>
        <v>0</v>
      </c>
      <c r="R329" s="306">
        <f t="shared" ca="1" si="165"/>
        <v>0</v>
      </c>
      <c r="S329" s="307">
        <f t="shared" ca="1" si="166"/>
        <v>2.0843000000000003</v>
      </c>
      <c r="T329" s="304">
        <f t="shared" ca="1" si="146"/>
        <v>20.446983000000003</v>
      </c>
      <c r="U329" s="311">
        <f t="shared" ca="1" si="147"/>
        <v>0</v>
      </c>
      <c r="V329" s="306">
        <f t="shared" ca="1" si="148"/>
        <v>1.2250165847588816</v>
      </c>
      <c r="W329" s="304">
        <f t="shared" ca="1" si="149"/>
        <v>7.1548564327898676</v>
      </c>
      <c r="Y329" s="314" t="str">
        <f t="shared" ca="1" si="167"/>
        <v/>
      </c>
      <c r="Z329" s="315" t="str">
        <f t="shared" ca="1" si="168"/>
        <v/>
      </c>
      <c r="AA329" s="316" t="str">
        <f t="shared" ca="1" si="169"/>
        <v/>
      </c>
      <c r="AC329" s="310" t="e">
        <f t="shared" ca="1" si="170"/>
        <v>#N/A</v>
      </c>
      <c r="AD329" s="323" t="e">
        <f t="shared" ca="1" si="171"/>
        <v>#N/A</v>
      </c>
      <c r="AE329" s="324">
        <f t="shared" ca="1" si="150"/>
        <v>-0.13538487032982002</v>
      </c>
      <c r="AG329" s="306">
        <f t="shared" ca="1" si="172"/>
        <v>6.3490875200762789</v>
      </c>
      <c r="AH329" s="304">
        <f t="shared" ca="1" si="173"/>
        <v>-3.4326521138295609</v>
      </c>
    </row>
    <row r="330" spans="1:34" x14ac:dyDescent="0.2">
      <c r="A330" s="347">
        <f t="shared" ca="1" si="151"/>
        <v>1E-4</v>
      </c>
      <c r="B330" s="304">
        <f t="shared" ca="1" si="152"/>
        <v>12.002599999999969</v>
      </c>
      <c r="D330" s="306">
        <f t="shared" ca="1" si="153"/>
        <v>-0.26036874679468858</v>
      </c>
      <c r="E330" s="307">
        <f t="shared" ca="1" si="154"/>
        <v>-6.3871502614714455</v>
      </c>
      <c r="F330" s="304">
        <f t="shared" ca="1" si="155"/>
        <v>6.3924549546259763</v>
      </c>
      <c r="G330" s="306">
        <f t="shared" ca="1" si="156"/>
        <v>3.9165174227380293</v>
      </c>
      <c r="H330" s="307">
        <f t="shared" ca="1" si="157"/>
        <v>-51.488153717132271</v>
      </c>
      <c r="I330" s="304">
        <f t="shared" ca="1" si="158"/>
        <v>51.636896517138325</v>
      </c>
      <c r="J330" s="306">
        <f t="shared" ca="1" si="159"/>
        <v>56.288824373840264</v>
      </c>
      <c r="K330" s="307">
        <f t="shared" ca="1" si="160"/>
        <v>-0.14053365376578195</v>
      </c>
      <c r="L330" s="304">
        <f t="shared" ca="1" si="145"/>
        <v>56.288999805440447</v>
      </c>
      <c r="M330" s="306">
        <f t="shared" ca="1" si="161"/>
        <v>-1.4948761494843386</v>
      </c>
      <c r="N330" s="304">
        <f t="shared" ca="1" si="162"/>
        <v>-85.650094260220158</v>
      </c>
      <c r="P330" s="310">
        <f t="shared" ca="1" si="163"/>
        <v>23</v>
      </c>
      <c r="Q330" s="304">
        <f t="shared" ca="1" si="164"/>
        <v>0</v>
      </c>
      <c r="R330" s="306">
        <f t="shared" ca="1" si="165"/>
        <v>0</v>
      </c>
      <c r="S330" s="307">
        <f t="shared" ca="1" si="166"/>
        <v>2.0843000000000003</v>
      </c>
      <c r="T330" s="304">
        <f t="shared" ca="1" si="146"/>
        <v>20.446983000000003</v>
      </c>
      <c r="U330" s="311">
        <f t="shared" ca="1" si="147"/>
        <v>0</v>
      </c>
      <c r="V330" s="306">
        <f t="shared" ca="1" si="148"/>
        <v>1.2250172154935541</v>
      </c>
      <c r="W330" s="304">
        <f t="shared" ca="1" si="149"/>
        <v>7.1550360647583195</v>
      </c>
      <c r="Y330" s="314" t="str">
        <f t="shared" ca="1" si="167"/>
        <v/>
      </c>
      <c r="Z330" s="315" t="str">
        <f t="shared" ca="1" si="168"/>
        <v/>
      </c>
      <c r="AA330" s="316" t="str">
        <f t="shared" ca="1" si="169"/>
        <v/>
      </c>
      <c r="AC330" s="310" t="e">
        <f t="shared" ca="1" si="170"/>
        <v>#N/A</v>
      </c>
      <c r="AD330" s="323" t="e">
        <f t="shared" ca="1" si="171"/>
        <v>#N/A</v>
      </c>
      <c r="AE330" s="324">
        <f t="shared" ca="1" si="150"/>
        <v>-0.14053365376578195</v>
      </c>
      <c r="AG330" s="306">
        <f t="shared" ca="1" si="172"/>
        <v>6.3490024089762791</v>
      </c>
      <c r="AH330" s="304">
        <f t="shared" ca="1" si="173"/>
        <v>-3.4327382971692493</v>
      </c>
    </row>
    <row r="331" spans="1:34" x14ac:dyDescent="0.2">
      <c r="A331" s="347">
        <f t="shared" ca="1" si="151"/>
        <v>1E-4</v>
      </c>
      <c r="B331" s="304">
        <f t="shared" ca="1" si="152"/>
        <v>12.002699999999969</v>
      </c>
      <c r="D331" s="306">
        <f t="shared" ca="1" si="153"/>
        <v>-0.26037035131876285</v>
      </c>
      <c r="E331" s="307">
        <f t="shared" ca="1" si="154"/>
        <v>-6.3870639511895524</v>
      </c>
      <c r="F331" s="304">
        <f t="shared" ca="1" si="155"/>
        <v>6.3923687813228485</v>
      </c>
      <c r="G331" s="306">
        <f t="shared" ca="1" si="156"/>
        <v>3.9164913857028973</v>
      </c>
      <c r="H331" s="307">
        <f t="shared" ca="1" si="157"/>
        <v>-51.488792423527393</v>
      </c>
      <c r="I331" s="304">
        <f t="shared" ca="1" si="158"/>
        <v>51.637531408921717</v>
      </c>
      <c r="J331" s="306">
        <f t="shared" ca="1" si="159"/>
        <v>56.288824373840264</v>
      </c>
      <c r="K331" s="307">
        <f t="shared" ca="1" si="160"/>
        <v>-0.14568250107281494</v>
      </c>
      <c r="L331" s="304">
        <f t="shared" ca="1" si="145"/>
        <v>56.289012895769922</v>
      </c>
      <c r="M331" s="306">
        <f t="shared" ca="1" si="161"/>
        <v>-1.4948775904162706</v>
      </c>
      <c r="N331" s="304">
        <f t="shared" ca="1" si="162"/>
        <v>-85.650176819538416</v>
      </c>
      <c r="P331" s="310">
        <f t="shared" ca="1" si="163"/>
        <v>23</v>
      </c>
      <c r="Q331" s="304">
        <f t="shared" ca="1" si="164"/>
        <v>0</v>
      </c>
      <c r="R331" s="306">
        <f t="shared" ca="1" si="165"/>
        <v>0</v>
      </c>
      <c r="S331" s="307">
        <f t="shared" ca="1" si="166"/>
        <v>2.0843000000000003</v>
      </c>
      <c r="T331" s="304">
        <f t="shared" ca="1" si="146"/>
        <v>20.446983000000003</v>
      </c>
      <c r="U331" s="311">
        <f t="shared" ca="1" si="147"/>
        <v>0</v>
      </c>
      <c r="V331" s="306">
        <f t="shared" ca="1" si="148"/>
        <v>1.2250178462363754</v>
      </c>
      <c r="W331" s="304">
        <f t="shared" ca="1" si="149"/>
        <v>7.1552156967602283</v>
      </c>
      <c r="Y331" s="314" t="str">
        <f t="shared" ca="1" si="167"/>
        <v/>
      </c>
      <c r="Z331" s="315" t="str">
        <f t="shared" ca="1" si="168"/>
        <v/>
      </c>
      <c r="AA331" s="316" t="str">
        <f t="shared" ca="1" si="169"/>
        <v/>
      </c>
      <c r="AC331" s="310" t="e">
        <f t="shared" ca="1" si="170"/>
        <v>#N/A</v>
      </c>
      <c r="AD331" s="323" t="e">
        <f t="shared" ca="1" si="171"/>
        <v>#N/A</v>
      </c>
      <c r="AE331" s="324">
        <f t="shared" ca="1" si="150"/>
        <v>-0.14568250107281494</v>
      </c>
      <c r="AG331" s="306">
        <f t="shared" ca="1" si="172"/>
        <v>6.3489172978063806</v>
      </c>
      <c r="AH331" s="304">
        <f t="shared" ca="1" si="173"/>
        <v>-3.4328244805250292</v>
      </c>
    </row>
    <row r="332" spans="1:34" x14ac:dyDescent="0.2">
      <c r="A332" s="347">
        <f t="shared" ca="1" si="151"/>
        <v>1E-4</v>
      </c>
      <c r="B332" s="304">
        <f t="shared" ca="1" si="152"/>
        <v>12.002799999999969</v>
      </c>
      <c r="D332" s="306">
        <f t="shared" ca="1" si="153"/>
        <v>-0.26037195574993544</v>
      </c>
      <c r="E332" s="307">
        <f t="shared" ca="1" si="154"/>
        <v>-6.3869776408916437</v>
      </c>
      <c r="F332" s="304">
        <f t="shared" ca="1" si="155"/>
        <v>6.3922826080040327</v>
      </c>
      <c r="G332" s="306">
        <f t="shared" ca="1" si="156"/>
        <v>3.9164653485073222</v>
      </c>
      <c r="H332" s="307">
        <f t="shared" ca="1" si="157"/>
        <v>-51.489431121291481</v>
      </c>
      <c r="I332" s="304">
        <f t="shared" ca="1" si="158"/>
        <v>51.638166292193979</v>
      </c>
      <c r="J332" s="306">
        <f t="shared" ca="1" si="159"/>
        <v>56.288824373840264</v>
      </c>
      <c r="K332" s="307">
        <f t="shared" ca="1" si="160"/>
        <v>-0.15083141225005589</v>
      </c>
      <c r="L332" s="304">
        <f t="shared" ca="1" si="145"/>
        <v>56.289026457240809</v>
      </c>
      <c r="M332" s="306">
        <f t="shared" ca="1" si="161"/>
        <v>-1.494879031303191</v>
      </c>
      <c r="N332" s="304">
        <f t="shared" ca="1" si="162"/>
        <v>-85.650259376277717</v>
      </c>
      <c r="P332" s="310">
        <f t="shared" ca="1" si="163"/>
        <v>23</v>
      </c>
      <c r="Q332" s="304">
        <f t="shared" ca="1" si="164"/>
        <v>0</v>
      </c>
      <c r="R332" s="306">
        <f t="shared" ca="1" si="165"/>
        <v>0</v>
      </c>
      <c r="S332" s="307">
        <f t="shared" ca="1" si="166"/>
        <v>2.0843000000000003</v>
      </c>
      <c r="T332" s="304">
        <f t="shared" ca="1" si="146"/>
        <v>20.446983000000003</v>
      </c>
      <c r="U332" s="311">
        <f t="shared" ca="1" si="147"/>
        <v>0</v>
      </c>
      <c r="V332" s="306">
        <f t="shared" ca="1" si="148"/>
        <v>1.2250184769873462</v>
      </c>
      <c r="W332" s="304">
        <f t="shared" ca="1" si="149"/>
        <v>7.1553953287955059</v>
      </c>
      <c r="Y332" s="314" t="str">
        <f t="shared" ca="1" si="167"/>
        <v/>
      </c>
      <c r="Z332" s="315" t="str">
        <f t="shared" ca="1" si="168"/>
        <v/>
      </c>
      <c r="AA332" s="316" t="str">
        <f t="shared" ca="1" si="169"/>
        <v/>
      </c>
      <c r="AC332" s="310" t="e">
        <f t="shared" ca="1" si="170"/>
        <v>#N/A</v>
      </c>
      <c r="AD332" s="323" t="e">
        <f t="shared" ca="1" si="171"/>
        <v>#N/A</v>
      </c>
      <c r="AE332" s="324">
        <f t="shared" ca="1" si="150"/>
        <v>-0.15083141225005589</v>
      </c>
      <c r="AG332" s="306">
        <f t="shared" ca="1" si="172"/>
        <v>6.3488321865666268</v>
      </c>
      <c r="AH332" s="304">
        <f t="shared" ca="1" si="173"/>
        <v>-3.4329106638968612</v>
      </c>
    </row>
    <row r="333" spans="1:34" x14ac:dyDescent="0.2">
      <c r="A333" s="347">
        <f t="shared" ca="1" si="151"/>
        <v>1E-4</v>
      </c>
      <c r="B333" s="304">
        <f t="shared" ca="1" si="152"/>
        <v>12.002899999999968</v>
      </c>
      <c r="D333" s="306">
        <f t="shared" ca="1" si="153"/>
        <v>-0.26037356008820767</v>
      </c>
      <c r="E333" s="307">
        <f t="shared" ca="1" si="154"/>
        <v>-6.386891330577761</v>
      </c>
      <c r="F333" s="304">
        <f t="shared" ca="1" si="155"/>
        <v>6.3921964346695708</v>
      </c>
      <c r="G333" s="306">
        <f t="shared" ca="1" si="156"/>
        <v>3.9164393111513132</v>
      </c>
      <c r="H333" s="307">
        <f t="shared" ca="1" si="157"/>
        <v>-51.490069810424536</v>
      </c>
      <c r="I333" s="304">
        <f t="shared" ca="1" si="158"/>
        <v>51.638801166955105</v>
      </c>
      <c r="J333" s="306">
        <f t="shared" ca="1" si="159"/>
        <v>56.288824373840264</v>
      </c>
      <c r="K333" s="307">
        <f t="shared" ca="1" si="160"/>
        <v>-0.15598038729664168</v>
      </c>
      <c r="L333" s="304">
        <f t="shared" ca="1" si="145"/>
        <v>56.289040489870274</v>
      </c>
      <c r="M333" s="306">
        <f t="shared" ca="1" si="161"/>
        <v>-1.4948804721451023</v>
      </c>
      <c r="N333" s="304">
        <f t="shared" ca="1" si="162"/>
        <v>-85.650341930438188</v>
      </c>
      <c r="P333" s="310">
        <f t="shared" ca="1" si="163"/>
        <v>23</v>
      </c>
      <c r="Q333" s="304">
        <f t="shared" ca="1" si="164"/>
        <v>0</v>
      </c>
      <c r="R333" s="306">
        <f t="shared" ca="1" si="165"/>
        <v>0</v>
      </c>
      <c r="S333" s="307">
        <f t="shared" ca="1" si="166"/>
        <v>2.0843000000000003</v>
      </c>
      <c r="T333" s="304">
        <f t="shared" ca="1" si="146"/>
        <v>20.446983000000003</v>
      </c>
      <c r="U333" s="311">
        <f t="shared" ca="1" si="147"/>
        <v>0</v>
      </c>
      <c r="V333" s="306">
        <f t="shared" ca="1" si="148"/>
        <v>1.2250191077464654</v>
      </c>
      <c r="W333" s="304">
        <f t="shared" ca="1" si="149"/>
        <v>7.1555749608640626</v>
      </c>
      <c r="Y333" s="314" t="str">
        <f t="shared" ca="1" si="167"/>
        <v/>
      </c>
      <c r="Z333" s="315" t="str">
        <f t="shared" ca="1" si="168"/>
        <v/>
      </c>
      <c r="AA333" s="316" t="str">
        <f t="shared" ca="1" si="169"/>
        <v/>
      </c>
      <c r="AC333" s="310" t="e">
        <f t="shared" ca="1" si="170"/>
        <v>#N/A</v>
      </c>
      <c r="AD333" s="323" t="e">
        <f t="shared" ca="1" si="171"/>
        <v>#N/A</v>
      </c>
      <c r="AE333" s="324">
        <f t="shared" ca="1" si="150"/>
        <v>-0.15598038729664168</v>
      </c>
      <c r="AG333" s="306">
        <f t="shared" ca="1" si="172"/>
        <v>6.3487470752570623</v>
      </c>
      <c r="AH333" s="304">
        <f t="shared" ca="1" si="173"/>
        <v>-3.4329968472847021</v>
      </c>
    </row>
    <row r="334" spans="1:34" x14ac:dyDescent="0.2">
      <c r="A334" s="347">
        <f t="shared" ca="1" si="151"/>
        <v>1E-4</v>
      </c>
      <c r="B334" s="304">
        <f t="shared" ca="1" si="152"/>
        <v>12.002999999999968</v>
      </c>
      <c r="D334" s="306">
        <f t="shared" ca="1" si="153"/>
        <v>-0.2603751643335796</v>
      </c>
      <c r="E334" s="307">
        <f t="shared" ca="1" si="154"/>
        <v>-6.3868050202479463</v>
      </c>
      <c r="F334" s="304">
        <f t="shared" ca="1" si="155"/>
        <v>6.3921102613195053</v>
      </c>
      <c r="G334" s="306">
        <f t="shared" ca="1" si="156"/>
        <v>3.91641327363488</v>
      </c>
      <c r="H334" s="307">
        <f t="shared" ca="1" si="157"/>
        <v>-51.490708490926558</v>
      </c>
      <c r="I334" s="304">
        <f t="shared" ca="1" si="158"/>
        <v>51.639436033205087</v>
      </c>
      <c r="J334" s="306">
        <f t="shared" ca="1" si="159"/>
        <v>56.288824373840264</v>
      </c>
      <c r="K334" s="307">
        <f t="shared" ca="1" si="160"/>
        <v>-0.16112942621170923</v>
      </c>
      <c r="L334" s="304">
        <f t="shared" ca="1" si="145"/>
        <v>56.289054993675506</v>
      </c>
      <c r="M334" s="306">
        <f t="shared" ca="1" si="161"/>
        <v>-1.4948819129420066</v>
      </c>
      <c r="N334" s="304">
        <f t="shared" ca="1" si="162"/>
        <v>-85.650424482019929</v>
      </c>
      <c r="P334" s="310">
        <f t="shared" ca="1" si="163"/>
        <v>23</v>
      </c>
      <c r="Q334" s="304">
        <f t="shared" ca="1" si="164"/>
        <v>0</v>
      </c>
      <c r="R334" s="306">
        <f t="shared" ca="1" si="165"/>
        <v>0</v>
      </c>
      <c r="S334" s="307">
        <f t="shared" ca="1" si="166"/>
        <v>2.0843000000000003</v>
      </c>
      <c r="T334" s="304">
        <f t="shared" ca="1" si="146"/>
        <v>20.446983000000003</v>
      </c>
      <c r="U334" s="311">
        <f t="shared" ca="1" si="147"/>
        <v>0</v>
      </c>
      <c r="V334" s="306">
        <f t="shared" ca="1" si="148"/>
        <v>1.2250197385137338</v>
      </c>
      <c r="W334" s="304">
        <f t="shared" ca="1" si="149"/>
        <v>7.1557545929658177</v>
      </c>
      <c r="Y334" s="314" t="str">
        <f t="shared" ca="1" si="167"/>
        <v/>
      </c>
      <c r="Z334" s="315" t="str">
        <f t="shared" ca="1" si="168"/>
        <v/>
      </c>
      <c r="AA334" s="316" t="str">
        <f t="shared" ca="1" si="169"/>
        <v/>
      </c>
      <c r="AC334" s="310" t="e">
        <f t="shared" ca="1" si="170"/>
        <v>#N/A</v>
      </c>
      <c r="AD334" s="323" t="e">
        <f t="shared" ca="1" si="171"/>
        <v>#N/A</v>
      </c>
      <c r="AE334" s="324">
        <f t="shared" ca="1" si="150"/>
        <v>-0.16112942621170923</v>
      </c>
      <c r="AG334" s="306">
        <f t="shared" ca="1" si="172"/>
        <v>6.3486619638777357</v>
      </c>
      <c r="AH334" s="304">
        <f t="shared" ca="1" si="173"/>
        <v>-3.4330830306885103</v>
      </c>
    </row>
    <row r="335" spans="1:34" x14ac:dyDescent="0.2">
      <c r="A335" s="347">
        <f t="shared" ca="1" si="151"/>
        <v>1E-4</v>
      </c>
      <c r="B335" s="304">
        <f t="shared" ca="1" si="152"/>
        <v>12.003099999999968</v>
      </c>
      <c r="D335" s="306">
        <f t="shared" ca="1" si="153"/>
        <v>-0.2603767684860529</v>
      </c>
      <c r="E335" s="307">
        <f t="shared" ca="1" si="154"/>
        <v>-6.3867187099022402</v>
      </c>
      <c r="F335" s="304">
        <f t="shared" ca="1" si="155"/>
        <v>6.3920240879538754</v>
      </c>
      <c r="G335" s="306">
        <f t="shared" ca="1" si="156"/>
        <v>3.9163872359580316</v>
      </c>
      <c r="H335" s="307">
        <f t="shared" ca="1" si="157"/>
        <v>-51.491347162797545</v>
      </c>
      <c r="I335" s="304">
        <f t="shared" ca="1" si="158"/>
        <v>51.640070890943925</v>
      </c>
      <c r="J335" s="306">
        <f t="shared" ca="1" si="159"/>
        <v>56.288824373840264</v>
      </c>
      <c r="K335" s="307">
        <f t="shared" ca="1" si="160"/>
        <v>-0.16627852899439544</v>
      </c>
      <c r="L335" s="304">
        <f t="shared" ca="1" si="145"/>
        <v>56.289069968673658</v>
      </c>
      <c r="M335" s="306">
        <f t="shared" ca="1" si="161"/>
        <v>-1.4948833536939061</v>
      </c>
      <c r="N335" s="304">
        <f t="shared" ca="1" si="162"/>
        <v>-85.650507031023096</v>
      </c>
      <c r="P335" s="310">
        <f t="shared" ca="1" si="163"/>
        <v>23</v>
      </c>
      <c r="Q335" s="304">
        <f t="shared" ca="1" si="164"/>
        <v>0</v>
      </c>
      <c r="R335" s="306">
        <f t="shared" ca="1" si="165"/>
        <v>0</v>
      </c>
      <c r="S335" s="307">
        <f t="shared" ca="1" si="166"/>
        <v>2.0843000000000003</v>
      </c>
      <c r="T335" s="304">
        <f t="shared" ca="1" si="146"/>
        <v>20.446983000000003</v>
      </c>
      <c r="U335" s="311">
        <f t="shared" ca="1" si="147"/>
        <v>0</v>
      </c>
      <c r="V335" s="306">
        <f t="shared" ca="1" si="148"/>
        <v>1.2250203692891508</v>
      </c>
      <c r="W335" s="304">
        <f t="shared" ca="1" si="149"/>
        <v>7.1559342251006814</v>
      </c>
      <c r="Y335" s="314" t="str">
        <f t="shared" ca="1" si="167"/>
        <v/>
      </c>
      <c r="Z335" s="315" t="str">
        <f t="shared" ca="1" si="168"/>
        <v/>
      </c>
      <c r="AA335" s="316" t="str">
        <f t="shared" ca="1" si="169"/>
        <v/>
      </c>
      <c r="AC335" s="310" t="e">
        <f t="shared" ca="1" si="170"/>
        <v>#N/A</v>
      </c>
      <c r="AD335" s="323" t="e">
        <f t="shared" ca="1" si="171"/>
        <v>#N/A</v>
      </c>
      <c r="AE335" s="324">
        <f t="shared" ca="1" si="150"/>
        <v>-0.16627852899439544</v>
      </c>
      <c r="AG335" s="306">
        <f t="shared" ca="1" si="172"/>
        <v>6.3485768524286907</v>
      </c>
      <c r="AH335" s="304">
        <f t="shared" ca="1" si="173"/>
        <v>-3.4331692141082457</v>
      </c>
    </row>
    <row r="336" spans="1:34" x14ac:dyDescent="0.2">
      <c r="A336" s="347">
        <f t="shared" ca="1" si="151"/>
        <v>1E-4</v>
      </c>
      <c r="B336" s="304">
        <f t="shared" ca="1" si="152"/>
        <v>12.003199999999968</v>
      </c>
      <c r="D336" s="306">
        <f t="shared" ca="1" si="153"/>
        <v>-0.26037837254562762</v>
      </c>
      <c r="E336" s="307">
        <f t="shared" ca="1" si="154"/>
        <v>-6.3866323995406837</v>
      </c>
      <c r="F336" s="304">
        <f t="shared" ca="1" si="155"/>
        <v>6.3919379145727238</v>
      </c>
      <c r="G336" s="306">
        <f t="shared" ca="1" si="156"/>
        <v>3.9163611981207769</v>
      </c>
      <c r="H336" s="307">
        <f t="shared" ca="1" si="157"/>
        <v>-51.491985826037499</v>
      </c>
      <c r="I336" s="304">
        <f t="shared" ca="1" si="158"/>
        <v>51.640705740171612</v>
      </c>
      <c r="J336" s="306">
        <f t="shared" ca="1" si="159"/>
        <v>56.288824373840264</v>
      </c>
      <c r="K336" s="307">
        <f t="shared" ca="1" si="160"/>
        <v>-0.1714276956438372</v>
      </c>
      <c r="L336" s="304">
        <f t="shared" ca="1" si="145"/>
        <v>56.289085414881875</v>
      </c>
      <c r="M336" s="306">
        <f t="shared" ca="1" si="161"/>
        <v>-1.494884794400803</v>
      </c>
      <c r="N336" s="304">
        <f t="shared" ca="1" si="162"/>
        <v>-85.650589577447803</v>
      </c>
      <c r="P336" s="310">
        <f t="shared" ca="1" si="163"/>
        <v>23</v>
      </c>
      <c r="Q336" s="304">
        <f t="shared" ca="1" si="164"/>
        <v>0</v>
      </c>
      <c r="R336" s="306">
        <f t="shared" ca="1" si="165"/>
        <v>0</v>
      </c>
      <c r="S336" s="307">
        <f t="shared" ca="1" si="166"/>
        <v>2.0843000000000003</v>
      </c>
      <c r="T336" s="304">
        <f t="shared" ca="1" si="146"/>
        <v>20.446983000000003</v>
      </c>
      <c r="U336" s="311">
        <f t="shared" ca="1" si="147"/>
        <v>0</v>
      </c>
      <c r="V336" s="306">
        <f t="shared" ca="1" si="148"/>
        <v>1.2250210000727162</v>
      </c>
      <c r="W336" s="304">
        <f t="shared" ca="1" si="149"/>
        <v>7.1561138572685721</v>
      </c>
      <c r="Y336" s="314" t="str">
        <f t="shared" ca="1" si="167"/>
        <v/>
      </c>
      <c r="Z336" s="315" t="str">
        <f t="shared" ca="1" si="168"/>
        <v/>
      </c>
      <c r="AA336" s="316" t="str">
        <f t="shared" ca="1" si="169"/>
        <v/>
      </c>
      <c r="AC336" s="310" t="e">
        <f t="shared" ca="1" si="170"/>
        <v>#N/A</v>
      </c>
      <c r="AD336" s="323" t="e">
        <f t="shared" ca="1" si="171"/>
        <v>#N/A</v>
      </c>
      <c r="AE336" s="324">
        <f t="shared" ca="1" si="150"/>
        <v>-0.1714276956438372</v>
      </c>
      <c r="AG336" s="306">
        <f t="shared" ca="1" si="172"/>
        <v>6.3484917409099699</v>
      </c>
      <c r="AH336" s="304">
        <f t="shared" ca="1" si="173"/>
        <v>-3.4332553975438662</v>
      </c>
    </row>
    <row r="337" spans="1:34" x14ac:dyDescent="0.2">
      <c r="A337" s="347">
        <f t="shared" ca="1" si="151"/>
        <v>1E-4</v>
      </c>
      <c r="B337" s="304">
        <f t="shared" ca="1" si="152"/>
        <v>12.003299999999967</v>
      </c>
      <c r="D337" s="306">
        <f t="shared" ca="1" si="153"/>
        <v>-0.26037997651230543</v>
      </c>
      <c r="E337" s="307">
        <f t="shared" ca="1" si="154"/>
        <v>-6.3865460891633177</v>
      </c>
      <c r="F337" s="304">
        <f t="shared" ca="1" si="155"/>
        <v>6.3918517411760902</v>
      </c>
      <c r="G337" s="306">
        <f t="shared" ca="1" si="156"/>
        <v>3.9163351601231255</v>
      </c>
      <c r="H337" s="307">
        <f t="shared" ca="1" si="157"/>
        <v>-51.492624480646413</v>
      </c>
      <c r="I337" s="304">
        <f t="shared" ca="1" si="158"/>
        <v>51.641340580888127</v>
      </c>
      <c r="J337" s="306">
        <f t="shared" ca="1" si="159"/>
        <v>56.288824373840264</v>
      </c>
      <c r="K337" s="307">
        <f t="shared" ca="1" si="160"/>
        <v>-0.17657692615917139</v>
      </c>
      <c r="L337" s="304">
        <f t="shared" ca="1" si="145"/>
        <v>56.289101332317308</v>
      </c>
      <c r="M337" s="306">
        <f t="shared" ca="1" si="161"/>
        <v>-1.4948862350626995</v>
      </c>
      <c r="N337" s="304">
        <f t="shared" ca="1" si="162"/>
        <v>-85.650672121294178</v>
      </c>
      <c r="P337" s="310">
        <f t="shared" ca="1" si="163"/>
        <v>23</v>
      </c>
      <c r="Q337" s="304">
        <f t="shared" ca="1" si="164"/>
        <v>0</v>
      </c>
      <c r="R337" s="306">
        <f t="shared" ca="1" si="165"/>
        <v>0</v>
      </c>
      <c r="S337" s="307">
        <f t="shared" ca="1" si="166"/>
        <v>2.0843000000000003</v>
      </c>
      <c r="T337" s="304">
        <f t="shared" ca="1" si="146"/>
        <v>20.446983000000003</v>
      </c>
      <c r="U337" s="311">
        <f t="shared" ca="1" si="147"/>
        <v>0</v>
      </c>
      <c r="V337" s="306">
        <f t="shared" ca="1" si="148"/>
        <v>1.2250216308644302</v>
      </c>
      <c r="W337" s="304">
        <f t="shared" ca="1" si="149"/>
        <v>7.1562934894693946</v>
      </c>
      <c r="Y337" s="314" t="str">
        <f t="shared" ca="1" si="167"/>
        <v/>
      </c>
      <c r="Z337" s="315" t="str">
        <f t="shared" ca="1" si="168"/>
        <v/>
      </c>
      <c r="AA337" s="316" t="str">
        <f t="shared" ca="1" si="169"/>
        <v/>
      </c>
      <c r="AC337" s="310" t="e">
        <f t="shared" ca="1" si="170"/>
        <v>#N/A</v>
      </c>
      <c r="AD337" s="323" t="e">
        <f t="shared" ca="1" si="171"/>
        <v>#N/A</v>
      </c>
      <c r="AE337" s="324">
        <f t="shared" ca="1" si="150"/>
        <v>-0.17657692615917139</v>
      </c>
      <c r="AG337" s="306">
        <f t="shared" ca="1" si="172"/>
        <v>6.3484066293216195</v>
      </c>
      <c r="AH337" s="304">
        <f t="shared" ca="1" si="173"/>
        <v>-3.4333415809953323</v>
      </c>
    </row>
    <row r="338" spans="1:34" x14ac:dyDescent="0.2">
      <c r="A338" s="347">
        <f t="shared" ca="1" si="151"/>
        <v>1E-4</v>
      </c>
      <c r="B338" s="304">
        <f t="shared" ca="1" si="152"/>
        <v>12.003399999999967</v>
      </c>
      <c r="D338" s="306">
        <f t="shared" ca="1" si="153"/>
        <v>-0.26038158038608689</v>
      </c>
      <c r="E338" s="307">
        <f t="shared" ca="1" si="154"/>
        <v>-6.3864597787701873</v>
      </c>
      <c r="F338" s="304">
        <f t="shared" ca="1" si="155"/>
        <v>6.3917655677640202</v>
      </c>
      <c r="G338" s="306">
        <f t="shared" ca="1" si="156"/>
        <v>3.916309121965087</v>
      </c>
      <c r="H338" s="307">
        <f t="shared" ca="1" si="157"/>
        <v>-51.493263126624292</v>
      </c>
      <c r="I338" s="304">
        <f t="shared" ca="1" si="158"/>
        <v>51.64197541309349</v>
      </c>
      <c r="J338" s="306">
        <f t="shared" ca="1" si="159"/>
        <v>56.288824373840264</v>
      </c>
      <c r="K338" s="307">
        <f t="shared" ca="1" si="160"/>
        <v>-0.18172622053953494</v>
      </c>
      <c r="L338" s="304">
        <f t="shared" ca="1" si="145"/>
        <v>56.289117720997062</v>
      </c>
      <c r="M338" s="306">
        <f t="shared" ca="1" si="161"/>
        <v>-1.4948876756795977</v>
      </c>
      <c r="N338" s="304">
        <f t="shared" ca="1" si="162"/>
        <v>-85.650754662562349</v>
      </c>
      <c r="P338" s="310">
        <f t="shared" ca="1" si="163"/>
        <v>23</v>
      </c>
      <c r="Q338" s="304">
        <f t="shared" ca="1" si="164"/>
        <v>0</v>
      </c>
      <c r="R338" s="306">
        <f t="shared" ca="1" si="165"/>
        <v>0</v>
      </c>
      <c r="S338" s="307">
        <f t="shared" ca="1" si="166"/>
        <v>2.0843000000000003</v>
      </c>
      <c r="T338" s="304">
        <f t="shared" ca="1" si="146"/>
        <v>20.446983000000003</v>
      </c>
      <c r="U338" s="311">
        <f t="shared" ca="1" si="147"/>
        <v>0</v>
      </c>
      <c r="V338" s="306">
        <f t="shared" ca="1" si="148"/>
        <v>1.2250222616642927</v>
      </c>
      <c r="W338" s="304">
        <f t="shared" ca="1" si="149"/>
        <v>7.1564731217030761</v>
      </c>
      <c r="Y338" s="314" t="str">
        <f t="shared" ca="1" si="167"/>
        <v/>
      </c>
      <c r="Z338" s="315" t="str">
        <f t="shared" ca="1" si="168"/>
        <v/>
      </c>
      <c r="AA338" s="316" t="str">
        <f t="shared" ca="1" si="169"/>
        <v/>
      </c>
      <c r="AC338" s="310" t="e">
        <f t="shared" ca="1" si="170"/>
        <v>#N/A</v>
      </c>
      <c r="AD338" s="323" t="e">
        <f t="shared" ca="1" si="171"/>
        <v>#N/A</v>
      </c>
      <c r="AE338" s="324">
        <f t="shared" ca="1" si="150"/>
        <v>-0.18172622053953494</v>
      </c>
      <c r="AG338" s="306">
        <f t="shared" ca="1" si="172"/>
        <v>6.3483215176636847</v>
      </c>
      <c r="AH338" s="304">
        <f t="shared" ca="1" si="173"/>
        <v>-3.4334277644625981</v>
      </c>
    </row>
    <row r="339" spans="1:34" x14ac:dyDescent="0.2">
      <c r="A339" s="347">
        <f t="shared" ca="1" si="151"/>
        <v>1E-4</v>
      </c>
      <c r="B339" s="304">
        <f t="shared" ca="1" si="152"/>
        <v>12.003499999999967</v>
      </c>
      <c r="D339" s="306">
        <f t="shared" ca="1" si="153"/>
        <v>-0.26038318416697315</v>
      </c>
      <c r="E339" s="307">
        <f t="shared" ca="1" si="154"/>
        <v>-6.3863734683613274</v>
      </c>
      <c r="F339" s="304">
        <f t="shared" ca="1" si="155"/>
        <v>6.3916793943365482</v>
      </c>
      <c r="G339" s="306">
        <f t="shared" ca="1" si="156"/>
        <v>3.9162830836466704</v>
      </c>
      <c r="H339" s="307">
        <f t="shared" ca="1" si="157"/>
        <v>-51.493901763971131</v>
      </c>
      <c r="I339" s="304">
        <f t="shared" ca="1" si="158"/>
        <v>51.642610236787668</v>
      </c>
      <c r="J339" s="306">
        <f t="shared" ca="1" si="159"/>
        <v>56.288824373840264</v>
      </c>
      <c r="K339" s="307">
        <f t="shared" ca="1" si="160"/>
        <v>-0.18687557878406472</v>
      </c>
      <c r="L339" s="304">
        <f t="shared" ca="1" si="145"/>
        <v>56.289134580938267</v>
      </c>
      <c r="M339" s="306">
        <f t="shared" ca="1" si="161"/>
        <v>-1.4948891162514999</v>
      </c>
      <c r="N339" s="304">
        <f t="shared" ca="1" si="162"/>
        <v>-85.650837201252429</v>
      </c>
      <c r="P339" s="310">
        <f t="shared" ca="1" si="163"/>
        <v>23</v>
      </c>
      <c r="Q339" s="304">
        <f t="shared" ca="1" si="164"/>
        <v>0</v>
      </c>
      <c r="R339" s="306">
        <f t="shared" ca="1" si="165"/>
        <v>0</v>
      </c>
      <c r="S339" s="307">
        <f t="shared" ca="1" si="166"/>
        <v>2.0843000000000003</v>
      </c>
      <c r="T339" s="304">
        <f t="shared" ca="1" si="146"/>
        <v>20.446983000000003</v>
      </c>
      <c r="U339" s="311">
        <f t="shared" ca="1" si="147"/>
        <v>0</v>
      </c>
      <c r="V339" s="306">
        <f t="shared" ca="1" si="148"/>
        <v>1.2250228924723032</v>
      </c>
      <c r="W339" s="304">
        <f t="shared" ca="1" si="149"/>
        <v>7.1566527539695164</v>
      </c>
      <c r="Y339" s="314" t="str">
        <f t="shared" ca="1" si="167"/>
        <v/>
      </c>
      <c r="Z339" s="315" t="str">
        <f t="shared" ca="1" si="168"/>
        <v/>
      </c>
      <c r="AA339" s="316" t="str">
        <f t="shared" ca="1" si="169"/>
        <v/>
      </c>
      <c r="AC339" s="310" t="e">
        <f t="shared" ca="1" si="170"/>
        <v>#N/A</v>
      </c>
      <c r="AD339" s="323" t="e">
        <f t="shared" ca="1" si="171"/>
        <v>#N/A</v>
      </c>
      <c r="AE339" s="324">
        <f t="shared" ca="1" si="150"/>
        <v>-0.18687557878406472</v>
      </c>
      <c r="AG339" s="306">
        <f t="shared" ca="1" si="172"/>
        <v>6.3482364059362073</v>
      </c>
      <c r="AH339" s="304">
        <f t="shared" ca="1" si="173"/>
        <v>-3.4335139479456291</v>
      </c>
    </row>
    <row r="340" spans="1:34" x14ac:dyDescent="0.2">
      <c r="A340" s="347">
        <f t="shared" ca="1" si="151"/>
        <v>1E-4</v>
      </c>
      <c r="B340" s="304">
        <f t="shared" ca="1" si="152"/>
        <v>12.003599999999967</v>
      </c>
      <c r="D340" s="306">
        <f t="shared" ca="1" si="153"/>
        <v>-0.26038478785496472</v>
      </c>
      <c r="E340" s="307">
        <f t="shared" ca="1" si="154"/>
        <v>-6.3862871579367866</v>
      </c>
      <c r="F340" s="304">
        <f t="shared" ca="1" si="155"/>
        <v>6.3915932208937232</v>
      </c>
      <c r="G340" s="306">
        <f t="shared" ca="1" si="156"/>
        <v>3.9162570451678849</v>
      </c>
      <c r="H340" s="307">
        <f t="shared" ca="1" si="157"/>
        <v>-51.494540392686922</v>
      </c>
      <c r="I340" s="304">
        <f t="shared" ca="1" si="158"/>
        <v>51.643245051970659</v>
      </c>
      <c r="J340" s="306">
        <f t="shared" ca="1" si="159"/>
        <v>56.288824373840264</v>
      </c>
      <c r="K340" s="307">
        <f t="shared" ca="1" si="160"/>
        <v>-0.19202500089189761</v>
      </c>
      <c r="L340" s="304">
        <f t="shared" ca="1" si="145"/>
        <v>56.289151912158012</v>
      </c>
      <c r="M340" s="306">
        <f t="shared" ca="1" si="161"/>
        <v>-1.4948905567784081</v>
      </c>
      <c r="N340" s="304">
        <f t="shared" ca="1" si="162"/>
        <v>-85.650919737364546</v>
      </c>
      <c r="P340" s="310">
        <f t="shared" ca="1" si="163"/>
        <v>23</v>
      </c>
      <c r="Q340" s="304">
        <f t="shared" ca="1" si="164"/>
        <v>0</v>
      </c>
      <c r="R340" s="306">
        <f t="shared" ca="1" si="165"/>
        <v>0</v>
      </c>
      <c r="S340" s="307">
        <f t="shared" ca="1" si="166"/>
        <v>2.0843000000000003</v>
      </c>
      <c r="T340" s="304">
        <f t="shared" ca="1" si="146"/>
        <v>20.446983000000003</v>
      </c>
      <c r="U340" s="311">
        <f t="shared" ca="1" si="147"/>
        <v>0</v>
      </c>
      <c r="V340" s="306">
        <f t="shared" ca="1" si="148"/>
        <v>1.2250235232884623</v>
      </c>
      <c r="W340" s="304">
        <f t="shared" ca="1" si="149"/>
        <v>7.1568323862686363</v>
      </c>
      <c r="Y340" s="314" t="str">
        <f t="shared" ca="1" si="167"/>
        <v/>
      </c>
      <c r="Z340" s="315" t="str">
        <f t="shared" ca="1" si="168"/>
        <v/>
      </c>
      <c r="AA340" s="316" t="str">
        <f t="shared" ca="1" si="169"/>
        <v/>
      </c>
      <c r="AC340" s="310" t="e">
        <f t="shared" ca="1" si="170"/>
        <v>#N/A</v>
      </c>
      <c r="AD340" s="323" t="e">
        <f t="shared" ca="1" si="171"/>
        <v>#N/A</v>
      </c>
      <c r="AE340" s="324">
        <f t="shared" ca="1" si="150"/>
        <v>-0.19202500089189761</v>
      </c>
      <c r="AG340" s="306">
        <f t="shared" ca="1" si="172"/>
        <v>6.3481512941392388</v>
      </c>
      <c r="AH340" s="304">
        <f t="shared" ca="1" si="173"/>
        <v>-3.4336001314443774</v>
      </c>
    </row>
    <row r="341" spans="1:34" x14ac:dyDescent="0.2">
      <c r="A341" s="347">
        <f t="shared" ca="1" si="151"/>
        <v>1E-4</v>
      </c>
      <c r="B341" s="304">
        <f t="shared" ca="1" si="152"/>
        <v>12.003699999999967</v>
      </c>
      <c r="D341" s="306">
        <f t="shared" ca="1" si="153"/>
        <v>-0.2603863914500632</v>
      </c>
      <c r="E341" s="307">
        <f t="shared" ca="1" si="154"/>
        <v>-6.3862008474966032</v>
      </c>
      <c r="F341" s="304">
        <f t="shared" ca="1" si="155"/>
        <v>6.3915070474355824</v>
      </c>
      <c r="G341" s="306">
        <f t="shared" ca="1" si="156"/>
        <v>3.91623100652874</v>
      </c>
      <c r="H341" s="307">
        <f t="shared" ca="1" si="157"/>
        <v>-51.495179012771672</v>
      </c>
      <c r="I341" s="304">
        <f t="shared" ca="1" si="158"/>
        <v>51.643879858642471</v>
      </c>
      <c r="J341" s="306">
        <f t="shared" ca="1" si="159"/>
        <v>56.288824373840264</v>
      </c>
      <c r="K341" s="307">
        <f t="shared" ca="1" si="160"/>
        <v>-0.19717448686217054</v>
      </c>
      <c r="L341" s="304">
        <f t="shared" ca="1" si="145"/>
        <v>56.289169714673385</v>
      </c>
      <c r="M341" s="306">
        <f t="shared" ca="1" si="161"/>
        <v>-1.4948919972603247</v>
      </c>
      <c r="N341" s="304">
        <f t="shared" ca="1" si="162"/>
        <v>-85.651002270898829</v>
      </c>
      <c r="P341" s="310">
        <f t="shared" ca="1" si="163"/>
        <v>23</v>
      </c>
      <c r="Q341" s="304">
        <f t="shared" ca="1" si="164"/>
        <v>0</v>
      </c>
      <c r="R341" s="306">
        <f t="shared" ca="1" si="165"/>
        <v>0</v>
      </c>
      <c r="S341" s="307">
        <f t="shared" ca="1" si="166"/>
        <v>2.0843000000000003</v>
      </c>
      <c r="T341" s="304">
        <f t="shared" ca="1" si="146"/>
        <v>20.446983000000003</v>
      </c>
      <c r="U341" s="311">
        <f t="shared" ca="1" si="147"/>
        <v>0</v>
      </c>
      <c r="V341" s="306">
        <f t="shared" ca="1" si="148"/>
        <v>1.2250241541127693</v>
      </c>
      <c r="W341" s="304">
        <f t="shared" ca="1" si="149"/>
        <v>7.1570120186003496</v>
      </c>
      <c r="Y341" s="314" t="str">
        <f t="shared" ca="1" si="167"/>
        <v/>
      </c>
      <c r="Z341" s="315" t="str">
        <f t="shared" ca="1" si="168"/>
        <v/>
      </c>
      <c r="AA341" s="316" t="str">
        <f t="shared" ca="1" si="169"/>
        <v/>
      </c>
      <c r="AC341" s="310" t="e">
        <f t="shared" ca="1" si="170"/>
        <v>#N/A</v>
      </c>
      <c r="AD341" s="323" t="e">
        <f t="shared" ca="1" si="171"/>
        <v>#N/A</v>
      </c>
      <c r="AE341" s="324">
        <f t="shared" ca="1" si="150"/>
        <v>-0.19717448686217054</v>
      </c>
      <c r="AG341" s="306">
        <f t="shared" ca="1" si="172"/>
        <v>6.3480661822728202</v>
      </c>
      <c r="AH341" s="304">
        <f t="shared" ca="1" si="173"/>
        <v>-3.4336863149588042</v>
      </c>
    </row>
    <row r="342" spans="1:34" x14ac:dyDescent="0.2">
      <c r="A342" s="347">
        <f t="shared" ca="1" si="151"/>
        <v>1E-4</v>
      </c>
      <c r="B342" s="304">
        <f t="shared" ca="1" si="152"/>
        <v>12.003799999999966</v>
      </c>
      <c r="D342" s="306">
        <f t="shared" ca="1" si="153"/>
        <v>-0.26038799495226883</v>
      </c>
      <c r="E342" s="307">
        <f t="shared" ca="1" si="154"/>
        <v>-6.3861145370408163</v>
      </c>
      <c r="F342" s="304">
        <f t="shared" ca="1" si="155"/>
        <v>6.3914208739621658</v>
      </c>
      <c r="G342" s="306">
        <f t="shared" ca="1" si="156"/>
        <v>3.9162049677292448</v>
      </c>
      <c r="H342" s="307">
        <f t="shared" ca="1" si="157"/>
        <v>-51.495817624225374</v>
      </c>
      <c r="I342" s="304">
        <f t="shared" ca="1" si="158"/>
        <v>51.644514656803075</v>
      </c>
      <c r="J342" s="306">
        <f t="shared" ca="1" si="159"/>
        <v>56.288824373840264</v>
      </c>
      <c r="K342" s="307">
        <f t="shared" ca="1" si="160"/>
        <v>-0.20232403669402038</v>
      </c>
      <c r="L342" s="304">
        <f t="shared" ca="1" si="145"/>
        <v>56.289187988501467</v>
      </c>
      <c r="M342" s="306">
        <f t="shared" ca="1" si="161"/>
        <v>-1.494893437697252</v>
      </c>
      <c r="N342" s="304">
        <f t="shared" ca="1" si="162"/>
        <v>-85.651084801855419</v>
      </c>
      <c r="P342" s="310">
        <f t="shared" ca="1" si="163"/>
        <v>23</v>
      </c>
      <c r="Q342" s="304">
        <f t="shared" ca="1" si="164"/>
        <v>0</v>
      </c>
      <c r="R342" s="306">
        <f t="shared" ca="1" si="165"/>
        <v>0</v>
      </c>
      <c r="S342" s="307">
        <f t="shared" ca="1" si="166"/>
        <v>2.0843000000000003</v>
      </c>
      <c r="T342" s="304">
        <f t="shared" ca="1" si="146"/>
        <v>20.446983000000003</v>
      </c>
      <c r="U342" s="311">
        <f t="shared" ca="1" si="147"/>
        <v>0</v>
      </c>
      <c r="V342" s="306">
        <f t="shared" ca="1" si="148"/>
        <v>1.2250247849452247</v>
      </c>
      <c r="W342" s="304">
        <f t="shared" ca="1" si="149"/>
        <v>7.1571916509645694</v>
      </c>
      <c r="Y342" s="314" t="str">
        <f t="shared" ca="1" si="167"/>
        <v/>
      </c>
      <c r="Z342" s="315" t="str">
        <f t="shared" ca="1" si="168"/>
        <v/>
      </c>
      <c r="AA342" s="316" t="str">
        <f t="shared" ca="1" si="169"/>
        <v/>
      </c>
      <c r="AC342" s="310" t="e">
        <f t="shared" ca="1" si="170"/>
        <v>#N/A</v>
      </c>
      <c r="AD342" s="323" t="e">
        <f t="shared" ca="1" si="171"/>
        <v>#N/A</v>
      </c>
      <c r="AE342" s="324">
        <f t="shared" ca="1" si="150"/>
        <v>-0.20232403669402038</v>
      </c>
      <c r="AG342" s="306">
        <f t="shared" ca="1" si="172"/>
        <v>6.3479810703369939</v>
      </c>
      <c r="AH342" s="304">
        <f t="shared" ca="1" si="173"/>
        <v>-3.4337724984888687</v>
      </c>
    </row>
    <row r="343" spans="1:34" x14ac:dyDescent="0.2">
      <c r="A343" s="347">
        <f t="shared" ca="1" si="151"/>
        <v>1E-4</v>
      </c>
      <c r="B343" s="304">
        <f t="shared" ca="1" si="152"/>
        <v>12.003899999999966</v>
      </c>
      <c r="D343" s="306">
        <f t="shared" ca="1" si="153"/>
        <v>-0.26038959836158226</v>
      </c>
      <c r="E343" s="307">
        <f t="shared" ca="1" si="154"/>
        <v>-6.3860282265694703</v>
      </c>
      <c r="F343" s="304">
        <f t="shared" ca="1" si="155"/>
        <v>6.3913347004735188</v>
      </c>
      <c r="G343" s="306">
        <f t="shared" ca="1" si="156"/>
        <v>3.9161789287694084</v>
      </c>
      <c r="H343" s="307">
        <f t="shared" ca="1" si="157"/>
        <v>-51.496456227048029</v>
      </c>
      <c r="I343" s="304">
        <f t="shared" ca="1" si="158"/>
        <v>51.645149446452486</v>
      </c>
      <c r="J343" s="306">
        <f t="shared" ca="1" si="159"/>
        <v>56.288824373840264</v>
      </c>
      <c r="K343" s="307">
        <f t="shared" ca="1" si="160"/>
        <v>-0.20747365038658405</v>
      </c>
      <c r="L343" s="304">
        <f t="shared" ca="1" si="145"/>
        <v>56.289206733659327</v>
      </c>
      <c r="M343" s="306">
        <f t="shared" ca="1" si="161"/>
        <v>-1.4948948780891917</v>
      </c>
      <c r="N343" s="304">
        <f t="shared" ca="1" si="162"/>
        <v>-85.651167330234415</v>
      </c>
      <c r="P343" s="310">
        <f t="shared" ca="1" si="163"/>
        <v>23</v>
      </c>
      <c r="Q343" s="304">
        <f t="shared" ca="1" si="164"/>
        <v>0</v>
      </c>
      <c r="R343" s="306">
        <f t="shared" ca="1" si="165"/>
        <v>0</v>
      </c>
      <c r="S343" s="307">
        <f t="shared" ca="1" si="166"/>
        <v>2.0843000000000003</v>
      </c>
      <c r="T343" s="304">
        <f t="shared" ca="1" si="146"/>
        <v>20.446983000000003</v>
      </c>
      <c r="U343" s="311">
        <f t="shared" ca="1" si="147"/>
        <v>0</v>
      </c>
      <c r="V343" s="306">
        <f t="shared" ca="1" si="148"/>
        <v>1.2250254157858276</v>
      </c>
      <c r="W343" s="304">
        <f t="shared" ca="1" si="149"/>
        <v>7.1573712833612069</v>
      </c>
      <c r="Y343" s="314" t="str">
        <f t="shared" ca="1" si="167"/>
        <v/>
      </c>
      <c r="Z343" s="315" t="str">
        <f t="shared" ca="1" si="168"/>
        <v/>
      </c>
      <c r="AA343" s="316" t="str">
        <f t="shared" ca="1" si="169"/>
        <v/>
      </c>
      <c r="AC343" s="310" t="e">
        <f t="shared" ca="1" si="170"/>
        <v>#N/A</v>
      </c>
      <c r="AD343" s="323" t="e">
        <f t="shared" ca="1" si="171"/>
        <v>#N/A</v>
      </c>
      <c r="AE343" s="324">
        <f t="shared" ca="1" si="150"/>
        <v>-0.20747365038658405</v>
      </c>
      <c r="AG343" s="306">
        <f t="shared" ca="1" si="172"/>
        <v>6.3478959583318115</v>
      </c>
      <c r="AH343" s="304">
        <f t="shared" ca="1" si="173"/>
        <v>-3.4338586820345287</v>
      </c>
    </row>
    <row r="344" spans="1:34" x14ac:dyDescent="0.2">
      <c r="A344" s="347">
        <f t="shared" ca="1" si="151"/>
        <v>1E-4</v>
      </c>
      <c r="B344" s="304">
        <f t="shared" ca="1" si="152"/>
        <v>12.003999999999966</v>
      </c>
      <c r="D344" s="306">
        <f t="shared" ca="1" si="153"/>
        <v>-0.26039120167800589</v>
      </c>
      <c r="E344" s="307">
        <f t="shared" ca="1" si="154"/>
        <v>-6.3859419160826079</v>
      </c>
      <c r="F344" s="304">
        <f t="shared" ca="1" si="155"/>
        <v>6.3912485269696813</v>
      </c>
      <c r="G344" s="306">
        <f t="shared" ca="1" si="156"/>
        <v>3.9161528896492408</v>
      </c>
      <c r="H344" s="307">
        <f t="shared" ca="1" si="157"/>
        <v>-51.497094821239635</v>
      </c>
      <c r="I344" s="304">
        <f t="shared" ca="1" si="158"/>
        <v>51.645784227590681</v>
      </c>
      <c r="J344" s="306">
        <f t="shared" ca="1" si="159"/>
        <v>56.288824373840264</v>
      </c>
      <c r="K344" s="307">
        <f t="shared" ca="1" si="160"/>
        <v>-0.21262332793899844</v>
      </c>
      <c r="L344" s="304">
        <f t="shared" ca="1" si="145"/>
        <v>56.289225950164017</v>
      </c>
      <c r="M344" s="306">
        <f t="shared" ca="1" si="161"/>
        <v>-1.4948963184361466</v>
      </c>
      <c r="N344" s="304">
        <f t="shared" ca="1" si="162"/>
        <v>-85.65124985603596</v>
      </c>
      <c r="P344" s="310">
        <f t="shared" ca="1" si="163"/>
        <v>23</v>
      </c>
      <c r="Q344" s="304">
        <f t="shared" ca="1" si="164"/>
        <v>0</v>
      </c>
      <c r="R344" s="306">
        <f t="shared" ca="1" si="165"/>
        <v>0</v>
      </c>
      <c r="S344" s="307">
        <f t="shared" ca="1" si="166"/>
        <v>2.0843000000000003</v>
      </c>
      <c r="T344" s="304">
        <f t="shared" ca="1" si="146"/>
        <v>20.446983000000003</v>
      </c>
      <c r="U344" s="311">
        <f t="shared" ca="1" si="147"/>
        <v>0</v>
      </c>
      <c r="V344" s="306">
        <f t="shared" ca="1" si="148"/>
        <v>1.2250260466345786</v>
      </c>
      <c r="W344" s="304">
        <f t="shared" ca="1" si="149"/>
        <v>7.1575509157901802</v>
      </c>
      <c r="Y344" s="314" t="str">
        <f t="shared" ca="1" si="167"/>
        <v/>
      </c>
      <c r="Z344" s="315" t="str">
        <f t="shared" ca="1" si="168"/>
        <v/>
      </c>
      <c r="AA344" s="316" t="str">
        <f t="shared" ca="1" si="169"/>
        <v/>
      </c>
      <c r="AC344" s="310" t="e">
        <f t="shared" ca="1" si="170"/>
        <v>#N/A</v>
      </c>
      <c r="AD344" s="323" t="e">
        <f t="shared" ca="1" si="171"/>
        <v>#N/A</v>
      </c>
      <c r="AE344" s="324">
        <f t="shared" ca="1" si="150"/>
        <v>-0.21262332793899844</v>
      </c>
      <c r="AG344" s="306">
        <f t="shared" ca="1" si="172"/>
        <v>6.3478108462573104</v>
      </c>
      <c r="AH344" s="304">
        <f t="shared" ca="1" si="173"/>
        <v>-3.4339448655957425</v>
      </c>
    </row>
    <row r="345" spans="1:34" x14ac:dyDescent="0.2">
      <c r="A345" s="347">
        <f t="shared" ca="1" si="151"/>
        <v>1E-4</v>
      </c>
      <c r="B345" s="304">
        <f t="shared" ca="1" si="152"/>
        <v>12.004099999999966</v>
      </c>
      <c r="D345" s="306">
        <f t="shared" ca="1" si="153"/>
        <v>-0.26039280490153899</v>
      </c>
      <c r="E345" s="307">
        <f t="shared" ca="1" si="154"/>
        <v>-6.3858556055802662</v>
      </c>
      <c r="F345" s="304">
        <f t="shared" ca="1" si="155"/>
        <v>6.3911623534506923</v>
      </c>
      <c r="G345" s="306">
        <f t="shared" ca="1" si="156"/>
        <v>3.9161268503687507</v>
      </c>
      <c r="H345" s="307">
        <f t="shared" ca="1" si="157"/>
        <v>-51.497733406800194</v>
      </c>
      <c r="I345" s="304">
        <f t="shared" ca="1" si="158"/>
        <v>51.646419000217662</v>
      </c>
      <c r="J345" s="306">
        <f t="shared" ca="1" si="159"/>
        <v>56.288824373840264</v>
      </c>
      <c r="K345" s="307">
        <f t="shared" ca="1" si="160"/>
        <v>-0.21777306935040042</v>
      </c>
      <c r="L345" s="304">
        <f t="shared" ca="1" si="145"/>
        <v>56.289245638032568</v>
      </c>
      <c r="M345" s="306">
        <f t="shared" ca="1" si="161"/>
        <v>-1.4948977587381187</v>
      </c>
      <c r="N345" s="304">
        <f t="shared" ca="1" si="162"/>
        <v>-85.651332379260182</v>
      </c>
      <c r="P345" s="310">
        <f t="shared" ca="1" si="163"/>
        <v>23</v>
      </c>
      <c r="Q345" s="304">
        <f t="shared" ca="1" si="164"/>
        <v>0</v>
      </c>
      <c r="R345" s="306">
        <f t="shared" ca="1" si="165"/>
        <v>0</v>
      </c>
      <c r="S345" s="307">
        <f t="shared" ca="1" si="166"/>
        <v>2.0843000000000003</v>
      </c>
      <c r="T345" s="304">
        <f t="shared" ca="1" si="146"/>
        <v>20.446983000000003</v>
      </c>
      <c r="U345" s="311">
        <f t="shared" ca="1" si="147"/>
        <v>0</v>
      </c>
      <c r="V345" s="306">
        <f t="shared" ca="1" si="148"/>
        <v>1.2250266774914775</v>
      </c>
      <c r="W345" s="304">
        <f t="shared" ca="1" si="149"/>
        <v>7.1577305482514006</v>
      </c>
      <c r="Y345" s="314" t="str">
        <f t="shared" ca="1" si="167"/>
        <v/>
      </c>
      <c r="Z345" s="315" t="str">
        <f t="shared" ca="1" si="168"/>
        <v/>
      </c>
      <c r="AA345" s="316" t="str">
        <f t="shared" ca="1" si="169"/>
        <v/>
      </c>
      <c r="AC345" s="310" t="e">
        <f t="shared" ca="1" si="170"/>
        <v>#N/A</v>
      </c>
      <c r="AD345" s="323" t="e">
        <f t="shared" ca="1" si="171"/>
        <v>#N/A</v>
      </c>
      <c r="AE345" s="324">
        <f t="shared" ca="1" si="150"/>
        <v>-0.21777306935040042</v>
      </c>
      <c r="AG345" s="306">
        <f t="shared" ca="1" si="172"/>
        <v>6.3477257341135402</v>
      </c>
      <c r="AH345" s="304">
        <f t="shared" ca="1" si="173"/>
        <v>-3.4340310491724702</v>
      </c>
    </row>
    <row r="346" spans="1:34" x14ac:dyDescent="0.2">
      <c r="A346" s="347">
        <f t="shared" ca="1" si="151"/>
        <v>1E-4</v>
      </c>
      <c r="B346" s="304">
        <f t="shared" ca="1" si="152"/>
        <v>12.004199999999965</v>
      </c>
      <c r="D346" s="306">
        <f t="shared" ca="1" si="153"/>
        <v>-0.26039440803218245</v>
      </c>
      <c r="E346" s="307">
        <f t="shared" ca="1" si="154"/>
        <v>-6.3857692950624898</v>
      </c>
      <c r="F346" s="304">
        <f t="shared" ca="1" si="155"/>
        <v>6.3910761799165972</v>
      </c>
      <c r="G346" s="306">
        <f t="shared" ca="1" si="156"/>
        <v>3.9161008109279476</v>
      </c>
      <c r="H346" s="307">
        <f t="shared" ca="1" si="157"/>
        <v>-51.498371983729697</v>
      </c>
      <c r="I346" s="304">
        <f t="shared" ca="1" si="158"/>
        <v>51.647053764333414</v>
      </c>
      <c r="J346" s="306">
        <f t="shared" ca="1" si="159"/>
        <v>56.288824373840264</v>
      </c>
      <c r="K346" s="307">
        <f t="shared" ca="1" si="160"/>
        <v>-0.22292287461992691</v>
      </c>
      <c r="L346" s="304">
        <f t="shared" ca="1" si="145"/>
        <v>56.289265797282013</v>
      </c>
      <c r="M346" s="306">
        <f t="shared" ca="1" si="161"/>
        <v>-1.4948991989951099</v>
      </c>
      <c r="N346" s="304">
        <f t="shared" ca="1" si="162"/>
        <v>-85.651414899907195</v>
      </c>
      <c r="P346" s="310">
        <f t="shared" ca="1" si="163"/>
        <v>23</v>
      </c>
      <c r="Q346" s="304">
        <f t="shared" ca="1" si="164"/>
        <v>0</v>
      </c>
      <c r="R346" s="306">
        <f t="shared" ca="1" si="165"/>
        <v>0</v>
      </c>
      <c r="S346" s="307">
        <f t="shared" ca="1" si="166"/>
        <v>2.0843000000000003</v>
      </c>
      <c r="T346" s="304">
        <f t="shared" ca="1" si="146"/>
        <v>20.446983000000003</v>
      </c>
      <c r="U346" s="311">
        <f t="shared" ca="1" si="147"/>
        <v>0</v>
      </c>
      <c r="V346" s="306">
        <f t="shared" ca="1" si="148"/>
        <v>1.2250273083565237</v>
      </c>
      <c r="W346" s="304">
        <f t="shared" ca="1" si="149"/>
        <v>7.1579101807447802</v>
      </c>
      <c r="Y346" s="314" t="str">
        <f t="shared" ca="1" si="167"/>
        <v/>
      </c>
      <c r="Z346" s="315" t="str">
        <f t="shared" ca="1" si="168"/>
        <v/>
      </c>
      <c r="AA346" s="316" t="str">
        <f t="shared" ca="1" si="169"/>
        <v/>
      </c>
      <c r="AC346" s="310" t="e">
        <f t="shared" ca="1" si="170"/>
        <v>#N/A</v>
      </c>
      <c r="AD346" s="323" t="e">
        <f t="shared" ca="1" si="171"/>
        <v>#N/A</v>
      </c>
      <c r="AE346" s="324">
        <f t="shared" ca="1" si="150"/>
        <v>-0.22292287461992691</v>
      </c>
      <c r="AG346" s="306">
        <f t="shared" ca="1" si="172"/>
        <v>6.3476406219005472</v>
      </c>
      <c r="AH346" s="304">
        <f t="shared" ca="1" si="173"/>
        <v>-3.434117232764669</v>
      </c>
    </row>
    <row r="347" spans="1:34" x14ac:dyDescent="0.2">
      <c r="A347" s="347">
        <f t="shared" ca="1" si="151"/>
        <v>1E-4</v>
      </c>
      <c r="B347" s="304">
        <f t="shared" ca="1" si="152"/>
        <v>12.004299999999965</v>
      </c>
      <c r="D347" s="306">
        <f t="shared" ca="1" si="153"/>
        <v>-0.26039601106993837</v>
      </c>
      <c r="E347" s="307">
        <f t="shared" ca="1" si="154"/>
        <v>-6.3856829845293213</v>
      </c>
      <c r="F347" s="304">
        <f t="shared" ca="1" si="155"/>
        <v>6.3909900063674359</v>
      </c>
      <c r="G347" s="306">
        <f t="shared" ca="1" si="156"/>
        <v>3.9160747713268407</v>
      </c>
      <c r="H347" s="307">
        <f t="shared" ca="1" si="157"/>
        <v>-51.499010552028153</v>
      </c>
      <c r="I347" s="304">
        <f t="shared" ca="1" si="158"/>
        <v>51.647688519937944</v>
      </c>
      <c r="J347" s="306">
        <f t="shared" ca="1" si="159"/>
        <v>56.288824373840264</v>
      </c>
      <c r="K347" s="307">
        <f t="shared" ca="1" si="160"/>
        <v>-0.2280727437467148</v>
      </c>
      <c r="L347" s="304">
        <f t="shared" ca="1" si="145"/>
        <v>56.289286427929376</v>
      </c>
      <c r="M347" s="306">
        <f t="shared" ca="1" si="161"/>
        <v>-1.4949006392071227</v>
      </c>
      <c r="N347" s="304">
        <f t="shared" ca="1" si="162"/>
        <v>-85.651497417977126</v>
      </c>
      <c r="P347" s="310">
        <f t="shared" ca="1" si="163"/>
        <v>23</v>
      </c>
      <c r="Q347" s="304">
        <f t="shared" ca="1" si="164"/>
        <v>0</v>
      </c>
      <c r="R347" s="306">
        <f t="shared" ca="1" si="165"/>
        <v>0</v>
      </c>
      <c r="S347" s="307">
        <f t="shared" ca="1" si="166"/>
        <v>2.0843000000000003</v>
      </c>
      <c r="T347" s="304">
        <f t="shared" ca="1" si="146"/>
        <v>20.446983000000003</v>
      </c>
      <c r="U347" s="311">
        <f t="shared" ca="1" si="147"/>
        <v>0</v>
      </c>
      <c r="V347" s="306">
        <f t="shared" ca="1" si="148"/>
        <v>1.2250279392297179</v>
      </c>
      <c r="W347" s="304">
        <f t="shared" ca="1" si="149"/>
        <v>7.1580898132702373</v>
      </c>
      <c r="Y347" s="314" t="str">
        <f t="shared" ca="1" si="167"/>
        <v/>
      </c>
      <c r="Z347" s="315" t="str">
        <f t="shared" ca="1" si="168"/>
        <v/>
      </c>
      <c r="AA347" s="316" t="str">
        <f t="shared" ca="1" si="169"/>
        <v/>
      </c>
      <c r="AC347" s="310" t="e">
        <f t="shared" ca="1" si="170"/>
        <v>#N/A</v>
      </c>
      <c r="AD347" s="323" t="e">
        <f t="shared" ca="1" si="171"/>
        <v>#N/A</v>
      </c>
      <c r="AE347" s="324">
        <f t="shared" ca="1" si="150"/>
        <v>-0.2280727437467148</v>
      </c>
      <c r="AG347" s="306">
        <f t="shared" ca="1" si="172"/>
        <v>6.3475555096183722</v>
      </c>
      <c r="AH347" s="304">
        <f t="shared" ca="1" si="173"/>
        <v>-3.4342034163722972</v>
      </c>
    </row>
    <row r="348" spans="1:34" x14ac:dyDescent="0.2">
      <c r="A348" s="347">
        <f t="shared" ca="1" si="151"/>
        <v>1E-4</v>
      </c>
      <c r="B348" s="304">
        <f t="shared" ca="1" si="152"/>
        <v>12.004399999999965</v>
      </c>
      <c r="D348" s="306">
        <f t="shared" ca="1" si="153"/>
        <v>-0.2603976140148071</v>
      </c>
      <c r="E348" s="307">
        <f t="shared" ca="1" si="154"/>
        <v>-6.385596673980797</v>
      </c>
      <c r="F348" s="304">
        <f t="shared" ca="1" si="155"/>
        <v>6.3909038328032457</v>
      </c>
      <c r="G348" s="306">
        <f t="shared" ca="1" si="156"/>
        <v>3.9160487315654393</v>
      </c>
      <c r="H348" s="307">
        <f t="shared" ca="1" si="157"/>
        <v>-51.499649111695554</v>
      </c>
      <c r="I348" s="304">
        <f t="shared" ca="1" si="158"/>
        <v>51.648323267031238</v>
      </c>
      <c r="J348" s="306">
        <f t="shared" ca="1" si="159"/>
        <v>56.288824373840264</v>
      </c>
      <c r="K348" s="307">
        <f t="shared" ca="1" si="160"/>
        <v>-0.23322267672990099</v>
      </c>
      <c r="L348" s="304">
        <f t="shared" ca="1" si="145"/>
        <v>56.289307529991653</v>
      </c>
      <c r="M348" s="306">
        <f t="shared" ca="1" si="161"/>
        <v>-1.494902079374159</v>
      </c>
      <c r="N348" s="304">
        <f t="shared" ca="1" si="162"/>
        <v>-85.651579933470103</v>
      </c>
      <c r="P348" s="310">
        <f t="shared" ca="1" si="163"/>
        <v>23</v>
      </c>
      <c r="Q348" s="304">
        <f t="shared" ca="1" si="164"/>
        <v>0</v>
      </c>
      <c r="R348" s="306">
        <f t="shared" ca="1" si="165"/>
        <v>0</v>
      </c>
      <c r="S348" s="307">
        <f t="shared" ca="1" si="166"/>
        <v>2.0843000000000003</v>
      </c>
      <c r="T348" s="304">
        <f t="shared" ca="1" si="146"/>
        <v>20.446983000000003</v>
      </c>
      <c r="U348" s="311">
        <f t="shared" ca="1" si="147"/>
        <v>0</v>
      </c>
      <c r="V348" s="306">
        <f t="shared" ca="1" si="148"/>
        <v>1.225028570111059</v>
      </c>
      <c r="W348" s="304">
        <f t="shared" ca="1" si="149"/>
        <v>7.1582694458276821</v>
      </c>
      <c r="Y348" s="314" t="str">
        <f t="shared" ca="1" si="167"/>
        <v/>
      </c>
      <c r="Z348" s="315" t="str">
        <f t="shared" ca="1" si="168"/>
        <v/>
      </c>
      <c r="AA348" s="316" t="str">
        <f t="shared" ca="1" si="169"/>
        <v/>
      </c>
      <c r="AC348" s="310" t="e">
        <f t="shared" ca="1" si="170"/>
        <v>#N/A</v>
      </c>
      <c r="AD348" s="323" t="e">
        <f t="shared" ca="1" si="171"/>
        <v>#N/A</v>
      </c>
      <c r="AE348" s="324">
        <f t="shared" ca="1" si="150"/>
        <v>-0.23322267672990099</v>
      </c>
      <c r="AG348" s="306">
        <f t="shared" ca="1" si="172"/>
        <v>6.3474703972670614</v>
      </c>
      <c r="AH348" s="304">
        <f t="shared" ca="1" si="173"/>
        <v>-3.4342895999953158</v>
      </c>
    </row>
    <row r="349" spans="1:34" x14ac:dyDescent="0.2">
      <c r="A349" s="347">
        <f t="shared" ca="1" si="151"/>
        <v>1E-4</v>
      </c>
      <c r="B349" s="304">
        <f t="shared" ca="1" si="152"/>
        <v>12.004499999999965</v>
      </c>
      <c r="D349" s="306">
        <f t="shared" ca="1" si="153"/>
        <v>-0.26039921686679002</v>
      </c>
      <c r="E349" s="307">
        <f t="shared" ca="1" si="154"/>
        <v>-6.3855103634169632</v>
      </c>
      <c r="F349" s="304">
        <f t="shared" ca="1" si="155"/>
        <v>6.3908176592240746</v>
      </c>
      <c r="G349" s="306">
        <f t="shared" ca="1" si="156"/>
        <v>3.9160226916437528</v>
      </c>
      <c r="H349" s="307">
        <f t="shared" ca="1" si="157"/>
        <v>-51.500287662731893</v>
      </c>
      <c r="I349" s="304">
        <f t="shared" ca="1" si="158"/>
        <v>51.648958005613274</v>
      </c>
      <c r="J349" s="306">
        <f t="shared" ca="1" si="159"/>
        <v>56.288824373840264</v>
      </c>
      <c r="K349" s="307">
        <f t="shared" ca="1" si="160"/>
        <v>-0.23837267356862235</v>
      </c>
      <c r="L349" s="304">
        <f t="shared" ca="1" si="145"/>
        <v>56.289329103485841</v>
      </c>
      <c r="M349" s="306">
        <f t="shared" ca="1" si="161"/>
        <v>-1.4949035194962212</v>
      </c>
      <c r="N349" s="304">
        <f t="shared" ca="1" si="162"/>
        <v>-85.651662446386254</v>
      </c>
      <c r="P349" s="310">
        <f t="shared" ca="1" si="163"/>
        <v>23</v>
      </c>
      <c r="Q349" s="304">
        <f t="shared" ca="1" si="164"/>
        <v>0</v>
      </c>
      <c r="R349" s="306">
        <f t="shared" ca="1" si="165"/>
        <v>0</v>
      </c>
      <c r="S349" s="307">
        <f t="shared" ca="1" si="166"/>
        <v>2.0843000000000003</v>
      </c>
      <c r="T349" s="304">
        <f t="shared" ca="1" si="146"/>
        <v>20.446983000000003</v>
      </c>
      <c r="U349" s="311">
        <f t="shared" ca="1" si="147"/>
        <v>0</v>
      </c>
      <c r="V349" s="306">
        <f t="shared" ca="1" si="148"/>
        <v>1.2250292010005484</v>
      </c>
      <c r="W349" s="304">
        <f t="shared" ca="1" si="149"/>
        <v>7.1584490784170312</v>
      </c>
      <c r="Y349" s="314" t="str">
        <f t="shared" ca="1" si="167"/>
        <v/>
      </c>
      <c r="Z349" s="315" t="str">
        <f t="shared" ca="1" si="168"/>
        <v/>
      </c>
      <c r="AA349" s="316" t="str">
        <f t="shared" ca="1" si="169"/>
        <v/>
      </c>
      <c r="AC349" s="310" t="e">
        <f t="shared" ca="1" si="170"/>
        <v>#N/A</v>
      </c>
      <c r="AD349" s="323" t="e">
        <f t="shared" ca="1" si="171"/>
        <v>#N/A</v>
      </c>
      <c r="AE349" s="324">
        <f t="shared" ca="1" si="150"/>
        <v>-0.23837267356862235</v>
      </c>
      <c r="AG349" s="306">
        <f t="shared" ca="1" si="172"/>
        <v>6.3473852848466583</v>
      </c>
      <c r="AH349" s="304">
        <f t="shared" ca="1" si="173"/>
        <v>-3.4343757836336808</v>
      </c>
    </row>
    <row r="350" spans="1:34" x14ac:dyDescent="0.2">
      <c r="A350" s="347">
        <f t="shared" ca="1" si="151"/>
        <v>1E-4</v>
      </c>
      <c r="B350" s="304">
        <f t="shared" ca="1" si="152"/>
        <v>12.004599999999964</v>
      </c>
      <c r="D350" s="306">
        <f t="shared" ca="1" si="153"/>
        <v>-0.26040081962588729</v>
      </c>
      <c r="E350" s="307">
        <f t="shared" ca="1" si="154"/>
        <v>-6.385424052837859</v>
      </c>
      <c r="F350" s="304">
        <f t="shared" ca="1" si="155"/>
        <v>6.3907314856299591</v>
      </c>
      <c r="G350" s="306">
        <f t="shared" ca="1" si="156"/>
        <v>3.9159966515617901</v>
      </c>
      <c r="H350" s="307">
        <f t="shared" ca="1" si="157"/>
        <v>-51.500926205137176</v>
      </c>
      <c r="I350" s="304">
        <f t="shared" ca="1" si="158"/>
        <v>51.649592735684067</v>
      </c>
      <c r="J350" s="306">
        <f t="shared" ca="1" si="159"/>
        <v>56.288824373840264</v>
      </c>
      <c r="K350" s="307">
        <f t="shared" ca="1" si="160"/>
        <v>-0.24352273426201582</v>
      </c>
      <c r="L350" s="304">
        <f t="shared" ca="1" si="145"/>
        <v>56.289351148428921</v>
      </c>
      <c r="M350" s="306">
        <f t="shared" ca="1" si="161"/>
        <v>-1.4949049595733117</v>
      </c>
      <c r="N350" s="304">
        <f t="shared" ca="1" si="162"/>
        <v>-85.651744956725707</v>
      </c>
      <c r="P350" s="310">
        <f t="shared" ca="1" si="163"/>
        <v>23</v>
      </c>
      <c r="Q350" s="304">
        <f t="shared" ca="1" si="164"/>
        <v>0</v>
      </c>
      <c r="R350" s="306">
        <f t="shared" ca="1" si="165"/>
        <v>0</v>
      </c>
      <c r="S350" s="307">
        <f t="shared" ca="1" si="166"/>
        <v>2.0843000000000003</v>
      </c>
      <c r="T350" s="304">
        <f t="shared" ca="1" si="146"/>
        <v>20.446983000000003</v>
      </c>
      <c r="U350" s="311">
        <f t="shared" ca="1" si="147"/>
        <v>0</v>
      </c>
      <c r="V350" s="306">
        <f t="shared" ca="1" si="148"/>
        <v>1.2250298318981843</v>
      </c>
      <c r="W350" s="304">
        <f t="shared" ca="1" si="149"/>
        <v>7.1586287110381939</v>
      </c>
      <c r="Y350" s="314" t="str">
        <f t="shared" ca="1" si="167"/>
        <v/>
      </c>
      <c r="Z350" s="315" t="str">
        <f t="shared" ca="1" si="168"/>
        <v/>
      </c>
      <c r="AA350" s="316" t="str">
        <f t="shared" ca="1" si="169"/>
        <v/>
      </c>
      <c r="AC350" s="310" t="e">
        <f t="shared" ca="1" si="170"/>
        <v>#N/A</v>
      </c>
      <c r="AD350" s="323" t="e">
        <f t="shared" ca="1" si="171"/>
        <v>#N/A</v>
      </c>
      <c r="AE350" s="324">
        <f t="shared" ca="1" si="150"/>
        <v>-0.24352273426201582</v>
      </c>
      <c r="AG350" s="306">
        <f t="shared" ca="1" si="172"/>
        <v>6.34730017235721</v>
      </c>
      <c r="AH350" s="304">
        <f t="shared" ca="1" si="173"/>
        <v>-3.4344619672873531</v>
      </c>
    </row>
    <row r="351" spans="1:34" x14ac:dyDescent="0.2">
      <c r="A351" s="347">
        <f t="shared" ca="1" si="151"/>
        <v>1E-4</v>
      </c>
      <c r="B351" s="304">
        <f t="shared" ca="1" si="152"/>
        <v>12.004699999999964</v>
      </c>
      <c r="D351" s="306">
        <f t="shared" ca="1" si="153"/>
        <v>-0.26040242229209953</v>
      </c>
      <c r="E351" s="307">
        <f t="shared" ca="1" si="154"/>
        <v>-6.3853377422435269</v>
      </c>
      <c r="F351" s="304">
        <f t="shared" ca="1" si="155"/>
        <v>6.3906453120209425</v>
      </c>
      <c r="G351" s="306">
        <f t="shared" ca="1" si="156"/>
        <v>3.9159706113195609</v>
      </c>
      <c r="H351" s="307">
        <f t="shared" ca="1" si="157"/>
        <v>-51.501564738911398</v>
      </c>
      <c r="I351" s="304">
        <f t="shared" ca="1" si="158"/>
        <v>51.650227457243595</v>
      </c>
      <c r="J351" s="306">
        <f t="shared" ca="1" si="159"/>
        <v>56.288824373840264</v>
      </c>
      <c r="K351" s="307">
        <f t="shared" ca="1" si="160"/>
        <v>-0.24867285880921824</v>
      </c>
      <c r="L351" s="304">
        <f t="shared" ca="1" si="145"/>
        <v>56.289373664837861</v>
      </c>
      <c r="M351" s="306">
        <f t="shared" ca="1" si="161"/>
        <v>-1.4949063996054324</v>
      </c>
      <c r="N351" s="304">
        <f t="shared" ca="1" si="162"/>
        <v>-85.651827464488591</v>
      </c>
      <c r="P351" s="310">
        <f t="shared" ca="1" si="163"/>
        <v>23</v>
      </c>
      <c r="Q351" s="304">
        <f t="shared" ca="1" si="164"/>
        <v>0</v>
      </c>
      <c r="R351" s="306">
        <f t="shared" ca="1" si="165"/>
        <v>0</v>
      </c>
      <c r="S351" s="307">
        <f t="shared" ca="1" si="166"/>
        <v>2.0843000000000003</v>
      </c>
      <c r="T351" s="304">
        <f t="shared" ca="1" si="146"/>
        <v>20.446983000000003</v>
      </c>
      <c r="U351" s="311">
        <f t="shared" ca="1" si="147"/>
        <v>0</v>
      </c>
      <c r="V351" s="306">
        <f t="shared" ca="1" si="148"/>
        <v>1.2250304628039679</v>
      </c>
      <c r="W351" s="304">
        <f t="shared" ca="1" si="149"/>
        <v>7.1588083436910877</v>
      </c>
      <c r="Y351" s="314" t="str">
        <f t="shared" ca="1" si="167"/>
        <v/>
      </c>
      <c r="Z351" s="315" t="str">
        <f t="shared" ca="1" si="168"/>
        <v/>
      </c>
      <c r="AA351" s="316" t="str">
        <f t="shared" ca="1" si="169"/>
        <v/>
      </c>
      <c r="AC351" s="310" t="e">
        <f t="shared" ca="1" si="170"/>
        <v>#N/A</v>
      </c>
      <c r="AD351" s="323" t="e">
        <f t="shared" ca="1" si="171"/>
        <v>#N/A</v>
      </c>
      <c r="AE351" s="324">
        <f t="shared" ca="1" si="150"/>
        <v>-0.24867285880921824</v>
      </c>
      <c r="AG351" s="306">
        <f t="shared" ca="1" si="172"/>
        <v>6.3472150597987618</v>
      </c>
      <c r="AH351" s="304">
        <f t="shared" ca="1" si="173"/>
        <v>-3.4345481509562887</v>
      </c>
    </row>
    <row r="352" spans="1:34" x14ac:dyDescent="0.2">
      <c r="A352" s="347">
        <f t="shared" ca="1" si="151"/>
        <v>1E-4</v>
      </c>
      <c r="B352" s="304">
        <f t="shared" ca="1" si="152"/>
        <v>12.004799999999964</v>
      </c>
      <c r="D352" s="306">
        <f t="shared" ca="1" si="153"/>
        <v>-0.26040402486542857</v>
      </c>
      <c r="E352" s="307">
        <f t="shared" ca="1" si="154"/>
        <v>-6.385251431634007</v>
      </c>
      <c r="F352" s="304">
        <f t="shared" ca="1" si="155"/>
        <v>6.3905591383970659</v>
      </c>
      <c r="G352" s="306">
        <f t="shared" ca="1" si="156"/>
        <v>3.9159445709170746</v>
      </c>
      <c r="H352" s="307">
        <f t="shared" ca="1" si="157"/>
        <v>-51.502203264054565</v>
      </c>
      <c r="I352" s="304">
        <f t="shared" ca="1" si="158"/>
        <v>51.650862170291866</v>
      </c>
      <c r="J352" s="306">
        <f t="shared" ca="1" si="159"/>
        <v>56.288824373840264</v>
      </c>
      <c r="K352" s="307">
        <f t="shared" ca="1" si="160"/>
        <v>-0.25382304720936655</v>
      </c>
      <c r="L352" s="304">
        <f t="shared" ca="1" si="145"/>
        <v>56.289396652729621</v>
      </c>
      <c r="M352" s="306">
        <f t="shared" ca="1" si="161"/>
        <v>-1.4949078395925854</v>
      </c>
      <c r="N352" s="304">
        <f t="shared" ca="1" si="162"/>
        <v>-85.651909969675017</v>
      </c>
      <c r="P352" s="310">
        <f t="shared" ca="1" si="163"/>
        <v>23</v>
      </c>
      <c r="Q352" s="304">
        <f t="shared" ca="1" si="164"/>
        <v>0</v>
      </c>
      <c r="R352" s="306">
        <f t="shared" ca="1" si="165"/>
        <v>0</v>
      </c>
      <c r="S352" s="307">
        <f t="shared" ca="1" si="166"/>
        <v>2.0843000000000003</v>
      </c>
      <c r="T352" s="304">
        <f t="shared" ca="1" si="146"/>
        <v>20.446983000000003</v>
      </c>
      <c r="U352" s="311">
        <f t="shared" ca="1" si="147"/>
        <v>0</v>
      </c>
      <c r="V352" s="306">
        <f t="shared" ca="1" si="148"/>
        <v>1.2250310937178983</v>
      </c>
      <c r="W352" s="304">
        <f t="shared" ca="1" si="149"/>
        <v>7.1589879763756246</v>
      </c>
      <c r="Y352" s="314" t="str">
        <f t="shared" ca="1" si="167"/>
        <v/>
      </c>
      <c r="Z352" s="315" t="str">
        <f t="shared" ca="1" si="168"/>
        <v/>
      </c>
      <c r="AA352" s="316" t="str">
        <f t="shared" ca="1" si="169"/>
        <v/>
      </c>
      <c r="AC352" s="310" t="e">
        <f t="shared" ca="1" si="170"/>
        <v>#N/A</v>
      </c>
      <c r="AD352" s="323" t="e">
        <f t="shared" ca="1" si="171"/>
        <v>#N/A</v>
      </c>
      <c r="AE352" s="324">
        <f t="shared" ca="1" si="150"/>
        <v>-0.25382304720936655</v>
      </c>
      <c r="AG352" s="306">
        <f t="shared" ca="1" si="172"/>
        <v>6.3471299471713563</v>
      </c>
      <c r="AH352" s="304">
        <f t="shared" ca="1" si="173"/>
        <v>-3.4346343346404486</v>
      </c>
    </row>
    <row r="353" spans="1:34" x14ac:dyDescent="0.2">
      <c r="A353" s="347">
        <f t="shared" ca="1" si="151"/>
        <v>1E-4</v>
      </c>
      <c r="B353" s="304">
        <f t="shared" ca="1" si="152"/>
        <v>12.004899999999964</v>
      </c>
      <c r="D353" s="306">
        <f t="shared" ca="1" si="153"/>
        <v>-0.26040562734587491</v>
      </c>
      <c r="E353" s="307">
        <f t="shared" ca="1" si="154"/>
        <v>-6.3851651210093419</v>
      </c>
      <c r="F353" s="304">
        <f t="shared" ca="1" si="155"/>
        <v>6.3904729647583709</v>
      </c>
      <c r="G353" s="306">
        <f t="shared" ca="1" si="156"/>
        <v>3.91591853035434</v>
      </c>
      <c r="H353" s="307">
        <f t="shared" ca="1" si="157"/>
        <v>-51.502841780566662</v>
      </c>
      <c r="I353" s="304">
        <f t="shared" ca="1" si="158"/>
        <v>51.651496874828858</v>
      </c>
      <c r="J353" s="306">
        <f t="shared" ca="1" si="159"/>
        <v>56.288824373840264</v>
      </c>
      <c r="K353" s="307">
        <f t="shared" ca="1" si="160"/>
        <v>-0.25897329946159758</v>
      </c>
      <c r="L353" s="304">
        <f t="shared" ca="1" si="145"/>
        <v>56.289420112121142</v>
      </c>
      <c r="M353" s="306">
        <f t="shared" ca="1" si="161"/>
        <v>-1.4949092795347731</v>
      </c>
      <c r="N353" s="304">
        <f t="shared" ca="1" si="162"/>
        <v>-85.651992472285116</v>
      </c>
      <c r="P353" s="310">
        <f t="shared" ca="1" si="163"/>
        <v>23</v>
      </c>
      <c r="Q353" s="304">
        <f t="shared" ca="1" si="164"/>
        <v>0</v>
      </c>
      <c r="R353" s="306">
        <f t="shared" ca="1" si="165"/>
        <v>0</v>
      </c>
      <c r="S353" s="307">
        <f t="shared" ca="1" si="166"/>
        <v>2.0843000000000003</v>
      </c>
      <c r="T353" s="304">
        <f t="shared" ca="1" si="146"/>
        <v>20.446983000000003</v>
      </c>
      <c r="U353" s="311">
        <f t="shared" ca="1" si="147"/>
        <v>0</v>
      </c>
      <c r="V353" s="306">
        <f t="shared" ca="1" si="148"/>
        <v>1.2250317246399756</v>
      </c>
      <c r="W353" s="304">
        <f t="shared" ca="1" si="149"/>
        <v>7.1591676090917185</v>
      </c>
      <c r="Y353" s="314" t="str">
        <f t="shared" ca="1" si="167"/>
        <v/>
      </c>
      <c r="Z353" s="315" t="str">
        <f t="shared" ca="1" si="168"/>
        <v/>
      </c>
      <c r="AA353" s="316" t="str">
        <f t="shared" ca="1" si="169"/>
        <v/>
      </c>
      <c r="AC353" s="310" t="e">
        <f t="shared" ca="1" si="170"/>
        <v>#N/A</v>
      </c>
      <c r="AD353" s="323" t="e">
        <f t="shared" ca="1" si="171"/>
        <v>#N/A</v>
      </c>
      <c r="AE353" s="324">
        <f t="shared" ca="1" si="150"/>
        <v>-0.25897329946159758</v>
      </c>
      <c r="AG353" s="306">
        <f t="shared" ca="1" si="172"/>
        <v>6.3470448344750423</v>
      </c>
      <c r="AH353" s="304">
        <f t="shared" ca="1" si="173"/>
        <v>-3.4347205183397898</v>
      </c>
    </row>
    <row r="354" spans="1:34" x14ac:dyDescent="0.2">
      <c r="A354" s="347">
        <f t="shared" ca="1" si="151"/>
        <v>1E-4</v>
      </c>
      <c r="B354" s="304">
        <f t="shared" ca="1" si="152"/>
        <v>12.004999999999963</v>
      </c>
      <c r="D354" s="306">
        <f t="shared" ca="1" si="153"/>
        <v>-0.2604072297334396</v>
      </c>
      <c r="E354" s="307">
        <f t="shared" ca="1" si="154"/>
        <v>-6.3850788103695741</v>
      </c>
      <c r="F354" s="304">
        <f t="shared" ca="1" si="155"/>
        <v>6.3903867911049002</v>
      </c>
      <c r="G354" s="306">
        <f t="shared" ca="1" si="156"/>
        <v>3.9158924896313665</v>
      </c>
      <c r="H354" s="307">
        <f t="shared" ca="1" si="157"/>
        <v>-51.503480288447697</v>
      </c>
      <c r="I354" s="304">
        <f t="shared" ca="1" si="158"/>
        <v>51.652131570854571</v>
      </c>
      <c r="J354" s="306">
        <f t="shared" ca="1" si="159"/>
        <v>56.288824373840264</v>
      </c>
      <c r="K354" s="307">
        <f t="shared" ca="1" si="160"/>
        <v>-0.26412361556504832</v>
      </c>
      <c r="L354" s="304">
        <f t="shared" ca="1" si="145"/>
        <v>56.289444043029356</v>
      </c>
      <c r="M354" s="306">
        <f t="shared" ca="1" si="161"/>
        <v>-1.4949107194319977</v>
      </c>
      <c r="N354" s="304">
        <f t="shared" ca="1" si="162"/>
        <v>-85.652074972319014</v>
      </c>
      <c r="P354" s="310">
        <f t="shared" ca="1" si="163"/>
        <v>23</v>
      </c>
      <c r="Q354" s="304">
        <f t="shared" ca="1" si="164"/>
        <v>0</v>
      </c>
      <c r="R354" s="306">
        <f t="shared" ca="1" si="165"/>
        <v>0</v>
      </c>
      <c r="S354" s="307">
        <f t="shared" ca="1" si="166"/>
        <v>2.0843000000000003</v>
      </c>
      <c r="T354" s="304">
        <f t="shared" ca="1" si="146"/>
        <v>20.446983000000003</v>
      </c>
      <c r="U354" s="311">
        <f t="shared" ca="1" si="147"/>
        <v>0</v>
      </c>
      <c r="V354" s="306">
        <f t="shared" ca="1" si="148"/>
        <v>1.2250323555702003</v>
      </c>
      <c r="W354" s="304">
        <f t="shared" ca="1" si="149"/>
        <v>7.1593472418392849</v>
      </c>
      <c r="Y354" s="314" t="str">
        <f t="shared" ca="1" si="167"/>
        <v/>
      </c>
      <c r="Z354" s="315" t="str">
        <f t="shared" ca="1" si="168"/>
        <v/>
      </c>
      <c r="AA354" s="316" t="str">
        <f t="shared" ca="1" si="169"/>
        <v/>
      </c>
      <c r="AC354" s="310" t="e">
        <f t="shared" ca="1" si="170"/>
        <v>#N/A</v>
      </c>
      <c r="AD354" s="323" t="e">
        <f t="shared" ca="1" si="171"/>
        <v>#N/A</v>
      </c>
      <c r="AE354" s="324">
        <f t="shared" ca="1" si="150"/>
        <v>-0.26412361556504832</v>
      </c>
      <c r="AG354" s="306">
        <f t="shared" ca="1" si="172"/>
        <v>6.3469597217098634</v>
      </c>
      <c r="AH354" s="304">
        <f t="shared" ca="1" si="173"/>
        <v>-3.4348067020542712</v>
      </c>
    </row>
    <row r="355" spans="1:34" x14ac:dyDescent="0.2">
      <c r="A355" s="347">
        <f t="shared" ca="1" si="151"/>
        <v>1E-4</v>
      </c>
      <c r="B355" s="304">
        <f t="shared" ca="1" si="152"/>
        <v>12.005099999999963</v>
      </c>
      <c r="D355" s="306">
        <f t="shared" ca="1" si="153"/>
        <v>-0.26040883202812337</v>
      </c>
      <c r="E355" s="307">
        <f t="shared" ca="1" si="154"/>
        <v>-6.3849924997147429</v>
      </c>
      <c r="F355" s="304">
        <f t="shared" ca="1" si="155"/>
        <v>6.3903006174366928</v>
      </c>
      <c r="G355" s="306">
        <f t="shared" ca="1" si="156"/>
        <v>3.9158664487481638</v>
      </c>
      <c r="H355" s="307">
        <f t="shared" ca="1" si="157"/>
        <v>-51.504118787697671</v>
      </c>
      <c r="I355" s="304">
        <f t="shared" ca="1" si="158"/>
        <v>51.652766258369006</v>
      </c>
      <c r="J355" s="306">
        <f t="shared" ca="1" si="159"/>
        <v>56.288824373840264</v>
      </c>
      <c r="K355" s="307">
        <f t="shared" ca="1" si="160"/>
        <v>-0.26927399551885561</v>
      </c>
      <c r="L355" s="304">
        <f t="shared" ca="1" si="145"/>
        <v>56.289468445471186</v>
      </c>
      <c r="M355" s="306">
        <f t="shared" ca="1" si="161"/>
        <v>-1.4949121592842614</v>
      </c>
      <c r="N355" s="304">
        <f t="shared" ca="1" si="162"/>
        <v>-85.652157469776839</v>
      </c>
      <c r="P355" s="310">
        <f t="shared" ca="1" si="163"/>
        <v>23</v>
      </c>
      <c r="Q355" s="304">
        <f t="shared" ca="1" si="164"/>
        <v>0</v>
      </c>
      <c r="R355" s="306">
        <f t="shared" ca="1" si="165"/>
        <v>0</v>
      </c>
      <c r="S355" s="307">
        <f t="shared" ca="1" si="166"/>
        <v>2.0843000000000003</v>
      </c>
      <c r="T355" s="304">
        <f t="shared" ca="1" si="146"/>
        <v>20.446983000000003</v>
      </c>
      <c r="U355" s="311">
        <f t="shared" ca="1" si="147"/>
        <v>0</v>
      </c>
      <c r="V355" s="306">
        <f t="shared" ca="1" si="148"/>
        <v>1.2250329865085716</v>
      </c>
      <c r="W355" s="304">
        <f t="shared" ca="1" si="149"/>
        <v>7.1595268746182379</v>
      </c>
      <c r="Y355" s="314" t="str">
        <f t="shared" ca="1" si="167"/>
        <v/>
      </c>
      <c r="Z355" s="315" t="str">
        <f t="shared" ca="1" si="168"/>
        <v/>
      </c>
      <c r="AA355" s="316" t="str">
        <f t="shared" ca="1" si="169"/>
        <v/>
      </c>
      <c r="AC355" s="310" t="e">
        <f t="shared" ca="1" si="170"/>
        <v>#N/A</v>
      </c>
      <c r="AD355" s="323" t="e">
        <f t="shared" ca="1" si="171"/>
        <v>#N/A</v>
      </c>
      <c r="AE355" s="324">
        <f t="shared" ca="1" si="150"/>
        <v>-0.26927399551885561</v>
      </c>
      <c r="AG355" s="306">
        <f t="shared" ca="1" si="172"/>
        <v>6.3468746088758596</v>
      </c>
      <c r="AH355" s="304">
        <f t="shared" ca="1" si="173"/>
        <v>-3.4348928857838525</v>
      </c>
    </row>
    <row r="356" spans="1:34" x14ac:dyDescent="0.2">
      <c r="A356" s="347">
        <f t="shared" ca="1" si="151"/>
        <v>1E-4</v>
      </c>
      <c r="B356" s="304">
        <f t="shared" ca="1" si="152"/>
        <v>12.005199999999963</v>
      </c>
      <c r="D356" s="306">
        <f t="shared" ca="1" si="153"/>
        <v>-0.2604104342299271</v>
      </c>
      <c r="E356" s="307">
        <f t="shared" ca="1" si="154"/>
        <v>-6.384906189044889</v>
      </c>
      <c r="F356" s="304">
        <f t="shared" ca="1" si="155"/>
        <v>6.3902144437537887</v>
      </c>
      <c r="G356" s="306">
        <f t="shared" ca="1" si="156"/>
        <v>3.9158404077047408</v>
      </c>
      <c r="H356" s="307">
        <f t="shared" ca="1" si="157"/>
        <v>-51.504757278316575</v>
      </c>
      <c r="I356" s="304">
        <f t="shared" ca="1" si="158"/>
        <v>51.653400937372147</v>
      </c>
      <c r="J356" s="306">
        <f t="shared" ca="1" si="159"/>
        <v>56.288824373840264</v>
      </c>
      <c r="K356" s="307">
        <f t="shared" ca="1" si="160"/>
        <v>-0.27442443932215632</v>
      </c>
      <c r="L356" s="304">
        <f t="shared" ca="1" si="145"/>
        <v>56.289493319463546</v>
      </c>
      <c r="M356" s="306">
        <f t="shared" ca="1" si="161"/>
        <v>-1.4949135990915661</v>
      </c>
      <c r="N356" s="304">
        <f t="shared" ca="1" si="162"/>
        <v>-85.652239964658719</v>
      </c>
      <c r="P356" s="310">
        <f t="shared" ca="1" si="163"/>
        <v>23</v>
      </c>
      <c r="Q356" s="304">
        <f t="shared" ca="1" si="164"/>
        <v>0</v>
      </c>
      <c r="R356" s="306">
        <f t="shared" ca="1" si="165"/>
        <v>0</v>
      </c>
      <c r="S356" s="307">
        <f t="shared" ca="1" si="166"/>
        <v>2.0843000000000003</v>
      </c>
      <c r="T356" s="304">
        <f t="shared" ca="1" si="146"/>
        <v>20.446983000000003</v>
      </c>
      <c r="U356" s="311">
        <f t="shared" ca="1" si="147"/>
        <v>0</v>
      </c>
      <c r="V356" s="306">
        <f t="shared" ca="1" si="148"/>
        <v>1.2250336174550895</v>
      </c>
      <c r="W356" s="304">
        <f t="shared" ca="1" si="149"/>
        <v>7.1597065074284876</v>
      </c>
      <c r="Y356" s="314" t="str">
        <f t="shared" ca="1" si="167"/>
        <v/>
      </c>
      <c r="Z356" s="315" t="str">
        <f t="shared" ca="1" si="168"/>
        <v/>
      </c>
      <c r="AA356" s="316" t="str">
        <f t="shared" ca="1" si="169"/>
        <v/>
      </c>
      <c r="AC356" s="310" t="e">
        <f t="shared" ca="1" si="170"/>
        <v>#N/A</v>
      </c>
      <c r="AD356" s="323" t="e">
        <f t="shared" ca="1" si="171"/>
        <v>#N/A</v>
      </c>
      <c r="AE356" s="324">
        <f t="shared" ca="1" si="150"/>
        <v>-0.27442443932215632</v>
      </c>
      <c r="AG356" s="306">
        <f t="shared" ca="1" si="172"/>
        <v>6.346789495973078</v>
      </c>
      <c r="AH356" s="304">
        <f t="shared" ca="1" si="173"/>
        <v>-3.4349790695284925</v>
      </c>
    </row>
    <row r="357" spans="1:34" x14ac:dyDescent="0.2">
      <c r="A357" s="347">
        <f t="shared" ca="1" si="151"/>
        <v>1E-4</v>
      </c>
      <c r="B357" s="304">
        <f t="shared" ca="1" si="152"/>
        <v>12.005299999999963</v>
      </c>
      <c r="D357" s="306">
        <f t="shared" ca="1" si="153"/>
        <v>-0.26041203633885218</v>
      </c>
      <c r="E357" s="307">
        <f t="shared" ca="1" si="154"/>
        <v>-6.3848198783600569</v>
      </c>
      <c r="F357" s="304">
        <f t="shared" ca="1" si="155"/>
        <v>6.3901282700562341</v>
      </c>
      <c r="G357" s="306">
        <f t="shared" ca="1" si="156"/>
        <v>3.9158143665011069</v>
      </c>
      <c r="H357" s="307">
        <f t="shared" ca="1" si="157"/>
        <v>-51.50539576030441</v>
      </c>
      <c r="I357" s="304">
        <f t="shared" ca="1" si="158"/>
        <v>51.654035607863982</v>
      </c>
      <c r="J357" s="306">
        <f t="shared" ca="1" si="159"/>
        <v>56.288824373840264</v>
      </c>
      <c r="K357" s="307">
        <f t="shared" ca="1" si="160"/>
        <v>-0.27957494697408736</v>
      </c>
      <c r="L357" s="304">
        <f t="shared" ca="1" si="145"/>
        <v>56.289518665023323</v>
      </c>
      <c r="M357" s="306">
        <f t="shared" ca="1" si="161"/>
        <v>-1.4949150388539143</v>
      </c>
      <c r="N357" s="304">
        <f t="shared" ca="1" si="162"/>
        <v>-85.652322456964768</v>
      </c>
      <c r="P357" s="310">
        <f t="shared" ca="1" si="163"/>
        <v>23</v>
      </c>
      <c r="Q357" s="304">
        <f t="shared" ca="1" si="164"/>
        <v>0</v>
      </c>
      <c r="R357" s="306">
        <f t="shared" ca="1" si="165"/>
        <v>0</v>
      </c>
      <c r="S357" s="307">
        <f t="shared" ca="1" si="166"/>
        <v>2.0843000000000003</v>
      </c>
      <c r="T357" s="304">
        <f t="shared" ca="1" si="146"/>
        <v>20.446983000000003</v>
      </c>
      <c r="U357" s="311">
        <f t="shared" ca="1" si="147"/>
        <v>0</v>
      </c>
      <c r="V357" s="306">
        <f t="shared" ca="1" si="148"/>
        <v>1.2250342484097543</v>
      </c>
      <c r="W357" s="304">
        <f t="shared" ca="1" si="149"/>
        <v>7.1598861402699496</v>
      </c>
      <c r="Y357" s="314" t="str">
        <f t="shared" ca="1" si="167"/>
        <v/>
      </c>
      <c r="Z357" s="315" t="str">
        <f t="shared" ca="1" si="168"/>
        <v/>
      </c>
      <c r="AA357" s="316" t="str">
        <f t="shared" ca="1" si="169"/>
        <v/>
      </c>
      <c r="AC357" s="310" t="e">
        <f t="shared" ca="1" si="170"/>
        <v>#N/A</v>
      </c>
      <c r="AD357" s="323" t="e">
        <f t="shared" ca="1" si="171"/>
        <v>#N/A</v>
      </c>
      <c r="AE357" s="324">
        <f t="shared" ca="1" si="150"/>
        <v>-0.27957494697408736</v>
      </c>
      <c r="AG357" s="306">
        <f t="shared" ca="1" si="172"/>
        <v>6.346704383001569</v>
      </c>
      <c r="AH357" s="304">
        <f t="shared" ca="1" si="173"/>
        <v>-3.435065253288148</v>
      </c>
    </row>
    <row r="358" spans="1:34" x14ac:dyDescent="0.2">
      <c r="A358" s="347">
        <f t="shared" ca="1" si="151"/>
        <v>1E-4</v>
      </c>
      <c r="B358" s="304">
        <f t="shared" ca="1" si="152"/>
        <v>12.005399999999963</v>
      </c>
      <c r="D358" s="306">
        <f t="shared" ca="1" si="153"/>
        <v>-0.26041363835489878</v>
      </c>
      <c r="E358" s="307">
        <f t="shared" ca="1" si="154"/>
        <v>-6.3847335676602857</v>
      </c>
      <c r="F358" s="304">
        <f t="shared" ca="1" si="155"/>
        <v>6.3900420963440663</v>
      </c>
      <c r="G358" s="306">
        <f t="shared" ca="1" si="156"/>
        <v>3.9157883251372714</v>
      </c>
      <c r="H358" s="307">
        <f t="shared" ca="1" si="157"/>
        <v>-51.506034233661175</v>
      </c>
      <c r="I358" s="304">
        <f t="shared" ca="1" si="158"/>
        <v>51.654670269844509</v>
      </c>
      <c r="J358" s="306">
        <f t="shared" ca="1" si="159"/>
        <v>56.288824373840264</v>
      </c>
      <c r="K358" s="307">
        <f t="shared" ca="1" si="160"/>
        <v>-0.28472551847378563</v>
      </c>
      <c r="L358" s="304">
        <f t="shared" ca="1" si="145"/>
        <v>56.289544482167415</v>
      </c>
      <c r="M358" s="306">
        <f t="shared" ca="1" si="161"/>
        <v>-1.494916478571308</v>
      </c>
      <c r="N358" s="304">
        <f t="shared" ca="1" si="162"/>
        <v>-85.652404946695114</v>
      </c>
      <c r="P358" s="310">
        <f t="shared" ca="1" si="163"/>
        <v>23</v>
      </c>
      <c r="Q358" s="304">
        <f t="shared" ca="1" si="164"/>
        <v>0</v>
      </c>
      <c r="R358" s="306">
        <f t="shared" ca="1" si="165"/>
        <v>0</v>
      </c>
      <c r="S358" s="307">
        <f t="shared" ca="1" si="166"/>
        <v>2.0843000000000003</v>
      </c>
      <c r="T358" s="304">
        <f t="shared" ca="1" si="146"/>
        <v>20.446983000000003</v>
      </c>
      <c r="U358" s="311">
        <f t="shared" ca="1" si="147"/>
        <v>0</v>
      </c>
      <c r="V358" s="306">
        <f t="shared" ca="1" si="148"/>
        <v>1.2250348793725656</v>
      </c>
      <c r="W358" s="304">
        <f t="shared" ca="1" si="149"/>
        <v>7.1600657731425397</v>
      </c>
      <c r="Y358" s="314" t="str">
        <f t="shared" ca="1" si="167"/>
        <v/>
      </c>
      <c r="Z358" s="315" t="str">
        <f t="shared" ca="1" si="168"/>
        <v/>
      </c>
      <c r="AA358" s="316" t="str">
        <f t="shared" ca="1" si="169"/>
        <v/>
      </c>
      <c r="AC358" s="310" t="e">
        <f t="shared" ca="1" si="170"/>
        <v>#N/A</v>
      </c>
      <c r="AD358" s="323" t="e">
        <f t="shared" ca="1" si="171"/>
        <v>#N/A</v>
      </c>
      <c r="AE358" s="324">
        <f t="shared" ca="1" si="150"/>
        <v>-0.28472551847378563</v>
      </c>
      <c r="AG358" s="306">
        <f t="shared" ca="1" si="172"/>
        <v>6.346619269961371</v>
      </c>
      <c r="AH358" s="304">
        <f t="shared" ca="1" si="173"/>
        <v>-3.4351514370627783</v>
      </c>
    </row>
    <row r="359" spans="1:34" x14ac:dyDescent="0.2">
      <c r="A359" s="347">
        <f t="shared" ca="1" si="151"/>
        <v>1E-4</v>
      </c>
      <c r="B359" s="304">
        <f t="shared" ca="1" si="152"/>
        <v>12.005499999999962</v>
      </c>
      <c r="D359" s="306">
        <f t="shared" ca="1" si="153"/>
        <v>-0.26041524027806845</v>
      </c>
      <c r="E359" s="307">
        <f t="shared" ca="1" si="154"/>
        <v>-6.3846472569456179</v>
      </c>
      <c r="F359" s="304">
        <f t="shared" ca="1" si="155"/>
        <v>6.3899559226173297</v>
      </c>
      <c r="G359" s="306">
        <f t="shared" ca="1" si="156"/>
        <v>3.9157622836132435</v>
      </c>
      <c r="H359" s="307">
        <f t="shared" ca="1" si="157"/>
        <v>-51.506672698386872</v>
      </c>
      <c r="I359" s="304">
        <f t="shared" ca="1" si="158"/>
        <v>51.655304923313729</v>
      </c>
      <c r="J359" s="306">
        <f t="shared" ca="1" si="159"/>
        <v>56.288824373840264</v>
      </c>
      <c r="K359" s="307">
        <f t="shared" ca="1" si="160"/>
        <v>-0.28987615382038806</v>
      </c>
      <c r="L359" s="304">
        <f t="shared" ca="1" si="145"/>
        <v>56.289570770912682</v>
      </c>
      <c r="M359" s="306">
        <f t="shared" ca="1" si="161"/>
        <v>-1.4949179182437498</v>
      </c>
      <c r="N359" s="304">
        <f t="shared" ca="1" si="162"/>
        <v>-85.652487433849913</v>
      </c>
      <c r="P359" s="310">
        <f t="shared" ca="1" si="163"/>
        <v>23</v>
      </c>
      <c r="Q359" s="304">
        <f t="shared" ca="1" si="164"/>
        <v>0</v>
      </c>
      <c r="R359" s="306">
        <f t="shared" ca="1" si="165"/>
        <v>0</v>
      </c>
      <c r="S359" s="307">
        <f t="shared" ca="1" si="166"/>
        <v>2.0843000000000003</v>
      </c>
      <c r="T359" s="304">
        <f t="shared" ca="1" si="146"/>
        <v>20.446983000000003</v>
      </c>
      <c r="U359" s="311">
        <f t="shared" ca="1" si="147"/>
        <v>0</v>
      </c>
      <c r="V359" s="306">
        <f t="shared" ca="1" si="148"/>
        <v>1.2250355103435231</v>
      </c>
      <c r="W359" s="304">
        <f t="shared" ca="1" si="149"/>
        <v>7.1602454060461671</v>
      </c>
      <c r="Y359" s="314" t="str">
        <f t="shared" ca="1" si="167"/>
        <v/>
      </c>
      <c r="Z359" s="315" t="str">
        <f t="shared" ca="1" si="168"/>
        <v/>
      </c>
      <c r="AA359" s="316" t="str">
        <f t="shared" ca="1" si="169"/>
        <v/>
      </c>
      <c r="AC359" s="310" t="e">
        <f t="shared" ca="1" si="170"/>
        <v>#N/A</v>
      </c>
      <c r="AD359" s="323" t="e">
        <f t="shared" ca="1" si="171"/>
        <v>#N/A</v>
      </c>
      <c r="AE359" s="324">
        <f t="shared" ca="1" si="150"/>
        <v>-0.28987615382038806</v>
      </c>
      <c r="AG359" s="306">
        <f t="shared" ca="1" si="172"/>
        <v>6.3465341568525329</v>
      </c>
      <c r="AH359" s="304">
        <f t="shared" ca="1" si="173"/>
        <v>-3.4352376208523432</v>
      </c>
    </row>
    <row r="360" spans="1:34" x14ac:dyDescent="0.2">
      <c r="A360" s="347">
        <f t="shared" ca="1" si="151"/>
        <v>1E-4</v>
      </c>
      <c r="B360" s="304">
        <f t="shared" ca="1" si="152"/>
        <v>12.005599999999962</v>
      </c>
      <c r="D360" s="306">
        <f t="shared" ca="1" si="153"/>
        <v>-0.26041684210836114</v>
      </c>
      <c r="E360" s="307">
        <f t="shared" ca="1" si="154"/>
        <v>-6.3845609462160962</v>
      </c>
      <c r="F360" s="304">
        <f t="shared" ca="1" si="155"/>
        <v>6.3898697488760652</v>
      </c>
      <c r="G360" s="306">
        <f t="shared" ca="1" si="156"/>
        <v>3.9157362419290327</v>
      </c>
      <c r="H360" s="307">
        <f t="shared" ca="1" si="157"/>
        <v>-51.507311154481492</v>
      </c>
      <c r="I360" s="304">
        <f t="shared" ca="1" si="158"/>
        <v>51.655939568271627</v>
      </c>
      <c r="J360" s="306">
        <f t="shared" ca="1" si="159"/>
        <v>56.288824373840264</v>
      </c>
      <c r="K360" s="307">
        <f t="shared" ca="1" si="160"/>
        <v>-0.2950268530130315</v>
      </c>
      <c r="L360" s="304">
        <f t="shared" ca="1" si="145"/>
        <v>56.289597531275994</v>
      </c>
      <c r="M360" s="306">
        <f t="shared" ca="1" si="161"/>
        <v>-1.4949193578712414</v>
      </c>
      <c r="N360" s="304">
        <f t="shared" ca="1" si="162"/>
        <v>-85.652569918429251</v>
      </c>
      <c r="P360" s="310">
        <f t="shared" ca="1" si="163"/>
        <v>23</v>
      </c>
      <c r="Q360" s="304">
        <f t="shared" ca="1" si="164"/>
        <v>0</v>
      </c>
      <c r="R360" s="306">
        <f t="shared" ca="1" si="165"/>
        <v>0</v>
      </c>
      <c r="S360" s="307">
        <f t="shared" ca="1" si="166"/>
        <v>2.0843000000000003</v>
      </c>
      <c r="T360" s="304">
        <f t="shared" ca="1" si="146"/>
        <v>20.446983000000003</v>
      </c>
      <c r="U360" s="311">
        <f t="shared" ca="1" si="147"/>
        <v>0</v>
      </c>
      <c r="V360" s="306">
        <f t="shared" ca="1" si="148"/>
        <v>1.2250361413226269</v>
      </c>
      <c r="W360" s="304">
        <f t="shared" ca="1" si="149"/>
        <v>7.1604250389807502</v>
      </c>
      <c r="Y360" s="314" t="str">
        <f t="shared" ca="1" si="167"/>
        <v/>
      </c>
      <c r="Z360" s="315" t="str">
        <f t="shared" ca="1" si="168"/>
        <v/>
      </c>
      <c r="AA360" s="316" t="str">
        <f t="shared" ca="1" si="169"/>
        <v/>
      </c>
      <c r="AC360" s="310" t="e">
        <f t="shared" ca="1" si="170"/>
        <v>#N/A</v>
      </c>
      <c r="AD360" s="323" t="e">
        <f t="shared" ca="1" si="171"/>
        <v>#N/A</v>
      </c>
      <c r="AE360" s="324">
        <f t="shared" ca="1" si="150"/>
        <v>-0.2950268530130315</v>
      </c>
      <c r="AG360" s="306">
        <f t="shared" ca="1" si="172"/>
        <v>6.3464490436751007</v>
      </c>
      <c r="AH360" s="304">
        <f t="shared" ca="1" si="173"/>
        <v>-3.4353238046567989</v>
      </c>
    </row>
    <row r="361" spans="1:34" x14ac:dyDescent="0.2">
      <c r="A361" s="347">
        <f t="shared" ca="1" si="151"/>
        <v>1E-4</v>
      </c>
      <c r="B361" s="304">
        <f t="shared" ca="1" si="152"/>
        <v>12.005699999999962</v>
      </c>
      <c r="D361" s="306">
        <f t="shared" ca="1" si="153"/>
        <v>-0.26041844384577856</v>
      </c>
      <c r="E361" s="307">
        <f t="shared" ca="1" si="154"/>
        <v>-6.3844746354717579</v>
      </c>
      <c r="F361" s="304">
        <f t="shared" ca="1" si="155"/>
        <v>6.38978357512031</v>
      </c>
      <c r="G361" s="306">
        <f t="shared" ca="1" si="156"/>
        <v>3.9157102000846482</v>
      </c>
      <c r="H361" s="307">
        <f t="shared" ca="1" si="157"/>
        <v>-51.507949601945036</v>
      </c>
      <c r="I361" s="304">
        <f t="shared" ca="1" si="158"/>
        <v>51.65657420471819</v>
      </c>
      <c r="J361" s="306">
        <f t="shared" ca="1" si="159"/>
        <v>56.288824373840264</v>
      </c>
      <c r="K361" s="307">
        <f t="shared" ca="1" si="160"/>
        <v>-0.3001776160508528</v>
      </c>
      <c r="L361" s="304">
        <f t="shared" ca="1" si="145"/>
        <v>56.289624763274198</v>
      </c>
      <c r="M361" s="306">
        <f t="shared" ca="1" si="161"/>
        <v>-1.494920797453785</v>
      </c>
      <c r="N361" s="304">
        <f t="shared" ca="1" si="162"/>
        <v>-85.652652400433269</v>
      </c>
      <c r="P361" s="310">
        <f t="shared" ca="1" si="163"/>
        <v>23</v>
      </c>
      <c r="Q361" s="304">
        <f t="shared" ca="1" si="164"/>
        <v>0</v>
      </c>
      <c r="R361" s="306">
        <f t="shared" ca="1" si="165"/>
        <v>0</v>
      </c>
      <c r="S361" s="307">
        <f t="shared" ca="1" si="166"/>
        <v>2.0843000000000003</v>
      </c>
      <c r="T361" s="304">
        <f t="shared" ca="1" si="146"/>
        <v>20.446983000000003</v>
      </c>
      <c r="U361" s="311">
        <f t="shared" ca="1" si="147"/>
        <v>0</v>
      </c>
      <c r="V361" s="306">
        <f t="shared" ca="1" si="148"/>
        <v>1.2250367723098774</v>
      </c>
      <c r="W361" s="304">
        <f t="shared" ca="1" si="149"/>
        <v>7.1606046719462011</v>
      </c>
      <c r="Y361" s="314" t="str">
        <f t="shared" ca="1" si="167"/>
        <v/>
      </c>
      <c r="Z361" s="315" t="str">
        <f t="shared" ca="1" si="168"/>
        <v/>
      </c>
      <c r="AA361" s="316" t="str">
        <f t="shared" ca="1" si="169"/>
        <v/>
      </c>
      <c r="AC361" s="310" t="e">
        <f t="shared" ca="1" si="170"/>
        <v>#N/A</v>
      </c>
      <c r="AD361" s="323" t="e">
        <f t="shared" ca="1" si="171"/>
        <v>#N/A</v>
      </c>
      <c r="AE361" s="324">
        <f t="shared" ca="1" si="150"/>
        <v>-0.3001776160508528</v>
      </c>
      <c r="AG361" s="306">
        <f t="shared" ca="1" si="172"/>
        <v>6.3463639304291135</v>
      </c>
      <c r="AH361" s="304">
        <f t="shared" ca="1" si="173"/>
        <v>-3.4354099884761067</v>
      </c>
    </row>
    <row r="362" spans="1:34" x14ac:dyDescent="0.2">
      <c r="A362" s="347">
        <f t="shared" ca="1" si="151"/>
        <v>1E-4</v>
      </c>
      <c r="B362" s="304">
        <f t="shared" ca="1" si="152"/>
        <v>12.005799999999962</v>
      </c>
      <c r="D362" s="306">
        <f t="shared" ca="1" si="153"/>
        <v>-0.26042004549032222</v>
      </c>
      <c r="E362" s="307">
        <f t="shared" ca="1" si="154"/>
        <v>-6.3843883247126492</v>
      </c>
      <c r="F362" s="304">
        <f t="shared" ca="1" si="155"/>
        <v>6.3896974013501122</v>
      </c>
      <c r="G362" s="306">
        <f t="shared" ca="1" si="156"/>
        <v>3.915684158080099</v>
      </c>
      <c r="H362" s="307">
        <f t="shared" ca="1" si="157"/>
        <v>-51.508588040777511</v>
      </c>
      <c r="I362" s="304">
        <f t="shared" ca="1" si="158"/>
        <v>51.657208832653431</v>
      </c>
      <c r="J362" s="306">
        <f t="shared" ca="1" si="159"/>
        <v>56.288824373840264</v>
      </c>
      <c r="K362" s="307">
        <f t="shared" ca="1" si="160"/>
        <v>-0.30532844293298894</v>
      </c>
      <c r="L362" s="304">
        <f t="shared" ca="1" si="145"/>
        <v>56.289652466924132</v>
      </c>
      <c r="M362" s="306">
        <f t="shared" ca="1" si="161"/>
        <v>-1.4949222369913833</v>
      </c>
      <c r="N362" s="304">
        <f t="shared" ca="1" si="162"/>
        <v>-85.652734879862095</v>
      </c>
      <c r="P362" s="310">
        <f t="shared" ca="1" si="163"/>
        <v>23</v>
      </c>
      <c r="Q362" s="304">
        <f t="shared" ca="1" si="164"/>
        <v>0</v>
      </c>
      <c r="R362" s="306">
        <f t="shared" ca="1" si="165"/>
        <v>0</v>
      </c>
      <c r="S362" s="307">
        <f t="shared" ca="1" si="166"/>
        <v>2.0843000000000003</v>
      </c>
      <c r="T362" s="304">
        <f t="shared" ca="1" si="146"/>
        <v>20.446983000000003</v>
      </c>
      <c r="U362" s="311">
        <f t="shared" ca="1" si="147"/>
        <v>0</v>
      </c>
      <c r="V362" s="306">
        <f t="shared" ca="1" si="148"/>
        <v>1.225037403305274</v>
      </c>
      <c r="W362" s="304">
        <f t="shared" ca="1" si="149"/>
        <v>7.1607843049424345</v>
      </c>
      <c r="Y362" s="314" t="str">
        <f t="shared" ca="1" si="167"/>
        <v/>
      </c>
      <c r="Z362" s="315" t="str">
        <f t="shared" ca="1" si="168"/>
        <v/>
      </c>
      <c r="AA362" s="316" t="str">
        <f t="shared" ca="1" si="169"/>
        <v/>
      </c>
      <c r="AC362" s="310" t="e">
        <f t="shared" ca="1" si="170"/>
        <v>#N/A</v>
      </c>
      <c r="AD362" s="323" t="e">
        <f t="shared" ca="1" si="171"/>
        <v>#N/A</v>
      </c>
      <c r="AE362" s="324">
        <f t="shared" ca="1" si="150"/>
        <v>-0.30532844293298894</v>
      </c>
      <c r="AG362" s="306">
        <f t="shared" ca="1" si="172"/>
        <v>6.3462788171146176</v>
      </c>
      <c r="AH362" s="304">
        <f t="shared" ca="1" si="173"/>
        <v>-3.435496172310224</v>
      </c>
    </row>
    <row r="363" spans="1:34" x14ac:dyDescent="0.2">
      <c r="A363" s="347">
        <f t="shared" ca="1" si="151"/>
        <v>1E-4</v>
      </c>
      <c r="B363" s="304">
        <f t="shared" ca="1" si="152"/>
        <v>12.005899999999961</v>
      </c>
      <c r="D363" s="306">
        <f t="shared" ca="1" si="153"/>
        <v>-0.26042164704199139</v>
      </c>
      <c r="E363" s="307">
        <f t="shared" ca="1" si="154"/>
        <v>-6.3843020139388065</v>
      </c>
      <c r="F363" s="304">
        <f t="shared" ca="1" si="155"/>
        <v>6.3896112275655055</v>
      </c>
      <c r="G363" s="306">
        <f t="shared" ca="1" si="156"/>
        <v>3.9156581159153947</v>
      </c>
      <c r="H363" s="307">
        <f t="shared" ca="1" si="157"/>
        <v>-51.509226470978902</v>
      </c>
      <c r="I363" s="304">
        <f t="shared" ca="1" si="158"/>
        <v>51.657843452077323</v>
      </c>
      <c r="J363" s="306">
        <f t="shared" ca="1" si="159"/>
        <v>56.288824373840264</v>
      </c>
      <c r="K363" s="307">
        <f t="shared" ca="1" si="160"/>
        <v>-0.31047933365857677</v>
      </c>
      <c r="L363" s="304">
        <f t="shared" ca="1" si="145"/>
        <v>56.289680642242615</v>
      </c>
      <c r="M363" s="306">
        <f t="shared" ca="1" si="161"/>
        <v>-1.4949236764840379</v>
      </c>
      <c r="N363" s="304">
        <f t="shared" ca="1" si="162"/>
        <v>-85.652817356715843</v>
      </c>
      <c r="P363" s="310">
        <f t="shared" ca="1" si="163"/>
        <v>23</v>
      </c>
      <c r="Q363" s="304">
        <f t="shared" ca="1" si="164"/>
        <v>0</v>
      </c>
      <c r="R363" s="306">
        <f t="shared" ca="1" si="165"/>
        <v>0</v>
      </c>
      <c r="S363" s="307">
        <f t="shared" ca="1" si="166"/>
        <v>2.0843000000000003</v>
      </c>
      <c r="T363" s="304">
        <f t="shared" ca="1" si="146"/>
        <v>20.446983000000003</v>
      </c>
      <c r="U363" s="311">
        <f t="shared" ca="1" si="147"/>
        <v>0</v>
      </c>
      <c r="V363" s="306">
        <f t="shared" ca="1" si="148"/>
        <v>1.2250380343088163</v>
      </c>
      <c r="W363" s="304">
        <f t="shared" ca="1" si="149"/>
        <v>7.1609639379693597</v>
      </c>
      <c r="Y363" s="314" t="str">
        <f t="shared" ca="1" si="167"/>
        <v/>
      </c>
      <c r="Z363" s="315" t="str">
        <f t="shared" ca="1" si="168"/>
        <v/>
      </c>
      <c r="AA363" s="316" t="str">
        <f t="shared" ca="1" si="169"/>
        <v/>
      </c>
      <c r="AC363" s="310" t="e">
        <f t="shared" ca="1" si="170"/>
        <v>#N/A</v>
      </c>
      <c r="AD363" s="323" t="e">
        <f t="shared" ca="1" si="171"/>
        <v>#N/A</v>
      </c>
      <c r="AE363" s="324">
        <f t="shared" ca="1" si="150"/>
        <v>-0.31047933365857677</v>
      </c>
      <c r="AG363" s="306">
        <f t="shared" ca="1" si="172"/>
        <v>6.34619370373166</v>
      </c>
      <c r="AH363" s="304">
        <f t="shared" ca="1" si="173"/>
        <v>-3.4355823561591103</v>
      </c>
    </row>
    <row r="364" spans="1:34" x14ac:dyDescent="0.2">
      <c r="A364" s="347">
        <f t="shared" ca="1" si="151"/>
        <v>1E-4</v>
      </c>
      <c r="B364" s="304">
        <f t="shared" ca="1" si="152"/>
        <v>12.005999999999961</v>
      </c>
      <c r="D364" s="306">
        <f t="shared" ca="1" si="153"/>
        <v>-0.2604232485007883</v>
      </c>
      <c r="E364" s="307">
        <f t="shared" ca="1" si="154"/>
        <v>-6.3842157031502769</v>
      </c>
      <c r="F364" s="304">
        <f t="shared" ca="1" si="155"/>
        <v>6.3895250537665387</v>
      </c>
      <c r="G364" s="306">
        <f t="shared" ca="1" si="156"/>
        <v>3.9156320735905448</v>
      </c>
      <c r="H364" s="307">
        <f t="shared" ca="1" si="157"/>
        <v>-51.509864892549217</v>
      </c>
      <c r="I364" s="304">
        <f t="shared" ca="1" si="158"/>
        <v>51.658478062989872</v>
      </c>
      <c r="J364" s="306">
        <f t="shared" ca="1" si="159"/>
        <v>56.288824373840264</v>
      </c>
      <c r="K364" s="307">
        <f t="shared" ca="1" si="160"/>
        <v>-0.31563028822675315</v>
      </c>
      <c r="L364" s="304">
        <f t="shared" ca="1" si="145"/>
        <v>56.289709289246467</v>
      </c>
      <c r="M364" s="306">
        <f t="shared" ca="1" si="161"/>
        <v>-1.4949251159317511</v>
      </c>
      <c r="N364" s="304">
        <f t="shared" ca="1" si="162"/>
        <v>-85.652899830994642</v>
      </c>
      <c r="P364" s="310">
        <f t="shared" ca="1" si="163"/>
        <v>23</v>
      </c>
      <c r="Q364" s="304">
        <f t="shared" ca="1" si="164"/>
        <v>0</v>
      </c>
      <c r="R364" s="306">
        <f t="shared" ca="1" si="165"/>
        <v>0</v>
      </c>
      <c r="S364" s="307">
        <f t="shared" ca="1" si="166"/>
        <v>2.0843000000000003</v>
      </c>
      <c r="T364" s="304">
        <f t="shared" ca="1" si="146"/>
        <v>20.446983000000003</v>
      </c>
      <c r="U364" s="311">
        <f t="shared" ca="1" si="147"/>
        <v>0</v>
      </c>
      <c r="V364" s="306">
        <f t="shared" ca="1" si="148"/>
        <v>1.2250386653205052</v>
      </c>
      <c r="W364" s="304">
        <f t="shared" ca="1" si="149"/>
        <v>7.1611435710268978</v>
      </c>
      <c r="Y364" s="314" t="str">
        <f t="shared" ca="1" si="167"/>
        <v/>
      </c>
      <c r="Z364" s="315" t="str">
        <f t="shared" ca="1" si="168"/>
        <v/>
      </c>
      <c r="AA364" s="316" t="str">
        <f t="shared" ca="1" si="169"/>
        <v/>
      </c>
      <c r="AC364" s="310" t="e">
        <f t="shared" ca="1" si="170"/>
        <v>#N/A</v>
      </c>
      <c r="AD364" s="323" t="e">
        <f t="shared" ca="1" si="171"/>
        <v>#N/A</v>
      </c>
      <c r="AE364" s="324">
        <f t="shared" ca="1" si="150"/>
        <v>-0.31563028822675315</v>
      </c>
      <c r="AG364" s="306">
        <f t="shared" ca="1" si="172"/>
        <v>6.3461085902802878</v>
      </c>
      <c r="AH364" s="304">
        <f t="shared" ca="1" si="173"/>
        <v>-3.4356685400227218</v>
      </c>
    </row>
    <row r="365" spans="1:34" x14ac:dyDescent="0.2">
      <c r="A365" s="347">
        <f t="shared" ca="1" si="151"/>
        <v>1E-4</v>
      </c>
      <c r="B365" s="304">
        <f t="shared" ca="1" si="152"/>
        <v>12.006099999999961</v>
      </c>
      <c r="D365" s="306">
        <f t="shared" ca="1" si="153"/>
        <v>-0.26042484986671394</v>
      </c>
      <c r="E365" s="307">
        <f t="shared" ca="1" si="154"/>
        <v>-6.3841293923470968</v>
      </c>
      <c r="F365" s="304">
        <f t="shared" ca="1" si="155"/>
        <v>6.3894388799532473</v>
      </c>
      <c r="G365" s="306">
        <f t="shared" ca="1" si="156"/>
        <v>3.915606031105558</v>
      </c>
      <c r="H365" s="307">
        <f t="shared" ca="1" si="157"/>
        <v>-51.510503305488449</v>
      </c>
      <c r="I365" s="304">
        <f t="shared" ca="1" si="158"/>
        <v>51.659112665391056</v>
      </c>
      <c r="J365" s="306">
        <f t="shared" ca="1" si="159"/>
        <v>56.288824373840264</v>
      </c>
      <c r="K365" s="307">
        <f t="shared" ca="1" si="160"/>
        <v>-0.32078130663665505</v>
      </c>
      <c r="L365" s="304">
        <f t="shared" ca="1" si="145"/>
        <v>56.289738407952484</v>
      </c>
      <c r="M365" s="306">
        <f t="shared" ca="1" si="161"/>
        <v>-1.4949265553345255</v>
      </c>
      <c r="N365" s="304">
        <f t="shared" ca="1" si="162"/>
        <v>-85.652982302698632</v>
      </c>
      <c r="P365" s="310">
        <f t="shared" ca="1" si="163"/>
        <v>23</v>
      </c>
      <c r="Q365" s="304">
        <f t="shared" ca="1" si="164"/>
        <v>0</v>
      </c>
      <c r="R365" s="306">
        <f t="shared" ca="1" si="165"/>
        <v>0</v>
      </c>
      <c r="S365" s="307">
        <f t="shared" ca="1" si="166"/>
        <v>2.0843000000000003</v>
      </c>
      <c r="T365" s="304">
        <f t="shared" ca="1" si="146"/>
        <v>20.446983000000003</v>
      </c>
      <c r="U365" s="311">
        <f t="shared" ca="1" si="147"/>
        <v>0</v>
      </c>
      <c r="V365" s="306">
        <f t="shared" ca="1" si="148"/>
        <v>1.2250392963403396</v>
      </c>
      <c r="W365" s="304">
        <f t="shared" ca="1" si="149"/>
        <v>7.1613232041149564</v>
      </c>
      <c r="Y365" s="314" t="str">
        <f t="shared" ca="1" si="167"/>
        <v/>
      </c>
      <c r="Z365" s="315" t="str">
        <f t="shared" ca="1" si="168"/>
        <v/>
      </c>
      <c r="AA365" s="316" t="str">
        <f t="shared" ca="1" si="169"/>
        <v/>
      </c>
      <c r="AC365" s="310" t="e">
        <f t="shared" ca="1" si="170"/>
        <v>#N/A</v>
      </c>
      <c r="AD365" s="323" t="e">
        <f t="shared" ca="1" si="171"/>
        <v>#N/A</v>
      </c>
      <c r="AE365" s="324">
        <f t="shared" ca="1" si="150"/>
        <v>-0.32078130663665505</v>
      </c>
      <c r="AG365" s="306">
        <f t="shared" ca="1" si="172"/>
        <v>6.3460234767605428</v>
      </c>
      <c r="AH365" s="304">
        <f t="shared" ca="1" si="173"/>
        <v>-3.4357547239010207</v>
      </c>
    </row>
    <row r="366" spans="1:34" x14ac:dyDescent="0.2">
      <c r="A366" s="347">
        <f t="shared" ca="1" si="151"/>
        <v>1E-4</v>
      </c>
      <c r="B366" s="304">
        <f t="shared" ca="1" si="152"/>
        <v>12.006199999999961</v>
      </c>
      <c r="D366" s="306">
        <f t="shared" ca="1" si="153"/>
        <v>-0.26042645113976814</v>
      </c>
      <c r="E366" s="307">
        <f t="shared" ca="1" si="154"/>
        <v>-6.3840430815293114</v>
      </c>
      <c r="F366" s="304">
        <f t="shared" ca="1" si="155"/>
        <v>6.3893527061256776</v>
      </c>
      <c r="G366" s="306">
        <f t="shared" ca="1" si="156"/>
        <v>3.9155799884604439</v>
      </c>
      <c r="H366" s="307">
        <f t="shared" ca="1" si="157"/>
        <v>-51.511141709796604</v>
      </c>
      <c r="I366" s="304">
        <f t="shared" ca="1" si="158"/>
        <v>51.659747259280891</v>
      </c>
      <c r="J366" s="306">
        <f t="shared" ca="1" si="159"/>
        <v>56.288824373840264</v>
      </c>
      <c r="K366" s="307">
        <f t="shared" ca="1" si="160"/>
        <v>-0.32593238888741932</v>
      </c>
      <c r="L366" s="304">
        <f t="shared" ca="1" si="145"/>
        <v>56.289767998377464</v>
      </c>
      <c r="M366" s="306">
        <f t="shared" ca="1" si="161"/>
        <v>-1.494927994692363</v>
      </c>
      <c r="N366" s="304">
        <f t="shared" ca="1" si="162"/>
        <v>-85.653064771827928</v>
      </c>
      <c r="P366" s="310">
        <f t="shared" ca="1" si="163"/>
        <v>23</v>
      </c>
      <c r="Q366" s="304">
        <f t="shared" ca="1" si="164"/>
        <v>0</v>
      </c>
      <c r="R366" s="306">
        <f t="shared" ca="1" si="165"/>
        <v>0</v>
      </c>
      <c r="S366" s="307">
        <f t="shared" ca="1" si="166"/>
        <v>2.0843000000000003</v>
      </c>
      <c r="T366" s="304">
        <f t="shared" ca="1" si="146"/>
        <v>20.446983000000003</v>
      </c>
      <c r="U366" s="311">
        <f t="shared" ca="1" si="147"/>
        <v>0</v>
      </c>
      <c r="V366" s="306">
        <f t="shared" ca="1" si="148"/>
        <v>1.2250399273683201</v>
      </c>
      <c r="W366" s="304">
        <f t="shared" ca="1" si="149"/>
        <v>7.1615028372334546</v>
      </c>
      <c r="Y366" s="314" t="str">
        <f t="shared" ca="1" si="167"/>
        <v/>
      </c>
      <c r="Z366" s="315" t="str">
        <f t="shared" ca="1" si="168"/>
        <v/>
      </c>
      <c r="AA366" s="316" t="str">
        <f t="shared" ca="1" si="169"/>
        <v/>
      </c>
      <c r="AC366" s="310" t="e">
        <f t="shared" ca="1" si="170"/>
        <v>#N/A</v>
      </c>
      <c r="AD366" s="323" t="e">
        <f t="shared" ca="1" si="171"/>
        <v>#N/A</v>
      </c>
      <c r="AE366" s="324">
        <f t="shared" ca="1" si="150"/>
        <v>-0.32593238888741932</v>
      </c>
      <c r="AG366" s="306">
        <f t="shared" ca="1" si="172"/>
        <v>6.345938363172472</v>
      </c>
      <c r="AH366" s="304">
        <f t="shared" ca="1" si="173"/>
        <v>-3.435840907793962</v>
      </c>
    </row>
    <row r="367" spans="1:34" x14ac:dyDescent="0.2">
      <c r="A367" s="347">
        <f t="shared" ca="1" si="151"/>
        <v>1E-4</v>
      </c>
      <c r="B367" s="304">
        <f t="shared" ca="1" si="152"/>
        <v>12.00629999999996</v>
      </c>
      <c r="D367" s="306">
        <f t="shared" ca="1" si="153"/>
        <v>-0.26042805231995203</v>
      </c>
      <c r="E367" s="307">
        <f t="shared" ca="1" si="154"/>
        <v>-6.3839567706969582</v>
      </c>
      <c r="F367" s="304">
        <f t="shared" ca="1" si="155"/>
        <v>6.389266532283866</v>
      </c>
      <c r="G367" s="306">
        <f t="shared" ca="1" si="156"/>
        <v>3.915553945655212</v>
      </c>
      <c r="H367" s="307">
        <f t="shared" ca="1" si="157"/>
        <v>-51.511780105473676</v>
      </c>
      <c r="I367" s="304">
        <f t="shared" ca="1" si="158"/>
        <v>51.660381844659355</v>
      </c>
      <c r="J367" s="306">
        <f t="shared" ca="1" si="159"/>
        <v>56.288824373840264</v>
      </c>
      <c r="K367" s="307">
        <f t="shared" ca="1" si="160"/>
        <v>-0.33108353497818283</v>
      </c>
      <c r="L367" s="304">
        <f t="shared" ca="1" si="145"/>
        <v>56.289798060538182</v>
      </c>
      <c r="M367" s="306">
        <f t="shared" ca="1" si="161"/>
        <v>-1.4949294340052657</v>
      </c>
      <c r="N367" s="304">
        <f t="shared" ca="1" si="162"/>
        <v>-85.653147238382658</v>
      </c>
      <c r="P367" s="310">
        <f t="shared" ca="1" si="163"/>
        <v>23</v>
      </c>
      <c r="Q367" s="304">
        <f t="shared" ca="1" si="164"/>
        <v>0</v>
      </c>
      <c r="R367" s="306">
        <f t="shared" ca="1" si="165"/>
        <v>0</v>
      </c>
      <c r="S367" s="307">
        <f t="shared" ca="1" si="166"/>
        <v>2.0843000000000003</v>
      </c>
      <c r="T367" s="304">
        <f t="shared" ca="1" si="146"/>
        <v>20.446983000000003</v>
      </c>
      <c r="U367" s="311">
        <f t="shared" ca="1" si="147"/>
        <v>0</v>
      </c>
      <c r="V367" s="306">
        <f t="shared" ca="1" si="148"/>
        <v>1.2250405584044457</v>
      </c>
      <c r="W367" s="304">
        <f t="shared" ca="1" si="149"/>
        <v>7.161682470382301</v>
      </c>
      <c r="Y367" s="314" t="str">
        <f t="shared" ca="1" si="167"/>
        <v/>
      </c>
      <c r="Z367" s="315" t="str">
        <f t="shared" ca="1" si="168"/>
        <v/>
      </c>
      <c r="AA367" s="316" t="str">
        <f t="shared" ca="1" si="169"/>
        <v/>
      </c>
      <c r="AC367" s="310" t="e">
        <f t="shared" ca="1" si="170"/>
        <v>#N/A</v>
      </c>
      <c r="AD367" s="323" t="e">
        <f t="shared" ca="1" si="171"/>
        <v>#N/A</v>
      </c>
      <c r="AE367" s="324">
        <f t="shared" ca="1" si="150"/>
        <v>-0.33108353497818283</v>
      </c>
      <c r="AG367" s="306">
        <f t="shared" ca="1" si="172"/>
        <v>6.3458532495161126</v>
      </c>
      <c r="AH367" s="304">
        <f t="shared" ca="1" si="173"/>
        <v>-3.4359270917015081</v>
      </c>
    </row>
    <row r="368" spans="1:34" x14ac:dyDescent="0.2">
      <c r="A368" s="347">
        <f t="shared" ca="1" si="151"/>
        <v>1E-4</v>
      </c>
      <c r="B368" s="304">
        <f t="shared" ca="1" si="152"/>
        <v>12.00639999999996</v>
      </c>
      <c r="D368" s="306">
        <f t="shared" ca="1" si="153"/>
        <v>-0.26042965340726754</v>
      </c>
      <c r="E368" s="307">
        <f t="shared" ca="1" si="154"/>
        <v>-6.3838704598500815</v>
      </c>
      <c r="F368" s="304">
        <f t="shared" ca="1" si="155"/>
        <v>6.3891803584278568</v>
      </c>
      <c r="G368" s="306">
        <f t="shared" ca="1" si="156"/>
        <v>3.9155279026898713</v>
      </c>
      <c r="H368" s="307">
        <f t="shared" ca="1" si="157"/>
        <v>-51.512418492519664</v>
      </c>
      <c r="I368" s="304">
        <f t="shared" ca="1" si="158"/>
        <v>51.661016421526448</v>
      </c>
      <c r="J368" s="306">
        <f t="shared" ca="1" si="159"/>
        <v>56.288824373840264</v>
      </c>
      <c r="K368" s="307">
        <f t="shared" ca="1" si="160"/>
        <v>-0.33623474490808247</v>
      </c>
      <c r="L368" s="304">
        <f t="shared" ca="1" si="145"/>
        <v>56.289828594451386</v>
      </c>
      <c r="M368" s="306">
        <f t="shared" ca="1" si="161"/>
        <v>-1.4949308732732358</v>
      </c>
      <c r="N368" s="304">
        <f t="shared" ca="1" si="162"/>
        <v>-85.653229702362935</v>
      </c>
      <c r="P368" s="310">
        <f t="shared" ca="1" si="163"/>
        <v>23</v>
      </c>
      <c r="Q368" s="304">
        <f t="shared" ca="1" si="164"/>
        <v>0</v>
      </c>
      <c r="R368" s="306">
        <f t="shared" ca="1" si="165"/>
        <v>0</v>
      </c>
      <c r="S368" s="307">
        <f t="shared" ca="1" si="166"/>
        <v>2.0843000000000003</v>
      </c>
      <c r="T368" s="304">
        <f t="shared" ca="1" si="146"/>
        <v>20.446983000000003</v>
      </c>
      <c r="U368" s="311">
        <f t="shared" ca="1" si="147"/>
        <v>0</v>
      </c>
      <c r="V368" s="306">
        <f t="shared" ca="1" si="148"/>
        <v>1.2250411894487174</v>
      </c>
      <c r="W368" s="304">
        <f t="shared" ca="1" si="149"/>
        <v>7.1618621035614138</v>
      </c>
      <c r="Y368" s="314" t="str">
        <f t="shared" ca="1" si="167"/>
        <v/>
      </c>
      <c r="Z368" s="315" t="str">
        <f t="shared" ca="1" si="168"/>
        <v/>
      </c>
      <c r="AA368" s="316" t="str">
        <f t="shared" ca="1" si="169"/>
        <v/>
      </c>
      <c r="AC368" s="310" t="e">
        <f t="shared" ca="1" si="170"/>
        <v>#N/A</v>
      </c>
      <c r="AD368" s="323" t="e">
        <f t="shared" ca="1" si="171"/>
        <v>#N/A</v>
      </c>
      <c r="AE368" s="324">
        <f t="shared" ca="1" si="150"/>
        <v>-0.33623474490808247</v>
      </c>
      <c r="AG368" s="306">
        <f t="shared" ca="1" si="172"/>
        <v>6.3457681357915208</v>
      </c>
      <c r="AH368" s="304">
        <f t="shared" ca="1" si="173"/>
        <v>-3.4360132756236146</v>
      </c>
    </row>
    <row r="369" spans="1:34" x14ac:dyDescent="0.2">
      <c r="A369" s="347">
        <f t="shared" ca="1" si="151"/>
        <v>1E-4</v>
      </c>
      <c r="B369" s="304">
        <f t="shared" ca="1" si="152"/>
        <v>12.00649999999996</v>
      </c>
      <c r="D369" s="306">
        <f t="shared" ca="1" si="153"/>
        <v>-0.260431254401715</v>
      </c>
      <c r="E369" s="307">
        <f t="shared" ca="1" si="154"/>
        <v>-6.3837841489887222</v>
      </c>
      <c r="F369" s="304">
        <f t="shared" ca="1" si="155"/>
        <v>6.389094184557691</v>
      </c>
      <c r="G369" s="306">
        <f t="shared" ca="1" si="156"/>
        <v>3.9155018595644311</v>
      </c>
      <c r="H369" s="307">
        <f t="shared" ca="1" si="157"/>
        <v>-51.513056870934562</v>
      </c>
      <c r="I369" s="304">
        <f t="shared" ca="1" si="158"/>
        <v>51.661650989882148</v>
      </c>
      <c r="J369" s="306">
        <f t="shared" ca="1" si="159"/>
        <v>56.288824373840264</v>
      </c>
      <c r="K369" s="307">
        <f t="shared" ca="1" si="160"/>
        <v>-0.34138601867625518</v>
      </c>
      <c r="L369" s="304">
        <f t="shared" ca="1" si="145"/>
        <v>56.289859600133859</v>
      </c>
      <c r="M369" s="306">
        <f t="shared" ca="1" si="161"/>
        <v>-1.4949323124962759</v>
      </c>
      <c r="N369" s="304">
        <f t="shared" ca="1" si="162"/>
        <v>-85.653312163768902</v>
      </c>
      <c r="P369" s="310">
        <f t="shared" ca="1" si="163"/>
        <v>23</v>
      </c>
      <c r="Q369" s="304">
        <f t="shared" ca="1" si="164"/>
        <v>0</v>
      </c>
      <c r="R369" s="306">
        <f t="shared" ca="1" si="165"/>
        <v>0</v>
      </c>
      <c r="S369" s="307">
        <f t="shared" ca="1" si="166"/>
        <v>2.0843000000000003</v>
      </c>
      <c r="T369" s="304">
        <f t="shared" ca="1" si="146"/>
        <v>20.446983000000003</v>
      </c>
      <c r="U369" s="311">
        <f t="shared" ca="1" si="147"/>
        <v>0</v>
      </c>
      <c r="V369" s="306">
        <f t="shared" ca="1" si="148"/>
        <v>1.2250418205011349</v>
      </c>
      <c r="W369" s="304">
        <f t="shared" ca="1" si="149"/>
        <v>7.1620417367707034</v>
      </c>
      <c r="Y369" s="314" t="str">
        <f t="shared" ca="1" si="167"/>
        <v/>
      </c>
      <c r="Z369" s="315" t="str">
        <f t="shared" ca="1" si="168"/>
        <v/>
      </c>
      <c r="AA369" s="316" t="str">
        <f t="shared" ca="1" si="169"/>
        <v/>
      </c>
      <c r="AC369" s="310" t="e">
        <f t="shared" ca="1" si="170"/>
        <v>#N/A</v>
      </c>
      <c r="AD369" s="323" t="e">
        <f t="shared" ca="1" si="171"/>
        <v>#N/A</v>
      </c>
      <c r="AE369" s="324">
        <f t="shared" ca="1" si="150"/>
        <v>-0.34138601867625518</v>
      </c>
      <c r="AG369" s="306">
        <f t="shared" ca="1" si="172"/>
        <v>6.345683021998731</v>
      </c>
      <c r="AH369" s="304">
        <f t="shared" ca="1" si="173"/>
        <v>-3.4360994595602423</v>
      </c>
    </row>
    <row r="370" spans="1:34" x14ac:dyDescent="0.2">
      <c r="A370" s="347">
        <f t="shared" ca="1" si="151"/>
        <v>1E-4</v>
      </c>
      <c r="B370" s="304">
        <f t="shared" ca="1" si="152"/>
        <v>12.00659999999996</v>
      </c>
      <c r="D370" s="306">
        <f t="shared" ca="1" si="153"/>
        <v>-0.26043285530329424</v>
      </c>
      <c r="E370" s="307">
        <f t="shared" ca="1" si="154"/>
        <v>-6.3836978381129219</v>
      </c>
      <c r="F370" s="304">
        <f t="shared" ca="1" si="155"/>
        <v>6.3890080106734111</v>
      </c>
      <c r="G370" s="306">
        <f t="shared" ca="1" si="156"/>
        <v>3.9154758162789007</v>
      </c>
      <c r="H370" s="307">
        <f t="shared" ca="1" si="157"/>
        <v>-51.513695240718377</v>
      </c>
      <c r="I370" s="304">
        <f t="shared" ca="1" si="158"/>
        <v>51.662285549726462</v>
      </c>
      <c r="J370" s="306">
        <f t="shared" ca="1" si="159"/>
        <v>56.288824373840264</v>
      </c>
      <c r="K370" s="307">
        <f t="shared" ca="1" si="160"/>
        <v>-0.34653735628183785</v>
      </c>
      <c r="L370" s="304">
        <f t="shared" ca="1" si="145"/>
        <v>56.289891077602313</v>
      </c>
      <c r="M370" s="306">
        <f t="shared" ca="1" si="161"/>
        <v>-1.4949337516743875</v>
      </c>
      <c r="N370" s="304">
        <f t="shared" ca="1" si="162"/>
        <v>-85.653394622600672</v>
      </c>
      <c r="P370" s="310">
        <f t="shared" ca="1" si="163"/>
        <v>23</v>
      </c>
      <c r="Q370" s="304">
        <f t="shared" ca="1" si="164"/>
        <v>0</v>
      </c>
      <c r="R370" s="306">
        <f t="shared" ca="1" si="165"/>
        <v>0</v>
      </c>
      <c r="S370" s="307">
        <f t="shared" ca="1" si="166"/>
        <v>2.0843000000000003</v>
      </c>
      <c r="T370" s="304">
        <f t="shared" ca="1" si="146"/>
        <v>20.446983000000003</v>
      </c>
      <c r="U370" s="311">
        <f t="shared" ca="1" si="147"/>
        <v>0</v>
      </c>
      <c r="V370" s="306">
        <f t="shared" ca="1" si="148"/>
        <v>1.2250424515616973</v>
      </c>
      <c r="W370" s="304">
        <f t="shared" ca="1" si="149"/>
        <v>7.1622213700100827</v>
      </c>
      <c r="Y370" s="314" t="str">
        <f t="shared" ca="1" si="167"/>
        <v/>
      </c>
      <c r="Z370" s="315" t="str">
        <f t="shared" ca="1" si="168"/>
        <v/>
      </c>
      <c r="AA370" s="316" t="str">
        <f t="shared" ca="1" si="169"/>
        <v/>
      </c>
      <c r="AC370" s="310" t="e">
        <f t="shared" ca="1" si="170"/>
        <v>#N/A</v>
      </c>
      <c r="AD370" s="323" t="e">
        <f t="shared" ca="1" si="171"/>
        <v>#N/A</v>
      </c>
      <c r="AE370" s="324">
        <f t="shared" ca="1" si="150"/>
        <v>-0.34653735628183785</v>
      </c>
      <c r="AG370" s="306">
        <f t="shared" ca="1" si="172"/>
        <v>6.3455979081377993</v>
      </c>
      <c r="AH370" s="304">
        <f t="shared" ca="1" si="173"/>
        <v>-3.4361856435113478</v>
      </c>
    </row>
    <row r="371" spans="1:34" x14ac:dyDescent="0.2">
      <c r="A371" s="347">
        <f t="shared" ca="1" si="151"/>
        <v>1E-4</v>
      </c>
      <c r="B371" s="304">
        <f t="shared" ca="1" si="152"/>
        <v>12.00669999999996</v>
      </c>
      <c r="D371" s="306">
        <f t="shared" ca="1" si="153"/>
        <v>-0.26043445611200844</v>
      </c>
      <c r="E371" s="307">
        <f t="shared" ca="1" si="154"/>
        <v>-6.3836115272227225</v>
      </c>
      <c r="F371" s="304">
        <f t="shared" ca="1" si="155"/>
        <v>6.3889218367750571</v>
      </c>
      <c r="G371" s="306">
        <f t="shared" ca="1" si="156"/>
        <v>3.9154497728332895</v>
      </c>
      <c r="H371" s="307">
        <f t="shared" ca="1" si="157"/>
        <v>-51.514333601871101</v>
      </c>
      <c r="I371" s="304">
        <f t="shared" ca="1" si="158"/>
        <v>51.662920101059385</v>
      </c>
      <c r="J371" s="306">
        <f t="shared" ca="1" si="159"/>
        <v>56.288824373840264</v>
      </c>
      <c r="K371" s="307">
        <f t="shared" ca="1" si="160"/>
        <v>-0.35168875772396735</v>
      </c>
      <c r="L371" s="304">
        <f t="shared" ca="1" si="145"/>
        <v>56.289923026873502</v>
      </c>
      <c r="M371" s="306">
        <f t="shared" ca="1" si="161"/>
        <v>-1.4949351908075734</v>
      </c>
      <c r="N371" s="304">
        <f t="shared" ca="1" si="162"/>
        <v>-85.653477078858373</v>
      </c>
      <c r="P371" s="310">
        <f t="shared" ca="1" si="163"/>
        <v>23</v>
      </c>
      <c r="Q371" s="304">
        <f t="shared" ca="1" si="164"/>
        <v>0</v>
      </c>
      <c r="R371" s="306">
        <f t="shared" ca="1" si="165"/>
        <v>0</v>
      </c>
      <c r="S371" s="307">
        <f t="shared" ca="1" si="166"/>
        <v>2.0843000000000003</v>
      </c>
      <c r="T371" s="304">
        <f t="shared" ca="1" si="146"/>
        <v>20.446983000000003</v>
      </c>
      <c r="U371" s="311">
        <f t="shared" ca="1" si="147"/>
        <v>0</v>
      </c>
      <c r="V371" s="306">
        <f t="shared" ca="1" si="148"/>
        <v>1.2250430826304053</v>
      </c>
      <c r="W371" s="304">
        <f t="shared" ca="1" si="149"/>
        <v>7.1624010032794709</v>
      </c>
      <c r="Y371" s="314" t="str">
        <f t="shared" ca="1" si="167"/>
        <v/>
      </c>
      <c r="Z371" s="315" t="str">
        <f t="shared" ca="1" si="168"/>
        <v/>
      </c>
      <c r="AA371" s="316" t="str">
        <f t="shared" ca="1" si="169"/>
        <v/>
      </c>
      <c r="AC371" s="310" t="e">
        <f t="shared" ca="1" si="170"/>
        <v>#N/A</v>
      </c>
      <c r="AD371" s="323" t="e">
        <f t="shared" ca="1" si="171"/>
        <v>#N/A</v>
      </c>
      <c r="AE371" s="324">
        <f t="shared" ca="1" si="150"/>
        <v>-0.35168875772396735</v>
      </c>
      <c r="AG371" s="306">
        <f t="shared" ca="1" si="172"/>
        <v>6.3455127942087639</v>
      </c>
      <c r="AH371" s="304">
        <f t="shared" ca="1" si="173"/>
        <v>-3.4362718274768902</v>
      </c>
    </row>
    <row r="372" spans="1:34" x14ac:dyDescent="0.2">
      <c r="A372" s="347">
        <f t="shared" ca="1" si="151"/>
        <v>1E-4</v>
      </c>
      <c r="B372" s="304">
        <f t="shared" ca="1" si="152"/>
        <v>12.006799999999959</v>
      </c>
      <c r="D372" s="306">
        <f t="shared" ca="1" si="153"/>
        <v>-0.2604360568278562</v>
      </c>
      <c r="E372" s="307">
        <f t="shared" ca="1" si="154"/>
        <v>-6.3835252163181639</v>
      </c>
      <c r="F372" s="304">
        <f t="shared" ca="1" si="155"/>
        <v>6.3888356628626708</v>
      </c>
      <c r="G372" s="306">
        <f t="shared" ca="1" si="156"/>
        <v>3.9154237292276068</v>
      </c>
      <c r="H372" s="307">
        <f t="shared" ca="1" si="157"/>
        <v>-51.514971954392735</v>
      </c>
      <c r="I372" s="304">
        <f t="shared" ca="1" si="158"/>
        <v>51.663554643880907</v>
      </c>
      <c r="J372" s="306">
        <f t="shared" ca="1" si="159"/>
        <v>56.288824373840264</v>
      </c>
      <c r="K372" s="307">
        <f t="shared" ca="1" si="160"/>
        <v>-0.35684022300178053</v>
      </c>
      <c r="L372" s="304">
        <f t="shared" ca="1" si="145"/>
        <v>56.289955447964125</v>
      </c>
      <c r="M372" s="306">
        <f t="shared" ca="1" si="161"/>
        <v>-1.4949366298958355</v>
      </c>
      <c r="N372" s="304">
        <f t="shared" ca="1" si="162"/>
        <v>-85.653559532542147</v>
      </c>
      <c r="P372" s="310">
        <f t="shared" ca="1" si="163"/>
        <v>23</v>
      </c>
      <c r="Q372" s="304">
        <f t="shared" ca="1" si="164"/>
        <v>0</v>
      </c>
      <c r="R372" s="306">
        <f t="shared" ca="1" si="165"/>
        <v>0</v>
      </c>
      <c r="S372" s="307">
        <f t="shared" ca="1" si="166"/>
        <v>2.0843000000000003</v>
      </c>
      <c r="T372" s="304">
        <f t="shared" ca="1" si="146"/>
        <v>20.446983000000003</v>
      </c>
      <c r="U372" s="311">
        <f t="shared" ca="1" si="147"/>
        <v>0</v>
      </c>
      <c r="V372" s="306">
        <f t="shared" ca="1" si="148"/>
        <v>1.2250437137072581</v>
      </c>
      <c r="W372" s="304">
        <f t="shared" ca="1" si="149"/>
        <v>7.1625806365787765</v>
      </c>
      <c r="Y372" s="314" t="str">
        <f t="shared" ca="1" si="167"/>
        <v/>
      </c>
      <c r="Z372" s="315" t="str">
        <f t="shared" ca="1" si="168"/>
        <v/>
      </c>
      <c r="AA372" s="316" t="str">
        <f t="shared" ca="1" si="169"/>
        <v/>
      </c>
      <c r="AC372" s="310" t="e">
        <f t="shared" ca="1" si="170"/>
        <v>#N/A</v>
      </c>
      <c r="AD372" s="323" t="e">
        <f t="shared" ca="1" si="171"/>
        <v>#N/A</v>
      </c>
      <c r="AE372" s="324">
        <f t="shared" ca="1" si="150"/>
        <v>-0.35684022300178053</v>
      </c>
      <c r="AG372" s="306">
        <f t="shared" ca="1" si="172"/>
        <v>6.3454276802116665</v>
      </c>
      <c r="AH372" s="304">
        <f t="shared" ca="1" si="173"/>
        <v>-3.4363580114568295</v>
      </c>
    </row>
    <row r="373" spans="1:34" x14ac:dyDescent="0.2">
      <c r="A373" s="347">
        <f t="shared" ca="1" si="151"/>
        <v>1E-4</v>
      </c>
      <c r="B373" s="304">
        <f t="shared" ca="1" si="152"/>
        <v>12.006899999999959</v>
      </c>
      <c r="D373" s="306">
        <f t="shared" ca="1" si="153"/>
        <v>-0.26043765745083963</v>
      </c>
      <c r="E373" s="307">
        <f t="shared" ca="1" si="154"/>
        <v>-6.3834389053992879</v>
      </c>
      <c r="F373" s="304">
        <f t="shared" ca="1" si="155"/>
        <v>6.3887494889362921</v>
      </c>
      <c r="G373" s="306">
        <f t="shared" ca="1" si="156"/>
        <v>3.915397685461862</v>
      </c>
      <c r="H373" s="307">
        <f t="shared" ca="1" si="157"/>
        <v>-51.515610298283278</v>
      </c>
      <c r="I373" s="304">
        <f t="shared" ca="1" si="158"/>
        <v>51.664189178191023</v>
      </c>
      <c r="J373" s="306">
        <f t="shared" ca="1" si="159"/>
        <v>56.288824373840264</v>
      </c>
      <c r="K373" s="307">
        <f t="shared" ca="1" si="160"/>
        <v>-0.36199175211441431</v>
      </c>
      <c r="L373" s="304">
        <f t="shared" ca="1" si="145"/>
        <v>56.289988340890893</v>
      </c>
      <c r="M373" s="306">
        <f t="shared" ca="1" si="161"/>
        <v>-1.494938068939176</v>
      </c>
      <c r="N373" s="304">
        <f t="shared" ca="1" si="162"/>
        <v>-85.653641983652093</v>
      </c>
      <c r="P373" s="310">
        <f t="shared" ca="1" si="163"/>
        <v>23</v>
      </c>
      <c r="Q373" s="304">
        <f t="shared" ca="1" si="164"/>
        <v>0</v>
      </c>
      <c r="R373" s="306">
        <f t="shared" ca="1" si="165"/>
        <v>0</v>
      </c>
      <c r="S373" s="307">
        <f t="shared" ca="1" si="166"/>
        <v>2.0843000000000003</v>
      </c>
      <c r="T373" s="304">
        <f t="shared" ca="1" si="146"/>
        <v>20.446983000000003</v>
      </c>
      <c r="U373" s="311">
        <f t="shared" ca="1" si="147"/>
        <v>0</v>
      </c>
      <c r="V373" s="306">
        <f t="shared" ca="1" si="148"/>
        <v>1.2250443447922565</v>
      </c>
      <c r="W373" s="304">
        <f t="shared" ca="1" si="149"/>
        <v>7.1627602699079196</v>
      </c>
      <c r="Y373" s="314" t="str">
        <f t="shared" ca="1" si="167"/>
        <v/>
      </c>
      <c r="Z373" s="315" t="str">
        <f t="shared" ca="1" si="168"/>
        <v/>
      </c>
      <c r="AA373" s="316" t="str">
        <f t="shared" ca="1" si="169"/>
        <v/>
      </c>
      <c r="AC373" s="310" t="e">
        <f t="shared" ca="1" si="170"/>
        <v>#N/A</v>
      </c>
      <c r="AD373" s="323" t="e">
        <f t="shared" ca="1" si="171"/>
        <v>#N/A</v>
      </c>
      <c r="AE373" s="324">
        <f t="shared" ca="1" si="150"/>
        <v>-0.36199175211441431</v>
      </c>
      <c r="AG373" s="306">
        <f t="shared" ca="1" si="172"/>
        <v>6.3453425661465594</v>
      </c>
      <c r="AH373" s="304">
        <f t="shared" ca="1" si="173"/>
        <v>-3.4364441954511231</v>
      </c>
    </row>
    <row r="374" spans="1:34" x14ac:dyDescent="0.2">
      <c r="A374" s="347">
        <f t="shared" ca="1" si="151"/>
        <v>1E-4</v>
      </c>
      <c r="B374" s="304">
        <f t="shared" ca="1" si="152"/>
        <v>12.006999999999959</v>
      </c>
      <c r="D374" s="306">
        <f t="shared" ca="1" si="153"/>
        <v>-0.26043925798095974</v>
      </c>
      <c r="E374" s="307">
        <f t="shared" ca="1" si="154"/>
        <v>-6.3833525944661353</v>
      </c>
      <c r="F374" s="304">
        <f t="shared" ca="1" si="155"/>
        <v>6.3886633149959637</v>
      </c>
      <c r="G374" s="306">
        <f t="shared" ca="1" si="156"/>
        <v>3.9153716415360638</v>
      </c>
      <c r="H374" s="307">
        <f t="shared" ca="1" si="157"/>
        <v>-51.516248633542723</v>
      </c>
      <c r="I374" s="304">
        <f t="shared" ca="1" si="158"/>
        <v>51.664823703989711</v>
      </c>
      <c r="J374" s="306">
        <f t="shared" ca="1" si="159"/>
        <v>56.288824373840264</v>
      </c>
      <c r="K374" s="307">
        <f t="shared" ca="1" si="160"/>
        <v>-0.3671433450610056</v>
      </c>
      <c r="L374" s="304">
        <f t="shared" ca="1" si="145"/>
        <v>56.290021705670505</v>
      </c>
      <c r="M374" s="306">
        <f t="shared" ca="1" si="161"/>
        <v>-1.4949395079375971</v>
      </c>
      <c r="N374" s="304">
        <f t="shared" ca="1" si="162"/>
        <v>-85.653724432188341</v>
      </c>
      <c r="P374" s="310">
        <f t="shared" ca="1" si="163"/>
        <v>23</v>
      </c>
      <c r="Q374" s="304">
        <f t="shared" ca="1" si="164"/>
        <v>0</v>
      </c>
      <c r="R374" s="306">
        <f t="shared" ca="1" si="165"/>
        <v>0</v>
      </c>
      <c r="S374" s="307">
        <f t="shared" ca="1" si="166"/>
        <v>2.0843000000000003</v>
      </c>
      <c r="T374" s="304">
        <f t="shared" ca="1" si="146"/>
        <v>20.446983000000003</v>
      </c>
      <c r="U374" s="311">
        <f t="shared" ca="1" si="147"/>
        <v>0</v>
      </c>
      <c r="V374" s="306">
        <f t="shared" ca="1" si="148"/>
        <v>1.2250449758854001</v>
      </c>
      <c r="W374" s="304">
        <f t="shared" ca="1" si="149"/>
        <v>7.1629399032668051</v>
      </c>
      <c r="Y374" s="314" t="str">
        <f t="shared" ca="1" si="167"/>
        <v/>
      </c>
      <c r="Z374" s="315" t="str">
        <f t="shared" ca="1" si="168"/>
        <v/>
      </c>
      <c r="AA374" s="316" t="str">
        <f t="shared" ca="1" si="169"/>
        <v/>
      </c>
      <c r="AC374" s="310" t="e">
        <f t="shared" ca="1" si="170"/>
        <v>#N/A</v>
      </c>
      <c r="AD374" s="323" t="e">
        <f t="shared" ca="1" si="171"/>
        <v>#N/A</v>
      </c>
      <c r="AE374" s="324">
        <f t="shared" ca="1" si="150"/>
        <v>-0.3671433450610056</v>
      </c>
      <c r="AG374" s="306">
        <f t="shared" ca="1" si="172"/>
        <v>6.3452574520134801</v>
      </c>
      <c r="AH374" s="304">
        <f t="shared" ca="1" si="173"/>
        <v>-3.4365303794597315</v>
      </c>
    </row>
    <row r="375" spans="1:34" x14ac:dyDescent="0.2">
      <c r="A375" s="347">
        <f t="shared" ca="1" si="151"/>
        <v>1E-4</v>
      </c>
      <c r="B375" s="304">
        <f t="shared" ca="1" si="152"/>
        <v>12.007099999999959</v>
      </c>
      <c r="D375" s="306">
        <f t="shared" ca="1" si="153"/>
        <v>-0.26044085841821718</v>
      </c>
      <c r="E375" s="307">
        <f t="shared" ca="1" si="154"/>
        <v>-6.3832662835187488</v>
      </c>
      <c r="F375" s="304">
        <f t="shared" ca="1" si="155"/>
        <v>6.3885771410417265</v>
      </c>
      <c r="G375" s="306">
        <f t="shared" ca="1" si="156"/>
        <v>3.915345597450222</v>
      </c>
      <c r="H375" s="307">
        <f t="shared" ca="1" si="157"/>
        <v>-51.516886960171078</v>
      </c>
      <c r="I375" s="304">
        <f t="shared" ca="1" si="158"/>
        <v>51.665458221276985</v>
      </c>
      <c r="J375" s="306">
        <f t="shared" ca="1" si="159"/>
        <v>56.288824373840264</v>
      </c>
      <c r="K375" s="307">
        <f t="shared" ca="1" si="160"/>
        <v>-0.37229500184069131</v>
      </c>
      <c r="L375" s="304">
        <f t="shared" ca="1" si="145"/>
        <v>56.290055542319635</v>
      </c>
      <c r="M375" s="306">
        <f t="shared" ca="1" si="161"/>
        <v>-1.494940946891101</v>
      </c>
      <c r="N375" s="304">
        <f t="shared" ca="1" si="162"/>
        <v>-85.65380687815103</v>
      </c>
      <c r="P375" s="310">
        <f t="shared" ca="1" si="163"/>
        <v>23</v>
      </c>
      <c r="Q375" s="304">
        <f t="shared" ca="1" si="164"/>
        <v>0</v>
      </c>
      <c r="R375" s="306">
        <f t="shared" ca="1" si="165"/>
        <v>0</v>
      </c>
      <c r="S375" s="307">
        <f t="shared" ca="1" si="166"/>
        <v>2.0843000000000003</v>
      </c>
      <c r="T375" s="304">
        <f t="shared" ca="1" si="146"/>
        <v>20.446983000000003</v>
      </c>
      <c r="U375" s="311">
        <f t="shared" ca="1" si="147"/>
        <v>0</v>
      </c>
      <c r="V375" s="306">
        <f t="shared" ca="1" si="148"/>
        <v>1.2250456069866884</v>
      </c>
      <c r="W375" s="304">
        <f t="shared" ca="1" si="149"/>
        <v>7.1631195366553548</v>
      </c>
      <c r="Y375" s="314" t="str">
        <f t="shared" ca="1" si="167"/>
        <v/>
      </c>
      <c r="Z375" s="315" t="str">
        <f t="shared" ca="1" si="168"/>
        <v/>
      </c>
      <c r="AA375" s="316" t="str">
        <f t="shared" ca="1" si="169"/>
        <v/>
      </c>
      <c r="AC375" s="310" t="e">
        <f t="shared" ca="1" si="170"/>
        <v>#N/A</v>
      </c>
      <c r="AD375" s="323" t="e">
        <f t="shared" ca="1" si="171"/>
        <v>#N/A</v>
      </c>
      <c r="AE375" s="324">
        <f t="shared" ca="1" si="150"/>
        <v>-0.37229500184069131</v>
      </c>
      <c r="AG375" s="306">
        <f t="shared" ca="1" si="172"/>
        <v>6.3451723378124818</v>
      </c>
      <c r="AH375" s="304">
        <f t="shared" ca="1" si="173"/>
        <v>-3.4366165634826102</v>
      </c>
    </row>
    <row r="376" spans="1:34" x14ac:dyDescent="0.2">
      <c r="A376" s="347">
        <f t="shared" ca="1" si="151"/>
        <v>1E-4</v>
      </c>
      <c r="B376" s="304">
        <f t="shared" ca="1" si="152"/>
        <v>12.007199999999958</v>
      </c>
      <c r="D376" s="306">
        <f t="shared" ca="1" si="153"/>
        <v>-0.26044245876261291</v>
      </c>
      <c r="E376" s="307">
        <f t="shared" ca="1" si="154"/>
        <v>-6.3831799725571692</v>
      </c>
      <c r="F376" s="304">
        <f t="shared" ca="1" si="155"/>
        <v>6.3884909670736221</v>
      </c>
      <c r="G376" s="306">
        <f t="shared" ca="1" si="156"/>
        <v>3.9153195532043457</v>
      </c>
      <c r="H376" s="307">
        <f t="shared" ca="1" si="157"/>
        <v>-51.517525278168335</v>
      </c>
      <c r="I376" s="304">
        <f t="shared" ca="1" si="158"/>
        <v>51.666092730052824</v>
      </c>
      <c r="J376" s="306">
        <f t="shared" ca="1" si="159"/>
        <v>56.288824373840264</v>
      </c>
      <c r="K376" s="307">
        <f t="shared" ca="1" si="160"/>
        <v>-0.3774467224526083</v>
      </c>
      <c r="L376" s="304">
        <f t="shared" ca="1" si="145"/>
        <v>56.290089850854955</v>
      </c>
      <c r="M376" s="306">
        <f t="shared" ca="1" si="161"/>
        <v>-1.49494238579969</v>
      </c>
      <c r="N376" s="304">
        <f t="shared" ca="1" si="162"/>
        <v>-85.653889321540291</v>
      </c>
      <c r="P376" s="310">
        <f t="shared" ca="1" si="163"/>
        <v>23</v>
      </c>
      <c r="Q376" s="304">
        <f t="shared" ca="1" si="164"/>
        <v>0</v>
      </c>
      <c r="R376" s="306">
        <f t="shared" ca="1" si="165"/>
        <v>0</v>
      </c>
      <c r="S376" s="307">
        <f t="shared" ca="1" si="166"/>
        <v>2.0843000000000003</v>
      </c>
      <c r="T376" s="304">
        <f t="shared" ca="1" si="146"/>
        <v>20.446983000000003</v>
      </c>
      <c r="U376" s="311">
        <f t="shared" ca="1" si="147"/>
        <v>0</v>
      </c>
      <c r="V376" s="306">
        <f t="shared" ca="1" si="148"/>
        <v>1.2250462380961216</v>
      </c>
      <c r="W376" s="304">
        <f t="shared" ca="1" si="149"/>
        <v>7.1632991700734765</v>
      </c>
      <c r="Y376" s="314" t="str">
        <f t="shared" ca="1" si="167"/>
        <v/>
      </c>
      <c r="Z376" s="315" t="str">
        <f t="shared" ca="1" si="168"/>
        <v/>
      </c>
      <c r="AA376" s="316" t="str">
        <f t="shared" ca="1" si="169"/>
        <v/>
      </c>
      <c r="AC376" s="310" t="e">
        <f t="shared" ca="1" si="170"/>
        <v>#N/A</v>
      </c>
      <c r="AD376" s="323" t="e">
        <f t="shared" ca="1" si="171"/>
        <v>#N/A</v>
      </c>
      <c r="AE376" s="324">
        <f t="shared" ca="1" si="150"/>
        <v>-0.3774467224526083</v>
      </c>
      <c r="AG376" s="306">
        <f t="shared" ca="1" si="172"/>
        <v>6.3450872235436027</v>
      </c>
      <c r="AH376" s="304">
        <f t="shared" ca="1" si="173"/>
        <v>-3.4367027475197207</v>
      </c>
    </row>
    <row r="377" spans="1:34" x14ac:dyDescent="0.2">
      <c r="A377" s="347">
        <f t="shared" ca="1" si="151"/>
        <v>1E-4</v>
      </c>
      <c r="B377" s="304">
        <f t="shared" ca="1" si="152"/>
        <v>12.007299999999958</v>
      </c>
      <c r="D377" s="306">
        <f t="shared" ca="1" si="153"/>
        <v>-0.26044405901414747</v>
      </c>
      <c r="E377" s="307">
        <f t="shared" ca="1" si="154"/>
        <v>-6.38309366158144</v>
      </c>
      <c r="F377" s="304">
        <f t="shared" ca="1" si="155"/>
        <v>6.3884047930916932</v>
      </c>
      <c r="G377" s="306">
        <f t="shared" ca="1" si="156"/>
        <v>3.9152935087984444</v>
      </c>
      <c r="H377" s="307">
        <f t="shared" ca="1" si="157"/>
        <v>-51.518163587534495</v>
      </c>
      <c r="I377" s="304">
        <f t="shared" ca="1" si="158"/>
        <v>51.666727230317235</v>
      </c>
      <c r="J377" s="306">
        <f t="shared" ca="1" si="159"/>
        <v>56.288824373840264</v>
      </c>
      <c r="K377" s="307">
        <f t="shared" ca="1" si="160"/>
        <v>-0.38259850689589342</v>
      </c>
      <c r="L377" s="304">
        <f t="shared" ca="1" si="145"/>
        <v>56.290124631293125</v>
      </c>
      <c r="M377" s="306">
        <f t="shared" ca="1" si="161"/>
        <v>-1.4949438246633662</v>
      </c>
      <c r="N377" s="304">
        <f t="shared" ca="1" si="162"/>
        <v>-85.653971762356221</v>
      </c>
      <c r="P377" s="310">
        <f t="shared" ca="1" si="163"/>
        <v>23</v>
      </c>
      <c r="Q377" s="304">
        <f t="shared" ca="1" si="164"/>
        <v>0</v>
      </c>
      <c r="R377" s="306">
        <f t="shared" ca="1" si="165"/>
        <v>0</v>
      </c>
      <c r="S377" s="307">
        <f t="shared" ca="1" si="166"/>
        <v>2.0843000000000003</v>
      </c>
      <c r="T377" s="304">
        <f t="shared" ca="1" si="146"/>
        <v>20.446983000000003</v>
      </c>
      <c r="U377" s="311">
        <f t="shared" ca="1" si="147"/>
        <v>0</v>
      </c>
      <c r="V377" s="306">
        <f t="shared" ca="1" si="148"/>
        <v>1.2250468692136993</v>
      </c>
      <c r="W377" s="304">
        <f t="shared" ca="1" si="149"/>
        <v>7.1634788035210875</v>
      </c>
      <c r="Y377" s="314" t="str">
        <f t="shared" ca="1" si="167"/>
        <v/>
      </c>
      <c r="Z377" s="315" t="str">
        <f t="shared" ca="1" si="168"/>
        <v/>
      </c>
      <c r="AA377" s="316" t="str">
        <f t="shared" ca="1" si="169"/>
        <v/>
      </c>
      <c r="AC377" s="310" t="e">
        <f t="shared" ca="1" si="170"/>
        <v>#N/A</v>
      </c>
      <c r="AD377" s="323" t="e">
        <f t="shared" ca="1" si="171"/>
        <v>#N/A</v>
      </c>
      <c r="AE377" s="324">
        <f t="shared" ca="1" si="150"/>
        <v>-0.38259850689589342</v>
      </c>
      <c r="AG377" s="306">
        <f t="shared" ca="1" si="172"/>
        <v>6.3450021092068898</v>
      </c>
      <c r="AH377" s="304">
        <f t="shared" ca="1" si="173"/>
        <v>-3.4367889315710194</v>
      </c>
    </row>
    <row r="378" spans="1:34" x14ac:dyDescent="0.2">
      <c r="A378" s="347">
        <f t="shared" ca="1" si="151"/>
        <v>1E-4</v>
      </c>
      <c r="B378" s="304">
        <f t="shared" ca="1" si="152"/>
        <v>12.007399999999958</v>
      </c>
      <c r="D378" s="306">
        <f t="shared" ca="1" si="153"/>
        <v>-0.26044565917282181</v>
      </c>
      <c r="E378" s="307">
        <f t="shared" ca="1" si="154"/>
        <v>-6.3830073505916003</v>
      </c>
      <c r="F378" s="304">
        <f t="shared" ca="1" si="155"/>
        <v>6.3883186190959798</v>
      </c>
      <c r="G378" s="306">
        <f t="shared" ca="1" si="156"/>
        <v>3.9152674642325271</v>
      </c>
      <c r="H378" s="307">
        <f t="shared" ca="1" si="157"/>
        <v>-51.518801888269557</v>
      </c>
      <c r="I378" s="304">
        <f t="shared" ca="1" si="158"/>
        <v>51.667361722070197</v>
      </c>
      <c r="J378" s="306">
        <f t="shared" ca="1" si="159"/>
        <v>56.288824373840264</v>
      </c>
      <c r="K378" s="307">
        <f t="shared" ca="1" si="160"/>
        <v>-0.38775035516968365</v>
      </c>
      <c r="L378" s="304">
        <f t="shared" ca="1" si="145"/>
        <v>56.29015988365078</v>
      </c>
      <c r="M378" s="306">
        <f t="shared" ca="1" si="161"/>
        <v>-1.4949452634821316</v>
      </c>
      <c r="N378" s="304">
        <f t="shared" ca="1" si="162"/>
        <v>-85.654054200598978</v>
      </c>
      <c r="P378" s="310">
        <f t="shared" ca="1" si="163"/>
        <v>23</v>
      </c>
      <c r="Q378" s="304">
        <f t="shared" ca="1" si="164"/>
        <v>0</v>
      </c>
      <c r="R378" s="306">
        <f t="shared" ca="1" si="165"/>
        <v>0</v>
      </c>
      <c r="S378" s="307">
        <f t="shared" ca="1" si="166"/>
        <v>2.0843000000000003</v>
      </c>
      <c r="T378" s="304">
        <f t="shared" ca="1" si="146"/>
        <v>20.446983000000003</v>
      </c>
      <c r="U378" s="311">
        <f t="shared" ca="1" si="147"/>
        <v>0</v>
      </c>
      <c r="V378" s="306">
        <f t="shared" ca="1" si="148"/>
        <v>1.2250475003394221</v>
      </c>
      <c r="W378" s="304">
        <f t="shared" ca="1" si="149"/>
        <v>7.1636584369981025</v>
      </c>
      <c r="Y378" s="314" t="str">
        <f t="shared" ca="1" si="167"/>
        <v/>
      </c>
      <c r="Z378" s="315" t="str">
        <f t="shared" ca="1" si="168"/>
        <v/>
      </c>
      <c r="AA378" s="316" t="str">
        <f t="shared" ca="1" si="169"/>
        <v/>
      </c>
      <c r="AC378" s="310" t="e">
        <f t="shared" ca="1" si="170"/>
        <v>#N/A</v>
      </c>
      <c r="AD378" s="323" t="e">
        <f t="shared" ca="1" si="171"/>
        <v>#N/A</v>
      </c>
      <c r="AE378" s="324">
        <f t="shared" ca="1" si="150"/>
        <v>-0.38775035516968365</v>
      </c>
      <c r="AG378" s="306">
        <f t="shared" ca="1" si="172"/>
        <v>6.3449169948023876</v>
      </c>
      <c r="AH378" s="304">
        <f t="shared" ca="1" si="173"/>
        <v>-3.4368751156364663</v>
      </c>
    </row>
    <row r="379" spans="1:34" x14ac:dyDescent="0.2">
      <c r="A379" s="347">
        <f t="shared" ca="1" si="151"/>
        <v>1E-4</v>
      </c>
      <c r="B379" s="304">
        <f t="shared" ca="1" si="152"/>
        <v>12.007499999999958</v>
      </c>
      <c r="D379" s="306">
        <f t="shared" ca="1" si="153"/>
        <v>-0.2604472592386376</v>
      </c>
      <c r="E379" s="307">
        <f t="shared" ca="1" si="154"/>
        <v>-6.382921039587691</v>
      </c>
      <c r="F379" s="304">
        <f t="shared" ca="1" si="155"/>
        <v>6.3882324450865227</v>
      </c>
      <c r="G379" s="306">
        <f t="shared" ca="1" si="156"/>
        <v>3.9152414195066032</v>
      </c>
      <c r="H379" s="307">
        <f t="shared" ca="1" si="157"/>
        <v>-51.519440180373515</v>
      </c>
      <c r="I379" s="304">
        <f t="shared" ca="1" si="158"/>
        <v>51.667996205311709</v>
      </c>
      <c r="J379" s="306">
        <f t="shared" ca="1" si="159"/>
        <v>56.288824373840264</v>
      </c>
      <c r="K379" s="307">
        <f t="shared" ca="1" si="160"/>
        <v>-0.39290226727311578</v>
      </c>
      <c r="L379" s="304">
        <f t="shared" ca="1" si="145"/>
        <v>56.290195607944568</v>
      </c>
      <c r="M379" s="306">
        <f t="shared" ca="1" si="161"/>
        <v>-1.4949467022559888</v>
      </c>
      <c r="N379" s="304">
        <f t="shared" ca="1" si="162"/>
        <v>-85.65413663626866</v>
      </c>
      <c r="P379" s="310">
        <f t="shared" ca="1" si="163"/>
        <v>23</v>
      </c>
      <c r="Q379" s="304">
        <f t="shared" ca="1" si="164"/>
        <v>0</v>
      </c>
      <c r="R379" s="306">
        <f t="shared" ca="1" si="165"/>
        <v>0</v>
      </c>
      <c r="S379" s="307">
        <f t="shared" ca="1" si="166"/>
        <v>2.0843000000000003</v>
      </c>
      <c r="T379" s="304">
        <f t="shared" ca="1" si="146"/>
        <v>20.446983000000003</v>
      </c>
      <c r="U379" s="311">
        <f t="shared" ca="1" si="147"/>
        <v>0</v>
      </c>
      <c r="V379" s="306">
        <f t="shared" ca="1" si="148"/>
        <v>1.2250481314732895</v>
      </c>
      <c r="W379" s="304">
        <f t="shared" ca="1" si="149"/>
        <v>7.1638380705044336</v>
      </c>
      <c r="Y379" s="314" t="str">
        <f t="shared" ca="1" si="167"/>
        <v/>
      </c>
      <c r="Z379" s="315" t="str">
        <f t="shared" ca="1" si="168"/>
        <v/>
      </c>
      <c r="AA379" s="316" t="str">
        <f t="shared" ca="1" si="169"/>
        <v/>
      </c>
      <c r="AC379" s="310" t="e">
        <f t="shared" ca="1" si="170"/>
        <v>#N/A</v>
      </c>
      <c r="AD379" s="323" t="e">
        <f t="shared" ca="1" si="171"/>
        <v>#N/A</v>
      </c>
      <c r="AE379" s="324">
        <f t="shared" ca="1" si="150"/>
        <v>-0.39290226727311578</v>
      </c>
      <c r="AG379" s="306">
        <f t="shared" ca="1" si="172"/>
        <v>6.3448318803301405</v>
      </c>
      <c r="AH379" s="304">
        <f t="shared" ca="1" si="173"/>
        <v>-3.4369612997160206</v>
      </c>
    </row>
    <row r="380" spans="1:34" x14ac:dyDescent="0.2">
      <c r="A380" s="347">
        <f t="shared" ca="1" si="151"/>
        <v>1E-4</v>
      </c>
      <c r="B380" s="304">
        <f t="shared" ca="1" si="152"/>
        <v>12.007599999999957</v>
      </c>
      <c r="D380" s="306">
        <f t="shared" ca="1" si="153"/>
        <v>-0.26044885921159466</v>
      </c>
      <c r="E380" s="307">
        <f t="shared" ca="1" si="154"/>
        <v>-6.3828347285697538</v>
      </c>
      <c r="F380" s="304">
        <f t="shared" ca="1" si="155"/>
        <v>6.3881462710633627</v>
      </c>
      <c r="G380" s="306">
        <f t="shared" ca="1" si="156"/>
        <v>3.9152153746206819</v>
      </c>
      <c r="H380" s="307">
        <f t="shared" ca="1" si="157"/>
        <v>-51.520078463846374</v>
      </c>
      <c r="I380" s="304">
        <f t="shared" ca="1" si="158"/>
        <v>51.668630680041765</v>
      </c>
      <c r="J380" s="306">
        <f t="shared" ca="1" si="159"/>
        <v>56.288824373840264</v>
      </c>
      <c r="K380" s="307">
        <f t="shared" ca="1" si="160"/>
        <v>-0.39805424320532679</v>
      </c>
      <c r="L380" s="304">
        <f t="shared" ca="1" si="145"/>
        <v>56.290231804191102</v>
      </c>
      <c r="M380" s="306">
        <f t="shared" ca="1" si="161"/>
        <v>-1.4949481409849394</v>
      </c>
      <c r="N380" s="304">
        <f t="shared" ca="1" si="162"/>
        <v>-85.654219069365396</v>
      </c>
      <c r="P380" s="310">
        <f t="shared" ca="1" si="163"/>
        <v>23</v>
      </c>
      <c r="Q380" s="304">
        <f t="shared" ca="1" si="164"/>
        <v>0</v>
      </c>
      <c r="R380" s="306">
        <f t="shared" ca="1" si="165"/>
        <v>0</v>
      </c>
      <c r="S380" s="307">
        <f t="shared" ca="1" si="166"/>
        <v>2.0843000000000003</v>
      </c>
      <c r="T380" s="304">
        <f t="shared" ca="1" si="146"/>
        <v>20.446983000000003</v>
      </c>
      <c r="U380" s="311">
        <f t="shared" ca="1" si="147"/>
        <v>0</v>
      </c>
      <c r="V380" s="306">
        <f t="shared" ca="1" si="148"/>
        <v>1.2250487626153008</v>
      </c>
      <c r="W380" s="304">
        <f t="shared" ca="1" si="149"/>
        <v>7.1640177040399911</v>
      </c>
      <c r="Y380" s="314" t="str">
        <f t="shared" ca="1" si="167"/>
        <v/>
      </c>
      <c r="Z380" s="315" t="str">
        <f t="shared" ca="1" si="168"/>
        <v/>
      </c>
      <c r="AA380" s="316" t="str">
        <f t="shared" ca="1" si="169"/>
        <v/>
      </c>
      <c r="AC380" s="310" t="e">
        <f t="shared" ca="1" si="170"/>
        <v>#N/A</v>
      </c>
      <c r="AD380" s="323" t="e">
        <f t="shared" ca="1" si="171"/>
        <v>#N/A</v>
      </c>
      <c r="AE380" s="324">
        <f t="shared" ca="1" si="150"/>
        <v>-0.39805424320532679</v>
      </c>
      <c r="AG380" s="306">
        <f t="shared" ca="1" si="172"/>
        <v>6.3447467657901955</v>
      </c>
      <c r="AH380" s="304">
        <f t="shared" ca="1" si="173"/>
        <v>-3.4370474838096401</v>
      </c>
    </row>
    <row r="381" spans="1:34" x14ac:dyDescent="0.2">
      <c r="A381" s="347">
        <f t="shared" ca="1" si="151"/>
        <v>1E-4</v>
      </c>
      <c r="B381" s="304">
        <f t="shared" ca="1" si="152"/>
        <v>12.007699999999957</v>
      </c>
      <c r="D381" s="306">
        <f t="shared" ca="1" si="153"/>
        <v>-0.2604504590916954</v>
      </c>
      <c r="E381" s="307">
        <f t="shared" ca="1" si="154"/>
        <v>-6.3827484175378331</v>
      </c>
      <c r="F381" s="304">
        <f t="shared" ca="1" si="155"/>
        <v>6.3880600970265444</v>
      </c>
      <c r="G381" s="306">
        <f t="shared" ca="1" si="156"/>
        <v>3.9151893295747726</v>
      </c>
      <c r="H381" s="307">
        <f t="shared" ca="1" si="157"/>
        <v>-51.52071673868813</v>
      </c>
      <c r="I381" s="304">
        <f t="shared" ca="1" si="158"/>
        <v>51.669265146260358</v>
      </c>
      <c r="J381" s="306">
        <f t="shared" ca="1" si="159"/>
        <v>56.288824373840264</v>
      </c>
      <c r="K381" s="307">
        <f t="shared" ca="1" si="160"/>
        <v>-0.40320628296545352</v>
      </c>
      <c r="L381" s="304">
        <f t="shared" ca="1" si="145"/>
        <v>56.290268472406993</v>
      </c>
      <c r="M381" s="306">
        <f t="shared" ca="1" si="161"/>
        <v>-1.4949495796689862</v>
      </c>
      <c r="N381" s="304">
        <f t="shared" ca="1" si="162"/>
        <v>-85.654301499889328</v>
      </c>
      <c r="P381" s="310">
        <f t="shared" ca="1" si="163"/>
        <v>23</v>
      </c>
      <c r="Q381" s="304">
        <f t="shared" ca="1" si="164"/>
        <v>0</v>
      </c>
      <c r="R381" s="306">
        <f t="shared" ca="1" si="165"/>
        <v>0</v>
      </c>
      <c r="S381" s="307">
        <f t="shared" ca="1" si="166"/>
        <v>2.0843000000000003</v>
      </c>
      <c r="T381" s="304">
        <f t="shared" ca="1" si="146"/>
        <v>20.446983000000003</v>
      </c>
      <c r="U381" s="311">
        <f t="shared" ca="1" si="147"/>
        <v>0</v>
      </c>
      <c r="V381" s="306">
        <f t="shared" ca="1" si="148"/>
        <v>1.225049393765457</v>
      </c>
      <c r="W381" s="304">
        <f t="shared" ca="1" si="149"/>
        <v>7.164197337604695</v>
      </c>
      <c r="Y381" s="314" t="str">
        <f t="shared" ca="1" si="167"/>
        <v/>
      </c>
      <c r="Z381" s="315" t="str">
        <f t="shared" ca="1" si="168"/>
        <v/>
      </c>
      <c r="AA381" s="316" t="str">
        <f t="shared" ca="1" si="169"/>
        <v/>
      </c>
      <c r="AC381" s="310" t="e">
        <f t="shared" ca="1" si="170"/>
        <v>#N/A</v>
      </c>
      <c r="AD381" s="323" t="e">
        <f t="shared" ca="1" si="171"/>
        <v>#N/A</v>
      </c>
      <c r="AE381" s="324">
        <f t="shared" ca="1" si="150"/>
        <v>-0.40320628296545352</v>
      </c>
      <c r="AG381" s="306">
        <f t="shared" ca="1" si="172"/>
        <v>6.344661651182598</v>
      </c>
      <c r="AH381" s="304">
        <f t="shared" ca="1" si="173"/>
        <v>-3.4371336679172817</v>
      </c>
    </row>
    <row r="382" spans="1:34" x14ac:dyDescent="0.2">
      <c r="A382" s="347">
        <f t="shared" ca="1" si="151"/>
        <v>1E-4</v>
      </c>
      <c r="B382" s="304">
        <f t="shared" ca="1" si="152"/>
        <v>12.007799999999957</v>
      </c>
      <c r="D382" s="306">
        <f t="shared" ca="1" si="153"/>
        <v>-0.26045205887893907</v>
      </c>
      <c r="E382" s="307">
        <f t="shared" ca="1" si="154"/>
        <v>-6.3826621064919662</v>
      </c>
      <c r="F382" s="304">
        <f t="shared" ca="1" si="155"/>
        <v>6.3879739229761059</v>
      </c>
      <c r="G382" s="306">
        <f t="shared" ca="1" si="156"/>
        <v>3.9151632843688846</v>
      </c>
      <c r="H382" s="307">
        <f t="shared" ca="1" si="157"/>
        <v>-51.52135500489878</v>
      </c>
      <c r="I382" s="304">
        <f t="shared" ca="1" si="158"/>
        <v>51.66989960396748</v>
      </c>
      <c r="J382" s="306">
        <f t="shared" ca="1" si="159"/>
        <v>56.288824373840264</v>
      </c>
      <c r="K382" s="307">
        <f t="shared" ca="1" si="160"/>
        <v>-0.40835838655263285</v>
      </c>
      <c r="L382" s="304">
        <f t="shared" ca="1" si="145"/>
        <v>56.29030561260884</v>
      </c>
      <c r="M382" s="306">
        <f t="shared" ca="1" si="161"/>
        <v>-1.4949510183081312</v>
      </c>
      <c r="N382" s="304">
        <f t="shared" ca="1" si="162"/>
        <v>-85.654383927840584</v>
      </c>
      <c r="P382" s="310">
        <f t="shared" ca="1" si="163"/>
        <v>23</v>
      </c>
      <c r="Q382" s="304">
        <f t="shared" ca="1" si="164"/>
        <v>0</v>
      </c>
      <c r="R382" s="306">
        <f t="shared" ca="1" si="165"/>
        <v>0</v>
      </c>
      <c r="S382" s="307">
        <f t="shared" ca="1" si="166"/>
        <v>2.0843000000000003</v>
      </c>
      <c r="T382" s="304">
        <f t="shared" ca="1" si="146"/>
        <v>20.446983000000003</v>
      </c>
      <c r="U382" s="311">
        <f t="shared" ca="1" si="147"/>
        <v>0</v>
      </c>
      <c r="V382" s="306">
        <f t="shared" ca="1" si="148"/>
        <v>1.2250500249237579</v>
      </c>
      <c r="W382" s="304">
        <f t="shared" ca="1" si="149"/>
        <v>7.1643769711984611</v>
      </c>
      <c r="Y382" s="314" t="str">
        <f t="shared" ca="1" si="167"/>
        <v/>
      </c>
      <c r="Z382" s="315" t="str">
        <f t="shared" ca="1" si="168"/>
        <v/>
      </c>
      <c r="AA382" s="316" t="str">
        <f t="shared" ca="1" si="169"/>
        <v/>
      </c>
      <c r="AC382" s="310" t="e">
        <f t="shared" ca="1" si="170"/>
        <v>#N/A</v>
      </c>
      <c r="AD382" s="323" t="e">
        <f t="shared" ca="1" si="171"/>
        <v>#N/A</v>
      </c>
      <c r="AE382" s="324">
        <f t="shared" ca="1" si="150"/>
        <v>-0.40835838655263285</v>
      </c>
      <c r="AG382" s="306">
        <f t="shared" ca="1" si="172"/>
        <v>6.3445765365073878</v>
      </c>
      <c r="AH382" s="304">
        <f t="shared" ca="1" si="173"/>
        <v>-3.4372198520389072</v>
      </c>
    </row>
    <row r="383" spans="1:34" x14ac:dyDescent="0.2">
      <c r="A383" s="347">
        <f t="shared" ca="1" si="151"/>
        <v>1E-4</v>
      </c>
      <c r="B383" s="304">
        <f t="shared" ca="1" si="152"/>
        <v>12.007899999999957</v>
      </c>
      <c r="D383" s="306">
        <f t="shared" ca="1" si="153"/>
        <v>-0.26045365857332742</v>
      </c>
      <c r="E383" s="307">
        <f t="shared" ca="1" si="154"/>
        <v>-6.3825757954321949</v>
      </c>
      <c r="F383" s="304">
        <f t="shared" ca="1" si="155"/>
        <v>6.387887748912088</v>
      </c>
      <c r="G383" s="306">
        <f t="shared" ca="1" si="156"/>
        <v>3.9151372390030272</v>
      </c>
      <c r="H383" s="307">
        <f t="shared" ca="1" si="157"/>
        <v>-51.521993262478325</v>
      </c>
      <c r="I383" s="304">
        <f t="shared" ca="1" si="158"/>
        <v>51.670534053163124</v>
      </c>
      <c r="J383" s="306">
        <f t="shared" ca="1" si="159"/>
        <v>56.288824373840264</v>
      </c>
      <c r="K383" s="307">
        <f t="shared" ca="1" si="160"/>
        <v>-0.41351055396600173</v>
      </c>
      <c r="L383" s="304">
        <f t="shared" ca="1" si="145"/>
        <v>56.290343224813213</v>
      </c>
      <c r="M383" s="306">
        <f t="shared" ca="1" si="161"/>
        <v>-1.4949524569023764</v>
      </c>
      <c r="N383" s="304">
        <f t="shared" ca="1" si="162"/>
        <v>-85.654466353219263</v>
      </c>
      <c r="P383" s="310">
        <f t="shared" ca="1" si="163"/>
        <v>23</v>
      </c>
      <c r="Q383" s="304">
        <f t="shared" ca="1" si="164"/>
        <v>0</v>
      </c>
      <c r="R383" s="306">
        <f t="shared" ca="1" si="165"/>
        <v>0</v>
      </c>
      <c r="S383" s="307">
        <f t="shared" ca="1" si="166"/>
        <v>2.0843000000000003</v>
      </c>
      <c r="T383" s="304">
        <f t="shared" ca="1" si="146"/>
        <v>20.446983000000003</v>
      </c>
      <c r="U383" s="311">
        <f t="shared" ca="1" si="147"/>
        <v>0</v>
      </c>
      <c r="V383" s="306">
        <f t="shared" ca="1" si="148"/>
        <v>1.2250506560902021</v>
      </c>
      <c r="W383" s="304">
        <f t="shared" ca="1" si="149"/>
        <v>7.1645566048211906</v>
      </c>
      <c r="Y383" s="314" t="str">
        <f t="shared" ca="1" si="167"/>
        <v/>
      </c>
      <c r="Z383" s="315" t="str">
        <f t="shared" ca="1" si="168"/>
        <v/>
      </c>
      <c r="AA383" s="316" t="str">
        <f t="shared" ca="1" si="169"/>
        <v/>
      </c>
      <c r="AC383" s="310" t="e">
        <f t="shared" ca="1" si="170"/>
        <v>#N/A</v>
      </c>
      <c r="AD383" s="323" t="e">
        <f t="shared" ca="1" si="171"/>
        <v>#N/A</v>
      </c>
      <c r="AE383" s="324">
        <f t="shared" ca="1" si="150"/>
        <v>-0.41351055396600173</v>
      </c>
      <c r="AG383" s="306">
        <f t="shared" ca="1" si="172"/>
        <v>6.344491421764614</v>
      </c>
      <c r="AH383" s="304">
        <f t="shared" ca="1" si="173"/>
        <v>-3.4373060361744758</v>
      </c>
    </row>
    <row r="384" spans="1:34" x14ac:dyDescent="0.2">
      <c r="A384" s="347">
        <f t="shared" ca="1" si="151"/>
        <v>1E-4</v>
      </c>
      <c r="B384" s="304">
        <f t="shared" ca="1" si="152"/>
        <v>12.007999999999956</v>
      </c>
      <c r="D384" s="306">
        <f t="shared" ca="1" si="153"/>
        <v>-0.26045525817486087</v>
      </c>
      <c r="E384" s="307">
        <f t="shared" ca="1" si="154"/>
        <v>-6.3824894843585653</v>
      </c>
      <c r="F384" s="304">
        <f t="shared" ca="1" si="155"/>
        <v>6.3878015748345378</v>
      </c>
      <c r="G384" s="306">
        <f t="shared" ca="1" si="156"/>
        <v>3.9151111934772098</v>
      </c>
      <c r="H384" s="307">
        <f t="shared" ca="1" si="157"/>
        <v>-51.522631511426759</v>
      </c>
      <c r="I384" s="304">
        <f t="shared" ca="1" si="158"/>
        <v>51.671168493847283</v>
      </c>
      <c r="J384" s="306">
        <f t="shared" ca="1" si="159"/>
        <v>56.288824373840264</v>
      </c>
      <c r="K384" s="307">
        <f t="shared" ca="1" si="160"/>
        <v>-0.41866278520469696</v>
      </c>
      <c r="L384" s="304">
        <f t="shared" ca="1" si="145"/>
        <v>56.290381309036711</v>
      </c>
      <c r="M384" s="306">
        <f t="shared" ca="1" si="161"/>
        <v>-1.4949538954517241</v>
      </c>
      <c r="N384" s="304">
        <f t="shared" ca="1" si="162"/>
        <v>-85.654548776025507</v>
      </c>
      <c r="P384" s="310">
        <f t="shared" ca="1" si="163"/>
        <v>23</v>
      </c>
      <c r="Q384" s="304">
        <f t="shared" ca="1" si="164"/>
        <v>0</v>
      </c>
      <c r="R384" s="306">
        <f t="shared" ca="1" si="165"/>
        <v>0</v>
      </c>
      <c r="S384" s="307">
        <f t="shared" ca="1" si="166"/>
        <v>2.0843000000000003</v>
      </c>
      <c r="T384" s="304">
        <f t="shared" ca="1" si="146"/>
        <v>20.446983000000003</v>
      </c>
      <c r="U384" s="311">
        <f t="shared" ca="1" si="147"/>
        <v>0</v>
      </c>
      <c r="V384" s="306">
        <f t="shared" ca="1" si="148"/>
        <v>1.225051287264791</v>
      </c>
      <c r="W384" s="304">
        <f t="shared" ca="1" si="149"/>
        <v>7.164736238472809</v>
      </c>
      <c r="Y384" s="314" t="str">
        <f t="shared" ca="1" si="167"/>
        <v/>
      </c>
      <c r="Z384" s="315" t="str">
        <f t="shared" ca="1" si="168"/>
        <v/>
      </c>
      <c r="AA384" s="316" t="str">
        <f t="shared" ca="1" si="169"/>
        <v/>
      </c>
      <c r="AC384" s="310" t="e">
        <f t="shared" ca="1" si="170"/>
        <v>#N/A</v>
      </c>
      <c r="AD384" s="323" t="e">
        <f t="shared" ca="1" si="171"/>
        <v>#N/A</v>
      </c>
      <c r="AE384" s="324">
        <f t="shared" ca="1" si="150"/>
        <v>-0.41866278520469696</v>
      </c>
      <c r="AG384" s="306">
        <f t="shared" ca="1" si="172"/>
        <v>6.3444063069543208</v>
      </c>
      <c r="AH384" s="304">
        <f t="shared" ca="1" si="173"/>
        <v>-3.4373922203239409</v>
      </c>
    </row>
    <row r="385" spans="1:34" x14ac:dyDescent="0.2">
      <c r="A385" s="347">
        <f t="shared" ca="1" si="151"/>
        <v>1E-4</v>
      </c>
      <c r="B385" s="304">
        <f t="shared" ca="1" si="152"/>
        <v>12.008099999999956</v>
      </c>
      <c r="D385" s="306">
        <f t="shared" ca="1" si="153"/>
        <v>-0.26045685768354121</v>
      </c>
      <c r="E385" s="307">
        <f t="shared" ca="1" si="154"/>
        <v>-6.3824031732711139</v>
      </c>
      <c r="F385" s="304">
        <f t="shared" ca="1" si="155"/>
        <v>6.38771540074349</v>
      </c>
      <c r="G385" s="306">
        <f t="shared" ca="1" si="156"/>
        <v>3.9150851477914417</v>
      </c>
      <c r="H385" s="307">
        <f t="shared" ca="1" si="157"/>
        <v>-51.523269751744088</v>
      </c>
      <c r="I385" s="304">
        <f t="shared" ca="1" si="158"/>
        <v>51.671802926019957</v>
      </c>
      <c r="J385" s="306">
        <f t="shared" ca="1" si="159"/>
        <v>56.288824373840264</v>
      </c>
      <c r="K385" s="307">
        <f t="shared" ca="1" si="160"/>
        <v>-0.42381508026785553</v>
      </c>
      <c r="L385" s="304">
        <f t="shared" ca="1" si="145"/>
        <v>56.290419865295874</v>
      </c>
      <c r="M385" s="306">
        <f t="shared" ca="1" si="161"/>
        <v>-1.4949553339561763</v>
      </c>
      <c r="N385" s="304">
        <f t="shared" ca="1" si="162"/>
        <v>-85.65463119625943</v>
      </c>
      <c r="P385" s="310">
        <f t="shared" ca="1" si="163"/>
        <v>23</v>
      </c>
      <c r="Q385" s="304">
        <f t="shared" ca="1" si="164"/>
        <v>0</v>
      </c>
      <c r="R385" s="306">
        <f t="shared" ca="1" si="165"/>
        <v>0</v>
      </c>
      <c r="S385" s="307">
        <f t="shared" ca="1" si="166"/>
        <v>2.0843000000000003</v>
      </c>
      <c r="T385" s="304">
        <f t="shared" ca="1" si="146"/>
        <v>20.446983000000003</v>
      </c>
      <c r="U385" s="311">
        <f t="shared" ca="1" si="147"/>
        <v>0</v>
      </c>
      <c r="V385" s="306">
        <f t="shared" ca="1" si="148"/>
        <v>1.2250519184475237</v>
      </c>
      <c r="W385" s="304">
        <f t="shared" ca="1" si="149"/>
        <v>7.1649158721532267</v>
      </c>
      <c r="Y385" s="314" t="str">
        <f t="shared" ca="1" si="167"/>
        <v/>
      </c>
      <c r="Z385" s="315" t="str">
        <f t="shared" ca="1" si="168"/>
        <v/>
      </c>
      <c r="AA385" s="316" t="str">
        <f t="shared" ca="1" si="169"/>
        <v/>
      </c>
      <c r="AC385" s="310" t="e">
        <f t="shared" ca="1" si="170"/>
        <v>#N/A</v>
      </c>
      <c r="AD385" s="323" t="e">
        <f t="shared" ca="1" si="171"/>
        <v>#N/A</v>
      </c>
      <c r="AE385" s="324">
        <f t="shared" ca="1" si="150"/>
        <v>-0.42381508026785553</v>
      </c>
      <c r="AG385" s="306">
        <f t="shared" ca="1" si="172"/>
        <v>6.3443211920765545</v>
      </c>
      <c r="AH385" s="304">
        <f t="shared" ca="1" si="173"/>
        <v>-3.4374784044872659</v>
      </c>
    </row>
    <row r="386" spans="1:34" x14ac:dyDescent="0.2">
      <c r="A386" s="347">
        <f t="shared" ca="1" si="151"/>
        <v>1E-4</v>
      </c>
      <c r="B386" s="304">
        <f t="shared" ca="1" si="152"/>
        <v>12.008199999999956</v>
      </c>
      <c r="D386" s="306">
        <f t="shared" ca="1" si="153"/>
        <v>-0.26045845709936921</v>
      </c>
      <c r="E386" s="307">
        <f t="shared" ca="1" si="154"/>
        <v>-6.3823168621698834</v>
      </c>
      <c r="F386" s="304">
        <f t="shared" ca="1" si="155"/>
        <v>6.3876292266389889</v>
      </c>
      <c r="G386" s="306">
        <f t="shared" ca="1" si="156"/>
        <v>3.9150591019457317</v>
      </c>
      <c r="H386" s="307">
        <f t="shared" ca="1" si="157"/>
        <v>-51.523907983430306</v>
      </c>
      <c r="I386" s="304">
        <f t="shared" ca="1" si="158"/>
        <v>51.672437349681125</v>
      </c>
      <c r="J386" s="306">
        <f t="shared" ca="1" si="159"/>
        <v>56.288824373840264</v>
      </c>
      <c r="K386" s="307">
        <f t="shared" ca="1" si="160"/>
        <v>-0.42896743915461427</v>
      </c>
      <c r="L386" s="304">
        <f t="shared" ca="1" si="145"/>
        <v>56.290458893607259</v>
      </c>
      <c r="M386" s="306">
        <f t="shared" ca="1" si="161"/>
        <v>-1.4949567724157355</v>
      </c>
      <c r="N386" s="304">
        <f t="shared" ca="1" si="162"/>
        <v>-85.654713613921174</v>
      </c>
      <c r="P386" s="310">
        <f t="shared" ca="1" si="163"/>
        <v>23</v>
      </c>
      <c r="Q386" s="304">
        <f t="shared" ca="1" si="164"/>
        <v>0</v>
      </c>
      <c r="R386" s="306">
        <f t="shared" ca="1" si="165"/>
        <v>0</v>
      </c>
      <c r="S386" s="307">
        <f t="shared" ca="1" si="166"/>
        <v>2.0843000000000003</v>
      </c>
      <c r="T386" s="304">
        <f t="shared" ca="1" si="146"/>
        <v>20.446983000000003</v>
      </c>
      <c r="U386" s="311">
        <f t="shared" ca="1" si="147"/>
        <v>0</v>
      </c>
      <c r="V386" s="306">
        <f t="shared" ca="1" si="148"/>
        <v>1.2250525496384006</v>
      </c>
      <c r="W386" s="304">
        <f t="shared" ca="1" si="149"/>
        <v>7.1650955058623564</v>
      </c>
      <c r="Y386" s="314" t="str">
        <f t="shared" ca="1" si="167"/>
        <v/>
      </c>
      <c r="Z386" s="315" t="str">
        <f t="shared" ca="1" si="168"/>
        <v/>
      </c>
      <c r="AA386" s="316" t="str">
        <f t="shared" ca="1" si="169"/>
        <v/>
      </c>
      <c r="AC386" s="310" t="e">
        <f t="shared" ca="1" si="170"/>
        <v>#N/A</v>
      </c>
      <c r="AD386" s="323" t="e">
        <f t="shared" ca="1" si="171"/>
        <v>#N/A</v>
      </c>
      <c r="AE386" s="324">
        <f t="shared" ca="1" si="150"/>
        <v>-0.42896743915461427</v>
      </c>
      <c r="AG386" s="306">
        <f t="shared" ca="1" si="172"/>
        <v>6.3442360771313542</v>
      </c>
      <c r="AH386" s="304">
        <f t="shared" ca="1" si="173"/>
        <v>-3.4375645886644079</v>
      </c>
    </row>
    <row r="387" spans="1:34" x14ac:dyDescent="0.2">
      <c r="A387" s="347">
        <f t="shared" ca="1" si="151"/>
        <v>1E-4</v>
      </c>
      <c r="B387" s="304">
        <f t="shared" ca="1" si="152"/>
        <v>12.008299999999956</v>
      </c>
      <c r="D387" s="306">
        <f t="shared" ca="1" si="153"/>
        <v>-0.26046005642234482</v>
      </c>
      <c r="E387" s="307">
        <f t="shared" ca="1" si="154"/>
        <v>-6.3822305510549162</v>
      </c>
      <c r="F387" s="304">
        <f t="shared" ca="1" si="155"/>
        <v>6.3875430525210763</v>
      </c>
      <c r="G387" s="306">
        <f t="shared" ca="1" si="156"/>
        <v>3.9150330559400897</v>
      </c>
      <c r="H387" s="307">
        <f t="shared" ca="1" si="157"/>
        <v>-51.524546206485411</v>
      </c>
      <c r="I387" s="304">
        <f t="shared" ca="1" si="158"/>
        <v>51.673071764830794</v>
      </c>
      <c r="J387" s="306">
        <f t="shared" ca="1" si="159"/>
        <v>56.288824373840264</v>
      </c>
      <c r="K387" s="307">
        <f t="shared" ca="1" si="160"/>
        <v>-0.43411986186411006</v>
      </c>
      <c r="L387" s="304">
        <f t="shared" ca="1" si="145"/>
        <v>56.290498393987406</v>
      </c>
      <c r="M387" s="306">
        <f t="shared" ca="1" si="161"/>
        <v>-1.4949582108304038</v>
      </c>
      <c r="N387" s="304">
        <f t="shared" ca="1" si="162"/>
        <v>-85.654796029010853</v>
      </c>
      <c r="P387" s="310">
        <f t="shared" ca="1" si="163"/>
        <v>23</v>
      </c>
      <c r="Q387" s="304">
        <f t="shared" ca="1" si="164"/>
        <v>0</v>
      </c>
      <c r="R387" s="306">
        <f t="shared" ca="1" si="165"/>
        <v>0</v>
      </c>
      <c r="S387" s="307">
        <f t="shared" ca="1" si="166"/>
        <v>2.0843000000000003</v>
      </c>
      <c r="T387" s="304">
        <f t="shared" ca="1" si="146"/>
        <v>20.446983000000003</v>
      </c>
      <c r="U387" s="311">
        <f t="shared" ca="1" si="147"/>
        <v>0</v>
      </c>
      <c r="V387" s="306">
        <f t="shared" ca="1" si="148"/>
        <v>1.2250531808374214</v>
      </c>
      <c r="W387" s="304">
        <f t="shared" ca="1" si="149"/>
        <v>7.1652751396001166</v>
      </c>
      <c r="Y387" s="314" t="str">
        <f t="shared" ca="1" si="167"/>
        <v/>
      </c>
      <c r="Z387" s="315" t="str">
        <f t="shared" ca="1" si="168"/>
        <v/>
      </c>
      <c r="AA387" s="316" t="str">
        <f t="shared" ca="1" si="169"/>
        <v/>
      </c>
      <c r="AC387" s="310" t="e">
        <f t="shared" ca="1" si="170"/>
        <v>#N/A</v>
      </c>
      <c r="AD387" s="323" t="e">
        <f t="shared" ca="1" si="171"/>
        <v>#N/A</v>
      </c>
      <c r="AE387" s="324">
        <f t="shared" ca="1" si="150"/>
        <v>-0.43411986186411006</v>
      </c>
      <c r="AG387" s="306">
        <f t="shared" ca="1" si="172"/>
        <v>6.3441509621187731</v>
      </c>
      <c r="AH387" s="304">
        <f t="shared" ca="1" si="173"/>
        <v>-3.4376507728553256</v>
      </c>
    </row>
    <row r="388" spans="1:34" x14ac:dyDescent="0.2">
      <c r="A388" s="347">
        <f t="shared" ca="1" si="151"/>
        <v>1E-4</v>
      </c>
      <c r="B388" s="304">
        <f t="shared" ca="1" si="152"/>
        <v>12.008399999999956</v>
      </c>
      <c r="D388" s="306">
        <f t="shared" ca="1" si="153"/>
        <v>-0.26046165565246981</v>
      </c>
      <c r="E388" s="307">
        <f t="shared" ca="1" si="154"/>
        <v>-6.3821442399262516</v>
      </c>
      <c r="F388" s="304">
        <f t="shared" ca="1" si="155"/>
        <v>6.3874568783897914</v>
      </c>
      <c r="G388" s="306">
        <f t="shared" ca="1" si="156"/>
        <v>3.9150070097745244</v>
      </c>
      <c r="H388" s="307">
        <f t="shared" ca="1" si="157"/>
        <v>-51.525184420909405</v>
      </c>
      <c r="I388" s="304">
        <f t="shared" ca="1" si="158"/>
        <v>51.673706171468957</v>
      </c>
      <c r="J388" s="306">
        <f t="shared" ca="1" si="159"/>
        <v>56.288824373840264</v>
      </c>
      <c r="K388" s="307">
        <f t="shared" ca="1" si="160"/>
        <v>-0.43927234839547979</v>
      </c>
      <c r="L388" s="304">
        <f t="shared" ref="L388:L451" ca="1" si="174">SQRT(pos_x^2+pos_z^2)</f>
        <v>56.290538366452836</v>
      </c>
      <c r="M388" s="306">
        <f t="shared" ca="1" si="161"/>
        <v>-1.4949596492001833</v>
      </c>
      <c r="N388" s="304">
        <f t="shared" ca="1" si="162"/>
        <v>-85.654878441528595</v>
      </c>
      <c r="P388" s="310">
        <f t="shared" ca="1" si="163"/>
        <v>23</v>
      </c>
      <c r="Q388" s="304">
        <f t="shared" ca="1" si="164"/>
        <v>0</v>
      </c>
      <c r="R388" s="306">
        <f t="shared" ca="1" si="165"/>
        <v>0</v>
      </c>
      <c r="S388" s="307">
        <f t="shared" ca="1" si="166"/>
        <v>2.0843000000000003</v>
      </c>
      <c r="T388" s="304">
        <f t="shared" ref="T388:T451" ca="1" si="175">m*g</f>
        <v>20.446983000000003</v>
      </c>
      <c r="U388" s="311">
        <f t="shared" ref="U388:U451" ca="1" si="176">IF(pos_xz&lt;L_rampe,Poids*COS(Beta),0)</f>
        <v>0</v>
      </c>
      <c r="V388" s="306">
        <f t="shared" ref="V388:V451" ca="1" si="177">Rho_moyen*(20000-Alt_rampe-pos_z)/(20000+Alt_rampe+pos_z)</f>
        <v>1.2250538120445855</v>
      </c>
      <c r="W388" s="304">
        <f t="shared" ref="W388:W451" ca="1" si="178">1/2*Rho*Sref*Cx*vit_xz^2</f>
        <v>7.165454773366414</v>
      </c>
      <c r="Y388" s="314" t="str">
        <f t="shared" ca="1" si="167"/>
        <v/>
      </c>
      <c r="Z388" s="315" t="str">
        <f t="shared" ca="1" si="168"/>
        <v/>
      </c>
      <c r="AA388" s="316" t="str">
        <f t="shared" ca="1" si="169"/>
        <v/>
      </c>
      <c r="AC388" s="310" t="e">
        <f t="shared" ca="1" si="170"/>
        <v>#N/A</v>
      </c>
      <c r="AD388" s="323" t="e">
        <f t="shared" ca="1" si="171"/>
        <v>#N/A</v>
      </c>
      <c r="AE388" s="324">
        <f t="shared" ref="AE388:AE451" ca="1" si="179">IF(t&lt;T_para, pos_z, NA())</f>
        <v>-0.43927234839547979</v>
      </c>
      <c r="AG388" s="306">
        <f t="shared" ca="1" si="172"/>
        <v>6.3440658470388476</v>
      </c>
      <c r="AH388" s="304">
        <f t="shared" ca="1" si="173"/>
        <v>-3.4377369570599798</v>
      </c>
    </row>
    <row r="389" spans="1:34" x14ac:dyDescent="0.2">
      <c r="A389" s="347">
        <f t="shared" ref="A389:A452" ca="1" si="180">IF(B388+0.01&lt;=T_ini+ROUNDUP(Temps_fin_propu,0), 0.01, IF(K388&gt;0, 0.1, 0.0001))</f>
        <v>1E-4</v>
      </c>
      <c r="B389" s="304">
        <f t="shared" ref="B389:B452" ca="1" si="181">B388+pas</f>
        <v>12.008499999999955</v>
      </c>
      <c r="D389" s="306">
        <f t="shared" ref="D389:D452" ca="1" si="182">IF(AND(L388&lt;L_rampe,Poussee&lt;Poids*SIN(M388)),0,(-W388+Poussee)/m*COS(M388)-U388/m*SIN(M388))</f>
        <v>-0.26046325478974475</v>
      </c>
      <c r="E389" s="307">
        <f t="shared" ref="E389:E452" ca="1" si="183">IF(AND(L388&lt;L_rampe,Poussee&lt;Poids*SIN(M388)),0,(-W388+Poussee)/m*SIN(M388)+U388/m*COS(M388)-Poids/m)</f>
        <v>-6.382057928783933</v>
      </c>
      <c r="F389" s="304">
        <f t="shared" ref="F389:F452" ca="1" si="184">SQRT(acc_x^2+acc_z^2)</f>
        <v>6.3873707042451775</v>
      </c>
      <c r="G389" s="306">
        <f t="shared" ref="G389:G452" ca="1" si="185">G388+acc_x*pas</f>
        <v>3.9149809634490453</v>
      </c>
      <c r="H389" s="307">
        <f t="shared" ref="H389:H452" ca="1" si="186">H388+acc_z*pas</f>
        <v>-51.525822626702286</v>
      </c>
      <c r="I389" s="304">
        <f t="shared" ref="I389:I452" ca="1" si="187">SQRT(vit_x^2+vit_z^2)</f>
        <v>51.6743405695956</v>
      </c>
      <c r="J389" s="306">
        <f t="shared" ref="J389:J452" ca="1" si="188">J388+0.5*(vit_x+G388)*pas*(K388&gt;=0)</f>
        <v>56.288824373840264</v>
      </c>
      <c r="K389" s="307">
        <f t="shared" ref="K389:K452" ca="1" si="189">K388+0.5*(vit_z+H388)*pas</f>
        <v>-0.4444248987478604</v>
      </c>
      <c r="L389" s="304">
        <f t="shared" ca="1" si="174"/>
        <v>56.290578811020062</v>
      </c>
      <c r="M389" s="306">
        <f t="shared" ref="M389:M452" ca="1" si="190">IF(AND(L388&gt;L_rampe,G389&gt;0),ATAN2(G389,H389),$M$4)</f>
        <v>-1.4949610875250763</v>
      </c>
      <c r="N389" s="304">
        <f t="shared" ref="N389:N452" ca="1" si="191">DEGREES(Beta)</f>
        <v>-85.654960851474542</v>
      </c>
      <c r="P389" s="310">
        <f t="shared" ref="P389:P452" ca="1" si="192">MATCH(t-pas/2-T_ini,CdP_t)</f>
        <v>23</v>
      </c>
      <c r="Q389" s="304">
        <f t="shared" ref="Q389:Q452" ca="1" si="193">(INDEX(CdP,2,i_P+1)-INDEX(CdP,2,i_P+0))/(INDEX(CdP,1,i_P+1)-INDEX(CdP,1,i_P+0))*(t-pas/2-T_ini-INDEX(CdP,1,i_P+0))+INDEX(CdP,2,i_P+0)</f>
        <v>0</v>
      </c>
      <c r="R389" s="306">
        <f t="shared" ref="R389:R452" ca="1" si="194">Poussee/(g*ISP)</f>
        <v>0</v>
      </c>
      <c r="S389" s="307">
        <f t="shared" ref="S389:S452" ca="1" si="195">S388-Débit*pas</f>
        <v>2.0843000000000003</v>
      </c>
      <c r="T389" s="304">
        <f t="shared" ca="1" si="175"/>
        <v>20.446983000000003</v>
      </c>
      <c r="U389" s="311">
        <f t="shared" ca="1" si="176"/>
        <v>0</v>
      </c>
      <c r="V389" s="306">
        <f t="shared" ca="1" si="177"/>
        <v>1.225054443259894</v>
      </c>
      <c r="W389" s="304">
        <f t="shared" ca="1" si="178"/>
        <v>7.1656344071611695</v>
      </c>
      <c r="Y389" s="314" t="str">
        <f t="shared" ref="Y389:Y452" ca="1" si="196">IF(AND(pos_z&lt;=0,K388&gt;0),"Impact balistique","") &amp; IF(AND(H390&lt;0,vit_z&gt;=0),"Apogée","") &amp; IF(AND(Poussee=0,Q388&gt;0),"Fin de propulsion","") &amp; IF(AND(L390&gt;L_rampe,pos_xz&lt;=L_rampe),"Sortie de rampe","")</f>
        <v/>
      </c>
      <c r="Z389" s="315" t="str">
        <f t="shared" ref="Z389:Z452" ca="1" si="197">IF(ABS(t-T_para)&lt;pas/2,"Para","")</f>
        <v/>
      </c>
      <c r="AA389" s="316" t="str">
        <f t="shared" ref="AA389:AA452" ca="1" si="198">IF(ABS(t-T_satellite)&lt;pas/2,"Satellite","")</f>
        <v/>
      </c>
      <c r="AC389" s="310" t="e">
        <f t="shared" ref="AC389:AC452" ca="1" si="199">IF(ABS(t-ROUND(t,0))&lt;0.001,t,NA())</f>
        <v>#N/A</v>
      </c>
      <c r="AD389" s="323" t="e">
        <f t="shared" ref="AD389:AD452" ca="1" si="200">IF(ABS(t-ROUND(t,0))&lt;0.001,pos_x,NA())</f>
        <v>#N/A</v>
      </c>
      <c r="AE389" s="324">
        <f t="shared" ca="1" si="179"/>
        <v>-0.4444248987478604</v>
      </c>
      <c r="AG389" s="306">
        <f t="shared" ref="AG389:AG452" ca="1" si="201">IF(AND(L388&lt;L_rampe,Poussee&lt;Poids*SIN(M388)),0,(-W388+Poussee)/m-Poids*SIN(M388)/m)</f>
        <v>6.3439807318916301</v>
      </c>
      <c r="AH389" s="304">
        <f t="shared" ref="AH389:AH452" ca="1" si="202">IF(AND(L388&lt;L_rampe,Poussee&lt;Poids*SIN(M388)), g*SIN(M388), (-W388+Poussee)/m)</f>
        <v>-3.4378231412783253</v>
      </c>
    </row>
    <row r="390" spans="1:34" x14ac:dyDescent="0.2">
      <c r="A390" s="347">
        <f t="shared" ca="1" si="180"/>
        <v>1E-4</v>
      </c>
      <c r="B390" s="304">
        <f t="shared" ca="1" si="181"/>
        <v>12.008599999999955</v>
      </c>
      <c r="D390" s="306">
        <f t="shared" ca="1" si="182"/>
        <v>-0.26046485383417062</v>
      </c>
      <c r="E390" s="307">
        <f t="shared" ca="1" si="183"/>
        <v>-6.3819716176280004</v>
      </c>
      <c r="F390" s="304">
        <f t="shared" ca="1" si="184"/>
        <v>6.3872845300872738</v>
      </c>
      <c r="G390" s="306">
        <f t="shared" ca="1" si="185"/>
        <v>3.9149549169636617</v>
      </c>
      <c r="H390" s="307">
        <f t="shared" ca="1" si="186"/>
        <v>-51.526460823864049</v>
      </c>
      <c r="I390" s="304">
        <f t="shared" ca="1" si="187"/>
        <v>51.674974959210715</v>
      </c>
      <c r="J390" s="306">
        <f t="shared" ca="1" si="188"/>
        <v>56.288824373840264</v>
      </c>
      <c r="K390" s="307">
        <f t="shared" ca="1" si="189"/>
        <v>-0.44957751292038872</v>
      </c>
      <c r="L390" s="304">
        <f t="shared" ca="1" si="174"/>
        <v>56.29061972770559</v>
      </c>
      <c r="M390" s="306">
        <f t="shared" ca="1" si="190"/>
        <v>-1.4949625258050849</v>
      </c>
      <c r="N390" s="304">
        <f t="shared" ca="1" si="191"/>
        <v>-85.655043258848792</v>
      </c>
      <c r="P390" s="310">
        <f t="shared" ca="1" si="192"/>
        <v>23</v>
      </c>
      <c r="Q390" s="304">
        <f t="shared" ca="1" si="193"/>
        <v>0</v>
      </c>
      <c r="R390" s="306">
        <f t="shared" ca="1" si="194"/>
        <v>0</v>
      </c>
      <c r="S390" s="307">
        <f t="shared" ca="1" si="195"/>
        <v>2.0843000000000003</v>
      </c>
      <c r="T390" s="304">
        <f t="shared" ca="1" si="175"/>
        <v>20.446983000000003</v>
      </c>
      <c r="U390" s="311">
        <f t="shared" ca="1" si="176"/>
        <v>0</v>
      </c>
      <c r="V390" s="306">
        <f t="shared" ca="1" si="177"/>
        <v>1.2250550744833455</v>
      </c>
      <c r="W390" s="304">
        <f t="shared" ca="1" si="178"/>
        <v>7.1658140409842899</v>
      </c>
      <c r="Y390" s="314" t="str">
        <f t="shared" ca="1" si="196"/>
        <v/>
      </c>
      <c r="Z390" s="315" t="str">
        <f t="shared" ca="1" si="197"/>
        <v/>
      </c>
      <c r="AA390" s="316" t="str">
        <f t="shared" ca="1" si="198"/>
        <v/>
      </c>
      <c r="AC390" s="310" t="e">
        <f t="shared" ca="1" si="199"/>
        <v>#N/A</v>
      </c>
      <c r="AD390" s="323" t="e">
        <f t="shared" ca="1" si="200"/>
        <v>#N/A</v>
      </c>
      <c r="AE390" s="324">
        <f t="shared" ca="1" si="179"/>
        <v>-0.44957751292038872</v>
      </c>
      <c r="AG390" s="306">
        <f t="shared" ca="1" si="201"/>
        <v>6.343895616677159</v>
      </c>
      <c r="AH390" s="304">
        <f t="shared" ca="1" si="202"/>
        <v>-3.4379093255103244</v>
      </c>
    </row>
    <row r="391" spans="1:34" x14ac:dyDescent="0.2">
      <c r="A391" s="347">
        <f t="shared" ca="1" si="180"/>
        <v>1E-4</v>
      </c>
      <c r="B391" s="304">
        <f t="shared" ca="1" si="181"/>
        <v>12.008699999999955</v>
      </c>
      <c r="D391" s="306">
        <f t="shared" ca="1" si="182"/>
        <v>-0.26046645278574787</v>
      </c>
      <c r="E391" s="307">
        <f t="shared" ca="1" si="183"/>
        <v>-6.3818853064584964</v>
      </c>
      <c r="F391" s="304">
        <f t="shared" ca="1" si="184"/>
        <v>6.3871983559161247</v>
      </c>
      <c r="G391" s="306">
        <f t="shared" ca="1" si="185"/>
        <v>3.9149288703183833</v>
      </c>
      <c r="H391" s="307">
        <f t="shared" ca="1" si="186"/>
        <v>-51.527099012394693</v>
      </c>
      <c r="I391" s="304">
        <f t="shared" ca="1" si="187"/>
        <v>51.675609340314303</v>
      </c>
      <c r="J391" s="306">
        <f t="shared" ca="1" si="188"/>
        <v>56.288824373840264</v>
      </c>
      <c r="K391" s="307">
        <f t="shared" ca="1" si="189"/>
        <v>-0.45473019091220168</v>
      </c>
      <c r="L391" s="304">
        <f t="shared" ca="1" si="174"/>
        <v>56.290661116525897</v>
      </c>
      <c r="M391" s="306">
        <f t="shared" ca="1" si="190"/>
        <v>-1.4949639640402113</v>
      </c>
      <c r="N391" s="304">
        <f t="shared" ca="1" si="191"/>
        <v>-85.655125663651475</v>
      </c>
      <c r="P391" s="310">
        <f t="shared" ca="1" si="192"/>
        <v>23</v>
      </c>
      <c r="Q391" s="304">
        <f t="shared" ca="1" si="193"/>
        <v>0</v>
      </c>
      <c r="R391" s="306">
        <f t="shared" ca="1" si="194"/>
        <v>0</v>
      </c>
      <c r="S391" s="307">
        <f t="shared" ca="1" si="195"/>
        <v>2.0843000000000003</v>
      </c>
      <c r="T391" s="304">
        <f t="shared" ca="1" si="175"/>
        <v>20.446983000000003</v>
      </c>
      <c r="U391" s="311">
        <f t="shared" ca="1" si="176"/>
        <v>0</v>
      </c>
      <c r="V391" s="306">
        <f t="shared" ca="1" si="177"/>
        <v>1.2250557057149403</v>
      </c>
      <c r="W391" s="304">
        <f t="shared" ca="1" si="178"/>
        <v>7.1659936748356925</v>
      </c>
      <c r="Y391" s="314" t="str">
        <f t="shared" ca="1" si="196"/>
        <v/>
      </c>
      <c r="Z391" s="315" t="str">
        <f t="shared" ca="1" si="197"/>
        <v/>
      </c>
      <c r="AA391" s="316" t="str">
        <f t="shared" ca="1" si="198"/>
        <v/>
      </c>
      <c r="AC391" s="310" t="e">
        <f t="shared" ca="1" si="199"/>
        <v>#N/A</v>
      </c>
      <c r="AD391" s="323" t="e">
        <f t="shared" ca="1" si="200"/>
        <v>#N/A</v>
      </c>
      <c r="AE391" s="324">
        <f t="shared" ca="1" si="179"/>
        <v>-0.45473019091220168</v>
      </c>
      <c r="AG391" s="306">
        <f t="shared" ca="1" si="201"/>
        <v>6.3438105013954846</v>
      </c>
      <c r="AH391" s="304">
        <f t="shared" ca="1" si="202"/>
        <v>-3.437995509755932</v>
      </c>
    </row>
    <row r="392" spans="1:34" x14ac:dyDescent="0.2">
      <c r="A392" s="347">
        <f t="shared" ca="1" si="180"/>
        <v>1E-4</v>
      </c>
      <c r="B392" s="304">
        <f t="shared" ca="1" si="181"/>
        <v>12.008799999999955</v>
      </c>
      <c r="D392" s="306">
        <f t="shared" ca="1" si="182"/>
        <v>-0.26046805164447834</v>
      </c>
      <c r="E392" s="307">
        <f t="shared" ca="1" si="183"/>
        <v>-6.3817989952754628</v>
      </c>
      <c r="F392" s="304">
        <f t="shared" ca="1" si="184"/>
        <v>6.3871121817317711</v>
      </c>
      <c r="G392" s="306">
        <f t="shared" ca="1" si="185"/>
        <v>3.9149028235132191</v>
      </c>
      <c r="H392" s="307">
        <f t="shared" ca="1" si="186"/>
        <v>-51.527737192294218</v>
      </c>
      <c r="I392" s="304">
        <f t="shared" ca="1" si="187"/>
        <v>51.676243712906349</v>
      </c>
      <c r="J392" s="306">
        <f t="shared" ca="1" si="188"/>
        <v>56.288824373840264</v>
      </c>
      <c r="K392" s="307">
        <f t="shared" ca="1" si="189"/>
        <v>-0.45988293272243613</v>
      </c>
      <c r="L392" s="304">
        <f t="shared" ca="1" si="174"/>
        <v>56.290702977497475</v>
      </c>
      <c r="M392" s="306">
        <f t="shared" ca="1" si="190"/>
        <v>-1.4949654022304575</v>
      </c>
      <c r="N392" s="304">
        <f t="shared" ca="1" si="191"/>
        <v>-85.655208065882718</v>
      </c>
      <c r="P392" s="310">
        <f t="shared" ca="1" si="192"/>
        <v>23</v>
      </c>
      <c r="Q392" s="304">
        <f t="shared" ca="1" si="193"/>
        <v>0</v>
      </c>
      <c r="R392" s="306">
        <f t="shared" ca="1" si="194"/>
        <v>0</v>
      </c>
      <c r="S392" s="307">
        <f t="shared" ca="1" si="195"/>
        <v>2.0843000000000003</v>
      </c>
      <c r="T392" s="304">
        <f t="shared" ca="1" si="175"/>
        <v>20.446983000000003</v>
      </c>
      <c r="U392" s="311">
        <f t="shared" ca="1" si="176"/>
        <v>0</v>
      </c>
      <c r="V392" s="306">
        <f t="shared" ca="1" si="177"/>
        <v>1.2250563369546787</v>
      </c>
      <c r="W392" s="304">
        <f t="shared" ca="1" si="178"/>
        <v>7.166173308715293</v>
      </c>
      <c r="Y392" s="314" t="str">
        <f t="shared" ca="1" si="196"/>
        <v/>
      </c>
      <c r="Z392" s="315" t="str">
        <f t="shared" ca="1" si="197"/>
        <v/>
      </c>
      <c r="AA392" s="316" t="str">
        <f t="shared" ca="1" si="198"/>
        <v/>
      </c>
      <c r="AC392" s="310" t="e">
        <f t="shared" ca="1" si="199"/>
        <v>#N/A</v>
      </c>
      <c r="AD392" s="323" t="e">
        <f t="shared" ca="1" si="200"/>
        <v>#N/A</v>
      </c>
      <c r="AE392" s="324">
        <f t="shared" ca="1" si="179"/>
        <v>-0.45988293272243613</v>
      </c>
      <c r="AG392" s="306">
        <f t="shared" ca="1" si="201"/>
        <v>6.3437253860466498</v>
      </c>
      <c r="AH392" s="304">
        <f t="shared" ca="1" si="202"/>
        <v>-3.4380816940151089</v>
      </c>
    </row>
    <row r="393" spans="1:34" x14ac:dyDescent="0.2">
      <c r="A393" s="347">
        <f t="shared" ca="1" si="180"/>
        <v>1E-4</v>
      </c>
      <c r="B393" s="304">
        <f t="shared" ca="1" si="181"/>
        <v>12.008899999999954</v>
      </c>
      <c r="D393" s="306">
        <f t="shared" ca="1" si="182"/>
        <v>-0.2604696504103628</v>
      </c>
      <c r="E393" s="307">
        <f t="shared" ca="1" si="183"/>
        <v>-6.3817126840789395</v>
      </c>
      <c r="F393" s="304">
        <f t="shared" ca="1" si="184"/>
        <v>6.3870260075342511</v>
      </c>
      <c r="G393" s="306">
        <f t="shared" ca="1" si="185"/>
        <v>3.9148767765481782</v>
      </c>
      <c r="H393" s="307">
        <f t="shared" ca="1" si="186"/>
        <v>-51.528375363562624</v>
      </c>
      <c r="I393" s="304">
        <f t="shared" ca="1" si="187"/>
        <v>51.676878076986846</v>
      </c>
      <c r="J393" s="306">
        <f t="shared" ca="1" si="188"/>
        <v>56.288824373840264</v>
      </c>
      <c r="K393" s="307">
        <f t="shared" ca="1" si="189"/>
        <v>-0.46503573835022899</v>
      </c>
      <c r="L393" s="304">
        <f t="shared" ca="1" si="174"/>
        <v>56.29074531063678</v>
      </c>
      <c r="M393" s="306">
        <f t="shared" ca="1" si="190"/>
        <v>-1.4949668403758261</v>
      </c>
      <c r="N393" s="304">
        <f t="shared" ca="1" si="191"/>
        <v>-85.655290465542663</v>
      </c>
      <c r="P393" s="310">
        <f t="shared" ca="1" si="192"/>
        <v>23</v>
      </c>
      <c r="Q393" s="304">
        <f t="shared" ca="1" si="193"/>
        <v>0</v>
      </c>
      <c r="R393" s="306">
        <f t="shared" ca="1" si="194"/>
        <v>0</v>
      </c>
      <c r="S393" s="307">
        <f t="shared" ca="1" si="195"/>
        <v>2.0843000000000003</v>
      </c>
      <c r="T393" s="304">
        <f t="shared" ca="1" si="175"/>
        <v>20.446983000000003</v>
      </c>
      <c r="U393" s="311">
        <f t="shared" ca="1" si="176"/>
        <v>0</v>
      </c>
      <c r="V393" s="306">
        <f t="shared" ca="1" si="177"/>
        <v>1.2250569682025605</v>
      </c>
      <c r="W393" s="304">
        <f t="shared" ca="1" si="178"/>
        <v>7.1663529426230008</v>
      </c>
      <c r="Y393" s="314" t="str">
        <f t="shared" ca="1" si="196"/>
        <v/>
      </c>
      <c r="Z393" s="315" t="str">
        <f t="shared" ca="1" si="197"/>
        <v/>
      </c>
      <c r="AA393" s="316" t="str">
        <f t="shared" ca="1" si="198"/>
        <v/>
      </c>
      <c r="AC393" s="310" t="e">
        <f t="shared" ca="1" si="199"/>
        <v>#N/A</v>
      </c>
      <c r="AD393" s="323" t="e">
        <f t="shared" ca="1" si="200"/>
        <v>#N/A</v>
      </c>
      <c r="AE393" s="324">
        <f t="shared" ca="1" si="179"/>
        <v>-0.46503573835022899</v>
      </c>
      <c r="AG393" s="306">
        <f t="shared" ca="1" si="201"/>
        <v>6.3436402706306989</v>
      </c>
      <c r="AH393" s="304">
        <f t="shared" ca="1" si="202"/>
        <v>-3.4381678782878144</v>
      </c>
    </row>
    <row r="394" spans="1:34" x14ac:dyDescent="0.2">
      <c r="A394" s="347">
        <f t="shared" ca="1" si="180"/>
        <v>1E-4</v>
      </c>
      <c r="B394" s="304">
        <f t="shared" ca="1" si="181"/>
        <v>12.008999999999954</v>
      </c>
      <c r="D394" s="306">
        <f t="shared" ca="1" si="182"/>
        <v>-0.26047124908340114</v>
      </c>
      <c r="E394" s="307">
        <f t="shared" ca="1" si="183"/>
        <v>-6.3816263728689684</v>
      </c>
      <c r="F394" s="304">
        <f t="shared" ca="1" si="184"/>
        <v>6.3869398333236092</v>
      </c>
      <c r="G394" s="306">
        <f t="shared" ca="1" si="185"/>
        <v>3.9148507294232697</v>
      </c>
      <c r="H394" s="307">
        <f t="shared" ca="1" si="186"/>
        <v>-51.529013526199911</v>
      </c>
      <c r="I394" s="304">
        <f t="shared" ca="1" si="187"/>
        <v>51.677512432555801</v>
      </c>
      <c r="J394" s="306">
        <f t="shared" ca="1" si="188"/>
        <v>56.288824373840264</v>
      </c>
      <c r="K394" s="307">
        <f t="shared" ca="1" si="189"/>
        <v>-0.47018860779471711</v>
      </c>
      <c r="L394" s="304">
        <f t="shared" ca="1" si="174"/>
        <v>56.290788115960268</v>
      </c>
      <c r="M394" s="306">
        <f t="shared" ca="1" si="190"/>
        <v>-1.494968278476319</v>
      </c>
      <c r="N394" s="304">
        <f t="shared" ca="1" si="191"/>
        <v>-85.655372862631424</v>
      </c>
      <c r="P394" s="310">
        <f t="shared" ca="1" si="192"/>
        <v>23</v>
      </c>
      <c r="Q394" s="304">
        <f t="shared" ca="1" si="193"/>
        <v>0</v>
      </c>
      <c r="R394" s="306">
        <f t="shared" ca="1" si="194"/>
        <v>0</v>
      </c>
      <c r="S394" s="307">
        <f t="shared" ca="1" si="195"/>
        <v>2.0843000000000003</v>
      </c>
      <c r="T394" s="304">
        <f t="shared" ca="1" si="175"/>
        <v>20.446983000000003</v>
      </c>
      <c r="U394" s="311">
        <f t="shared" ca="1" si="176"/>
        <v>0</v>
      </c>
      <c r="V394" s="306">
        <f t="shared" ca="1" si="177"/>
        <v>1.2250575994585857</v>
      </c>
      <c r="W394" s="304">
        <f t="shared" ca="1" si="178"/>
        <v>7.166532576558736</v>
      </c>
      <c r="Y394" s="314" t="str">
        <f t="shared" ca="1" si="196"/>
        <v/>
      </c>
      <c r="Z394" s="315" t="str">
        <f t="shared" ca="1" si="197"/>
        <v/>
      </c>
      <c r="AA394" s="316" t="str">
        <f t="shared" ca="1" si="198"/>
        <v/>
      </c>
      <c r="AC394" s="310" t="e">
        <f t="shared" ca="1" si="199"/>
        <v>#N/A</v>
      </c>
      <c r="AD394" s="323" t="e">
        <f t="shared" ca="1" si="200"/>
        <v>#N/A</v>
      </c>
      <c r="AE394" s="324">
        <f t="shared" ca="1" si="179"/>
        <v>-0.47018860779471711</v>
      </c>
      <c r="AG394" s="306">
        <f t="shared" ca="1" si="201"/>
        <v>6.3435551551476745</v>
      </c>
      <c r="AH394" s="304">
        <f t="shared" ca="1" si="202"/>
        <v>-3.4382540625740057</v>
      </c>
    </row>
    <row r="395" spans="1:34" x14ac:dyDescent="0.2">
      <c r="A395" s="347">
        <f t="shared" ca="1" si="180"/>
        <v>1E-4</v>
      </c>
      <c r="B395" s="304">
        <f t="shared" ca="1" si="181"/>
        <v>12.009099999999954</v>
      </c>
      <c r="D395" s="306">
        <f t="shared" ca="1" si="182"/>
        <v>-0.26047284766359508</v>
      </c>
      <c r="E395" s="307">
        <f t="shared" ca="1" si="183"/>
        <v>-6.3815400616455911</v>
      </c>
      <c r="F395" s="304">
        <f t="shared" ca="1" si="184"/>
        <v>6.3868536590998861</v>
      </c>
      <c r="G395" s="306">
        <f t="shared" ca="1" si="185"/>
        <v>3.9148246821385033</v>
      </c>
      <c r="H395" s="307">
        <f t="shared" ca="1" si="186"/>
        <v>-51.529651680206072</v>
      </c>
      <c r="I395" s="304">
        <f t="shared" ca="1" si="187"/>
        <v>51.678146779613193</v>
      </c>
      <c r="J395" s="306">
        <f t="shared" ca="1" si="188"/>
        <v>56.288824373840264</v>
      </c>
      <c r="K395" s="307">
        <f t="shared" ca="1" si="189"/>
        <v>-0.4753415410550374</v>
      </c>
      <c r="L395" s="304">
        <f t="shared" ca="1" si="174"/>
        <v>56.290831393484375</v>
      </c>
      <c r="M395" s="306">
        <f t="shared" ca="1" si="190"/>
        <v>-1.4949697165319382</v>
      </c>
      <c r="N395" s="304">
        <f t="shared" ca="1" si="191"/>
        <v>-85.655455257149114</v>
      </c>
      <c r="P395" s="310">
        <f t="shared" ca="1" si="192"/>
        <v>23</v>
      </c>
      <c r="Q395" s="304">
        <f t="shared" ca="1" si="193"/>
        <v>0</v>
      </c>
      <c r="R395" s="306">
        <f t="shared" ca="1" si="194"/>
        <v>0</v>
      </c>
      <c r="S395" s="307">
        <f t="shared" ca="1" si="195"/>
        <v>2.0843000000000003</v>
      </c>
      <c r="T395" s="304">
        <f t="shared" ca="1" si="175"/>
        <v>20.446983000000003</v>
      </c>
      <c r="U395" s="311">
        <f t="shared" ca="1" si="176"/>
        <v>0</v>
      </c>
      <c r="V395" s="306">
        <f t="shared" ca="1" si="177"/>
        <v>1.2250582307227535</v>
      </c>
      <c r="W395" s="304">
        <f t="shared" ca="1" si="178"/>
        <v>7.1667122105224053</v>
      </c>
      <c r="Y395" s="314" t="str">
        <f t="shared" ca="1" si="196"/>
        <v/>
      </c>
      <c r="Z395" s="315" t="str">
        <f t="shared" ca="1" si="197"/>
        <v/>
      </c>
      <c r="AA395" s="316" t="str">
        <f t="shared" ca="1" si="198"/>
        <v/>
      </c>
      <c r="AC395" s="310" t="e">
        <f t="shared" ca="1" si="199"/>
        <v>#N/A</v>
      </c>
      <c r="AD395" s="323" t="e">
        <f t="shared" ca="1" si="200"/>
        <v>#N/A</v>
      </c>
      <c r="AE395" s="324">
        <f t="shared" ca="1" si="179"/>
        <v>-0.4753415410550374</v>
      </c>
      <c r="AG395" s="306">
        <f t="shared" ca="1" si="201"/>
        <v>6.3434700395976247</v>
      </c>
      <c r="AH395" s="304">
        <f t="shared" ca="1" si="202"/>
        <v>-3.4383402468736435</v>
      </c>
    </row>
    <row r="396" spans="1:34" x14ac:dyDescent="0.2">
      <c r="A396" s="347">
        <f t="shared" ca="1" si="180"/>
        <v>1E-4</v>
      </c>
      <c r="B396" s="304">
        <f t="shared" ca="1" si="181"/>
        <v>12.009199999999954</v>
      </c>
      <c r="D396" s="306">
        <f t="shared" ca="1" si="182"/>
        <v>-0.260474446150946</v>
      </c>
      <c r="E396" s="307">
        <f t="shared" ca="1" si="183"/>
        <v>-6.3814537504088484</v>
      </c>
      <c r="F396" s="304">
        <f t="shared" ca="1" si="184"/>
        <v>6.3867674848631211</v>
      </c>
      <c r="G396" s="306">
        <f t="shared" ca="1" si="185"/>
        <v>3.9147986346938883</v>
      </c>
      <c r="H396" s="307">
        <f t="shared" ca="1" si="186"/>
        <v>-51.530289825581114</v>
      </c>
      <c r="I396" s="304">
        <f t="shared" ca="1" si="187"/>
        <v>51.678781118159023</v>
      </c>
      <c r="J396" s="306">
        <f t="shared" ca="1" si="188"/>
        <v>56.288824373840264</v>
      </c>
      <c r="K396" s="307">
        <f t="shared" ca="1" si="189"/>
        <v>-0.48049453813032678</v>
      </c>
      <c r="L396" s="304">
        <f t="shared" ca="1" si="174"/>
        <v>56.290875143225541</v>
      </c>
      <c r="M396" s="306">
        <f t="shared" ca="1" si="190"/>
        <v>-1.4949711545426863</v>
      </c>
      <c r="N396" s="304">
        <f t="shared" ca="1" si="191"/>
        <v>-85.655537649095876</v>
      </c>
      <c r="P396" s="310">
        <f t="shared" ca="1" si="192"/>
        <v>23</v>
      </c>
      <c r="Q396" s="304">
        <f t="shared" ca="1" si="193"/>
        <v>0</v>
      </c>
      <c r="R396" s="306">
        <f t="shared" ca="1" si="194"/>
        <v>0</v>
      </c>
      <c r="S396" s="307">
        <f t="shared" ca="1" si="195"/>
        <v>2.0843000000000003</v>
      </c>
      <c r="T396" s="304">
        <f t="shared" ca="1" si="175"/>
        <v>20.446983000000003</v>
      </c>
      <c r="U396" s="311">
        <f t="shared" ca="1" si="176"/>
        <v>0</v>
      </c>
      <c r="V396" s="306">
        <f t="shared" ca="1" si="177"/>
        <v>1.2250588619950644</v>
      </c>
      <c r="W396" s="304">
        <f t="shared" ca="1" si="178"/>
        <v>7.1668918445139269</v>
      </c>
      <c r="Y396" s="314" t="str">
        <f t="shared" ca="1" si="196"/>
        <v/>
      </c>
      <c r="Z396" s="315" t="str">
        <f t="shared" ca="1" si="197"/>
        <v/>
      </c>
      <c r="AA396" s="316" t="str">
        <f t="shared" ca="1" si="198"/>
        <v/>
      </c>
      <c r="AC396" s="310" t="e">
        <f t="shared" ca="1" si="199"/>
        <v>#N/A</v>
      </c>
      <c r="AD396" s="323" t="e">
        <f t="shared" ca="1" si="200"/>
        <v>#N/A</v>
      </c>
      <c r="AE396" s="324">
        <f t="shared" ca="1" si="179"/>
        <v>-0.48049453813032678</v>
      </c>
      <c r="AG396" s="306">
        <f t="shared" ca="1" si="201"/>
        <v>6.3433849239805946</v>
      </c>
      <c r="AH396" s="304">
        <f t="shared" ca="1" si="202"/>
        <v>-3.4384264311866835</v>
      </c>
    </row>
    <row r="397" spans="1:34" x14ac:dyDescent="0.2">
      <c r="A397" s="347">
        <f t="shared" ca="1" si="180"/>
        <v>1E-4</v>
      </c>
      <c r="B397" s="304">
        <f t="shared" ca="1" si="181"/>
        <v>12.009299999999953</v>
      </c>
      <c r="D397" s="306">
        <f t="shared" ca="1" si="182"/>
        <v>-0.26047604454545403</v>
      </c>
      <c r="E397" s="307">
        <f t="shared" ca="1" si="183"/>
        <v>-6.3813674391587831</v>
      </c>
      <c r="F397" s="304">
        <f t="shared" ca="1" si="184"/>
        <v>6.3866813106133593</v>
      </c>
      <c r="G397" s="306">
        <f t="shared" ca="1" si="185"/>
        <v>3.9147725870894337</v>
      </c>
      <c r="H397" s="307">
        <f t="shared" ca="1" si="186"/>
        <v>-51.53092796232503</v>
      </c>
      <c r="I397" s="304">
        <f t="shared" ca="1" si="187"/>
        <v>51.679415448193282</v>
      </c>
      <c r="J397" s="306">
        <f t="shared" ca="1" si="188"/>
        <v>56.288824373840264</v>
      </c>
      <c r="K397" s="307">
        <f t="shared" ca="1" si="189"/>
        <v>-0.4856475990197221</v>
      </c>
      <c r="L397" s="304">
        <f t="shared" ca="1" si="174"/>
        <v>56.290919365200168</v>
      </c>
      <c r="M397" s="306">
        <f t="shared" ca="1" si="190"/>
        <v>-1.4949725925085653</v>
      </c>
      <c r="N397" s="304">
        <f t="shared" ca="1" si="191"/>
        <v>-85.655620038471824</v>
      </c>
      <c r="P397" s="310">
        <f t="shared" ca="1" si="192"/>
        <v>23</v>
      </c>
      <c r="Q397" s="304">
        <f t="shared" ca="1" si="193"/>
        <v>0</v>
      </c>
      <c r="R397" s="306">
        <f t="shared" ca="1" si="194"/>
        <v>0</v>
      </c>
      <c r="S397" s="307">
        <f t="shared" ca="1" si="195"/>
        <v>2.0843000000000003</v>
      </c>
      <c r="T397" s="304">
        <f t="shared" ca="1" si="175"/>
        <v>20.446983000000003</v>
      </c>
      <c r="U397" s="311">
        <f t="shared" ca="1" si="176"/>
        <v>0</v>
      </c>
      <c r="V397" s="306">
        <f t="shared" ca="1" si="177"/>
        <v>1.2250594932755183</v>
      </c>
      <c r="W397" s="304">
        <f t="shared" ca="1" si="178"/>
        <v>7.1670714785332157</v>
      </c>
      <c r="Y397" s="314" t="str">
        <f t="shared" ca="1" si="196"/>
        <v/>
      </c>
      <c r="Z397" s="315" t="str">
        <f t="shared" ca="1" si="197"/>
        <v/>
      </c>
      <c r="AA397" s="316" t="str">
        <f t="shared" ca="1" si="198"/>
        <v/>
      </c>
      <c r="AC397" s="310" t="e">
        <f t="shared" ca="1" si="199"/>
        <v>#N/A</v>
      </c>
      <c r="AD397" s="323" t="e">
        <f t="shared" ca="1" si="200"/>
        <v>#N/A</v>
      </c>
      <c r="AE397" s="324">
        <f t="shared" ca="1" si="179"/>
        <v>-0.4856475990197221</v>
      </c>
      <c r="AG397" s="306">
        <f t="shared" ca="1" si="201"/>
        <v>6.3432998082966243</v>
      </c>
      <c r="AH397" s="304">
        <f t="shared" ca="1" si="202"/>
        <v>-3.4385126155130865</v>
      </c>
    </row>
    <row r="398" spans="1:34" x14ac:dyDescent="0.2">
      <c r="A398" s="347">
        <f t="shared" ca="1" si="180"/>
        <v>1E-4</v>
      </c>
      <c r="B398" s="304">
        <f t="shared" ca="1" si="181"/>
        <v>12.009399999999953</v>
      </c>
      <c r="D398" s="306">
        <f t="shared" ca="1" si="182"/>
        <v>-0.26047764284711999</v>
      </c>
      <c r="E398" s="307">
        <f t="shared" ca="1" si="183"/>
        <v>-6.3812811278954351</v>
      </c>
      <c r="F398" s="304">
        <f t="shared" ca="1" si="184"/>
        <v>6.3865951363506381</v>
      </c>
      <c r="G398" s="306">
        <f t="shared" ca="1" si="185"/>
        <v>3.914746539325149</v>
      </c>
      <c r="H398" s="307">
        <f t="shared" ca="1" si="186"/>
        <v>-51.531566090437821</v>
      </c>
      <c r="I398" s="304">
        <f t="shared" ca="1" si="187"/>
        <v>51.680049769715971</v>
      </c>
      <c r="J398" s="306">
        <f t="shared" ca="1" si="188"/>
        <v>56.288824373840264</v>
      </c>
      <c r="K398" s="307">
        <f t="shared" ca="1" si="189"/>
        <v>-0.49080072372236022</v>
      </c>
      <c r="L398" s="304">
        <f t="shared" ca="1" si="174"/>
        <v>56.290964059424674</v>
      </c>
      <c r="M398" s="306">
        <f t="shared" ca="1" si="190"/>
        <v>-1.4949740304295775</v>
      </c>
      <c r="N398" s="304">
        <f t="shared" ca="1" si="191"/>
        <v>-85.655702425277099</v>
      </c>
      <c r="P398" s="310">
        <f t="shared" ca="1" si="192"/>
        <v>23</v>
      </c>
      <c r="Q398" s="304">
        <f t="shared" ca="1" si="193"/>
        <v>0</v>
      </c>
      <c r="R398" s="306">
        <f t="shared" ca="1" si="194"/>
        <v>0</v>
      </c>
      <c r="S398" s="307">
        <f t="shared" ca="1" si="195"/>
        <v>2.0843000000000003</v>
      </c>
      <c r="T398" s="304">
        <f t="shared" ca="1" si="175"/>
        <v>20.446983000000003</v>
      </c>
      <c r="U398" s="311">
        <f t="shared" ca="1" si="176"/>
        <v>0</v>
      </c>
      <c r="V398" s="306">
        <f t="shared" ca="1" si="177"/>
        <v>1.2250601245641148</v>
      </c>
      <c r="W398" s="304">
        <f t="shared" ca="1" si="178"/>
        <v>7.1672511125801828</v>
      </c>
      <c r="Y398" s="314" t="str">
        <f t="shared" ca="1" si="196"/>
        <v/>
      </c>
      <c r="Z398" s="315" t="str">
        <f t="shared" ca="1" si="197"/>
        <v/>
      </c>
      <c r="AA398" s="316" t="str">
        <f t="shared" ca="1" si="198"/>
        <v/>
      </c>
      <c r="AC398" s="310" t="e">
        <f t="shared" ca="1" si="199"/>
        <v>#N/A</v>
      </c>
      <c r="AD398" s="323" t="e">
        <f t="shared" ca="1" si="200"/>
        <v>#N/A</v>
      </c>
      <c r="AE398" s="324">
        <f t="shared" ca="1" si="179"/>
        <v>-0.49080072372236022</v>
      </c>
      <c r="AG398" s="306">
        <f t="shared" ca="1" si="201"/>
        <v>6.3432146925457671</v>
      </c>
      <c r="AH398" s="304">
        <f t="shared" ca="1" si="202"/>
        <v>-3.4385987998528114</v>
      </c>
    </row>
    <row r="399" spans="1:34" x14ac:dyDescent="0.2">
      <c r="A399" s="347">
        <f t="shared" ca="1" si="180"/>
        <v>1E-4</v>
      </c>
      <c r="B399" s="304">
        <f t="shared" ca="1" si="181"/>
        <v>12.009499999999953</v>
      </c>
      <c r="D399" s="306">
        <f t="shared" ca="1" si="182"/>
        <v>-0.26047924105594461</v>
      </c>
      <c r="E399" s="307">
        <f t="shared" ca="1" si="183"/>
        <v>-6.3811948166188461</v>
      </c>
      <c r="F399" s="304">
        <f t="shared" ca="1" si="184"/>
        <v>6.3865089620750011</v>
      </c>
      <c r="G399" s="306">
        <f t="shared" ca="1" si="185"/>
        <v>3.9147204914010434</v>
      </c>
      <c r="H399" s="307">
        <f t="shared" ca="1" si="186"/>
        <v>-51.532204209919485</v>
      </c>
      <c r="I399" s="304">
        <f t="shared" ca="1" si="187"/>
        <v>51.680684082727069</v>
      </c>
      <c r="J399" s="306">
        <f t="shared" ca="1" si="188"/>
        <v>56.288824373840264</v>
      </c>
      <c r="K399" s="307">
        <f t="shared" ca="1" si="189"/>
        <v>-0.49595391223737811</v>
      </c>
      <c r="L399" s="304">
        <f t="shared" ca="1" si="174"/>
        <v>56.291009225915438</v>
      </c>
      <c r="M399" s="306">
        <f t="shared" ca="1" si="190"/>
        <v>-1.4949754683057248</v>
      </c>
      <c r="N399" s="304">
        <f t="shared" ca="1" si="191"/>
        <v>-85.6557848095118</v>
      </c>
      <c r="P399" s="310">
        <f t="shared" ca="1" si="192"/>
        <v>23</v>
      </c>
      <c r="Q399" s="304">
        <f t="shared" ca="1" si="193"/>
        <v>0</v>
      </c>
      <c r="R399" s="306">
        <f t="shared" ca="1" si="194"/>
        <v>0</v>
      </c>
      <c r="S399" s="307">
        <f t="shared" ca="1" si="195"/>
        <v>2.0843000000000003</v>
      </c>
      <c r="T399" s="304">
        <f t="shared" ca="1" si="175"/>
        <v>20.446983000000003</v>
      </c>
      <c r="U399" s="311">
        <f t="shared" ca="1" si="176"/>
        <v>0</v>
      </c>
      <c r="V399" s="306">
        <f t="shared" ca="1" si="177"/>
        <v>1.2250607558608542</v>
      </c>
      <c r="W399" s="304">
        <f t="shared" ca="1" si="178"/>
        <v>7.1674307466547429</v>
      </c>
      <c r="Y399" s="314" t="str">
        <f t="shared" ca="1" si="196"/>
        <v/>
      </c>
      <c r="Z399" s="315" t="str">
        <f t="shared" ca="1" si="197"/>
        <v/>
      </c>
      <c r="AA399" s="316" t="str">
        <f t="shared" ca="1" si="198"/>
        <v/>
      </c>
      <c r="AC399" s="310" t="e">
        <f t="shared" ca="1" si="199"/>
        <v>#N/A</v>
      </c>
      <c r="AD399" s="323" t="e">
        <f t="shared" ca="1" si="200"/>
        <v>#N/A</v>
      </c>
      <c r="AE399" s="324">
        <f t="shared" ca="1" si="179"/>
        <v>-0.49595391223737811</v>
      </c>
      <c r="AG399" s="306">
        <f t="shared" ca="1" si="201"/>
        <v>6.3431295767280584</v>
      </c>
      <c r="AH399" s="304">
        <f t="shared" ca="1" si="202"/>
        <v>-3.4386849842058158</v>
      </c>
    </row>
    <row r="400" spans="1:34" x14ac:dyDescent="0.2">
      <c r="A400" s="347">
        <f t="shared" ca="1" si="180"/>
        <v>1E-4</v>
      </c>
      <c r="B400" s="304">
        <f t="shared" ca="1" si="181"/>
        <v>12.009599999999953</v>
      </c>
      <c r="D400" s="306">
        <f t="shared" ca="1" si="182"/>
        <v>-0.26048083917193016</v>
      </c>
      <c r="E400" s="307">
        <f t="shared" ca="1" si="183"/>
        <v>-6.3811085053290579</v>
      </c>
      <c r="F400" s="304">
        <f t="shared" ca="1" si="184"/>
        <v>6.3864227877864899</v>
      </c>
      <c r="G400" s="306">
        <f t="shared" ca="1" si="185"/>
        <v>3.914694443317126</v>
      </c>
      <c r="H400" s="307">
        <f t="shared" ca="1" si="186"/>
        <v>-51.532842320770015</v>
      </c>
      <c r="I400" s="304">
        <f t="shared" ca="1" si="187"/>
        <v>51.681318387226568</v>
      </c>
      <c r="J400" s="306">
        <f t="shared" ca="1" si="188"/>
        <v>56.288824373840264</v>
      </c>
      <c r="K400" s="307">
        <f t="shared" ca="1" si="189"/>
        <v>-0.50110716456391258</v>
      </c>
      <c r="L400" s="304">
        <f t="shared" ca="1" si="174"/>
        <v>56.29105486468886</v>
      </c>
      <c r="M400" s="306">
        <f t="shared" ca="1" si="190"/>
        <v>-1.4949769061370097</v>
      </c>
      <c r="N400" s="304">
        <f t="shared" ca="1" si="191"/>
        <v>-85.655867191176071</v>
      </c>
      <c r="P400" s="310">
        <f t="shared" ca="1" si="192"/>
        <v>23</v>
      </c>
      <c r="Q400" s="304">
        <f t="shared" ca="1" si="193"/>
        <v>0</v>
      </c>
      <c r="R400" s="306">
        <f t="shared" ca="1" si="194"/>
        <v>0</v>
      </c>
      <c r="S400" s="307">
        <f t="shared" ca="1" si="195"/>
        <v>2.0843000000000003</v>
      </c>
      <c r="T400" s="304">
        <f t="shared" ca="1" si="175"/>
        <v>20.446983000000003</v>
      </c>
      <c r="U400" s="311">
        <f t="shared" ca="1" si="176"/>
        <v>0</v>
      </c>
      <c r="V400" s="306">
        <f t="shared" ca="1" si="177"/>
        <v>1.2250613871657365</v>
      </c>
      <c r="W400" s="304">
        <f t="shared" ca="1" si="178"/>
        <v>7.1676103807568108</v>
      </c>
      <c r="Y400" s="314" t="str">
        <f t="shared" ca="1" si="196"/>
        <v/>
      </c>
      <c r="Z400" s="315" t="str">
        <f t="shared" ca="1" si="197"/>
        <v/>
      </c>
      <c r="AA400" s="316" t="str">
        <f t="shared" ca="1" si="198"/>
        <v/>
      </c>
      <c r="AC400" s="310" t="e">
        <f t="shared" ca="1" si="199"/>
        <v>#N/A</v>
      </c>
      <c r="AD400" s="323" t="e">
        <f t="shared" ca="1" si="200"/>
        <v>#N/A</v>
      </c>
      <c r="AE400" s="324">
        <f t="shared" ca="1" si="179"/>
        <v>-0.50110716456391258</v>
      </c>
      <c r="AG400" s="306">
        <f t="shared" ca="1" si="201"/>
        <v>6.3430444608435526</v>
      </c>
      <c r="AH400" s="304">
        <f t="shared" ca="1" si="202"/>
        <v>-3.4387711685720586</v>
      </c>
    </row>
    <row r="401" spans="1:34" x14ac:dyDescent="0.2">
      <c r="A401" s="347">
        <f t="shared" ca="1" si="180"/>
        <v>1E-4</v>
      </c>
      <c r="B401" s="304">
        <f t="shared" ca="1" si="181"/>
        <v>12.009699999999953</v>
      </c>
      <c r="D401" s="306">
        <f t="shared" ca="1" si="182"/>
        <v>-0.26048243719507602</v>
      </c>
      <c r="E401" s="307">
        <f t="shared" ca="1" si="183"/>
        <v>-6.3810221940261123</v>
      </c>
      <c r="F401" s="304">
        <f t="shared" ca="1" si="184"/>
        <v>6.3863366134851445</v>
      </c>
      <c r="G401" s="306">
        <f t="shared" ca="1" si="185"/>
        <v>3.9146683950734067</v>
      </c>
      <c r="H401" s="307">
        <f t="shared" ca="1" si="186"/>
        <v>-51.53348042298942</v>
      </c>
      <c r="I401" s="304">
        <f t="shared" ca="1" si="187"/>
        <v>51.681952683214476</v>
      </c>
      <c r="J401" s="306">
        <f t="shared" ca="1" si="188"/>
        <v>56.288824373840264</v>
      </c>
      <c r="K401" s="307">
        <f t="shared" ca="1" si="189"/>
        <v>-0.50626048070110052</v>
      </c>
      <c r="L401" s="304">
        <f t="shared" ca="1" si="174"/>
        <v>56.291100975761289</v>
      </c>
      <c r="M401" s="306">
        <f t="shared" ca="1" si="190"/>
        <v>-1.4949783439234343</v>
      </c>
      <c r="N401" s="304">
        <f t="shared" ca="1" si="191"/>
        <v>-85.655949570270053</v>
      </c>
      <c r="P401" s="310">
        <f t="shared" ca="1" si="192"/>
        <v>23</v>
      </c>
      <c r="Q401" s="304">
        <f t="shared" ca="1" si="193"/>
        <v>0</v>
      </c>
      <c r="R401" s="306">
        <f t="shared" ca="1" si="194"/>
        <v>0</v>
      </c>
      <c r="S401" s="307">
        <f t="shared" ca="1" si="195"/>
        <v>2.0843000000000003</v>
      </c>
      <c r="T401" s="304">
        <f t="shared" ca="1" si="175"/>
        <v>20.446983000000003</v>
      </c>
      <c r="U401" s="311">
        <f t="shared" ca="1" si="176"/>
        <v>0</v>
      </c>
      <c r="V401" s="306">
        <f t="shared" ca="1" si="177"/>
        <v>1.2250620184787615</v>
      </c>
      <c r="W401" s="304">
        <f t="shared" ca="1" si="178"/>
        <v>7.1677900148863003</v>
      </c>
      <c r="Y401" s="314" t="str">
        <f t="shared" ca="1" si="196"/>
        <v/>
      </c>
      <c r="Z401" s="315" t="str">
        <f t="shared" ca="1" si="197"/>
        <v/>
      </c>
      <c r="AA401" s="316" t="str">
        <f t="shared" ca="1" si="198"/>
        <v/>
      </c>
      <c r="AC401" s="310" t="e">
        <f t="shared" ca="1" si="199"/>
        <v>#N/A</v>
      </c>
      <c r="AD401" s="323" t="e">
        <f t="shared" ca="1" si="200"/>
        <v>#N/A</v>
      </c>
      <c r="AE401" s="324">
        <f t="shared" ca="1" si="179"/>
        <v>-0.50626048070110052</v>
      </c>
      <c r="AG401" s="306">
        <f t="shared" ca="1" si="201"/>
        <v>6.3429593448922841</v>
      </c>
      <c r="AH401" s="304">
        <f t="shared" ca="1" si="202"/>
        <v>-3.4388573529514992</v>
      </c>
    </row>
    <row r="402" spans="1:34" x14ac:dyDescent="0.2">
      <c r="A402" s="347">
        <f t="shared" ca="1" si="180"/>
        <v>1E-4</v>
      </c>
      <c r="B402" s="304">
        <f t="shared" ca="1" si="181"/>
        <v>12.009799999999952</v>
      </c>
      <c r="D402" s="306">
        <f t="shared" ca="1" si="182"/>
        <v>-0.26048403512538365</v>
      </c>
      <c r="E402" s="307">
        <f t="shared" ca="1" si="183"/>
        <v>-6.3809358827100482</v>
      </c>
      <c r="F402" s="304">
        <f t="shared" ca="1" si="184"/>
        <v>6.3862504391710058</v>
      </c>
      <c r="G402" s="306">
        <f t="shared" ca="1" si="185"/>
        <v>3.9146423466698943</v>
      </c>
      <c r="H402" s="307">
        <f t="shared" ca="1" si="186"/>
        <v>-51.534118516577692</v>
      </c>
      <c r="I402" s="304">
        <f t="shared" ca="1" si="187"/>
        <v>51.682586970690785</v>
      </c>
      <c r="J402" s="306">
        <f t="shared" ca="1" si="188"/>
        <v>56.288824373840264</v>
      </c>
      <c r="K402" s="307">
        <f t="shared" ca="1" si="189"/>
        <v>-0.51141386064807892</v>
      </c>
      <c r="L402" s="304">
        <f t="shared" ca="1" si="174"/>
        <v>56.291147559149096</v>
      </c>
      <c r="M402" s="306">
        <f t="shared" ca="1" si="190"/>
        <v>-1.4949797816650006</v>
      </c>
      <c r="N402" s="304">
        <f t="shared" ca="1" si="191"/>
        <v>-85.656031946793817</v>
      </c>
      <c r="P402" s="310">
        <f t="shared" ca="1" si="192"/>
        <v>23</v>
      </c>
      <c r="Q402" s="304">
        <f t="shared" ca="1" si="193"/>
        <v>0</v>
      </c>
      <c r="R402" s="306">
        <f t="shared" ca="1" si="194"/>
        <v>0</v>
      </c>
      <c r="S402" s="307">
        <f t="shared" ca="1" si="195"/>
        <v>2.0843000000000003</v>
      </c>
      <c r="T402" s="304">
        <f t="shared" ca="1" si="175"/>
        <v>20.446983000000003</v>
      </c>
      <c r="U402" s="311">
        <f t="shared" ca="1" si="176"/>
        <v>0</v>
      </c>
      <c r="V402" s="306">
        <f t="shared" ca="1" si="177"/>
        <v>1.2250626497999282</v>
      </c>
      <c r="W402" s="304">
        <f t="shared" ca="1" si="178"/>
        <v>7.1679696490431226</v>
      </c>
      <c r="Y402" s="314" t="str">
        <f t="shared" ca="1" si="196"/>
        <v/>
      </c>
      <c r="Z402" s="315" t="str">
        <f t="shared" ca="1" si="197"/>
        <v/>
      </c>
      <c r="AA402" s="316" t="str">
        <f t="shared" ca="1" si="198"/>
        <v/>
      </c>
      <c r="AC402" s="310" t="e">
        <f t="shared" ca="1" si="199"/>
        <v>#N/A</v>
      </c>
      <c r="AD402" s="323" t="e">
        <f t="shared" ca="1" si="200"/>
        <v>#N/A</v>
      </c>
      <c r="AE402" s="324">
        <f t="shared" ca="1" si="179"/>
        <v>-0.51141386064807892</v>
      </c>
      <c r="AG402" s="306">
        <f t="shared" ca="1" si="201"/>
        <v>6.3428742288743063</v>
      </c>
      <c r="AH402" s="304">
        <f t="shared" ca="1" si="202"/>
        <v>-3.438943537344096</v>
      </c>
    </row>
    <row r="403" spans="1:34" x14ac:dyDescent="0.2">
      <c r="A403" s="347">
        <f t="shared" ca="1" si="180"/>
        <v>1E-4</v>
      </c>
      <c r="B403" s="304">
        <f t="shared" ca="1" si="181"/>
        <v>12.009899999999952</v>
      </c>
      <c r="D403" s="306">
        <f t="shared" ca="1" si="182"/>
        <v>-0.2604856329628546</v>
      </c>
      <c r="E403" s="307">
        <f t="shared" ca="1" si="183"/>
        <v>-6.3808495713809101</v>
      </c>
      <c r="F403" s="304">
        <f t="shared" ca="1" si="184"/>
        <v>6.3861642648441173</v>
      </c>
      <c r="G403" s="306">
        <f t="shared" ca="1" si="185"/>
        <v>3.9146162981065982</v>
      </c>
      <c r="H403" s="307">
        <f t="shared" ca="1" si="186"/>
        <v>-51.534756601534831</v>
      </c>
      <c r="I403" s="304">
        <f t="shared" ca="1" si="187"/>
        <v>51.683221249655475</v>
      </c>
      <c r="J403" s="306">
        <f t="shared" ca="1" si="188"/>
        <v>56.288824373840264</v>
      </c>
      <c r="K403" s="307">
        <f t="shared" ca="1" si="189"/>
        <v>-0.51656730440398457</v>
      </c>
      <c r="L403" s="304">
        <f t="shared" ca="1" si="174"/>
        <v>56.291194614868616</v>
      </c>
      <c r="M403" s="306">
        <f t="shared" ca="1" si="190"/>
        <v>-1.4949812193617109</v>
      </c>
      <c r="N403" s="304">
        <f t="shared" ca="1" si="191"/>
        <v>-85.656114320747548</v>
      </c>
      <c r="P403" s="310">
        <f t="shared" ca="1" si="192"/>
        <v>23</v>
      </c>
      <c r="Q403" s="304">
        <f t="shared" ca="1" si="193"/>
        <v>0</v>
      </c>
      <c r="R403" s="306">
        <f t="shared" ca="1" si="194"/>
        <v>0</v>
      </c>
      <c r="S403" s="307">
        <f t="shared" ca="1" si="195"/>
        <v>2.0843000000000003</v>
      </c>
      <c r="T403" s="304">
        <f t="shared" ca="1" si="175"/>
        <v>20.446983000000003</v>
      </c>
      <c r="U403" s="311">
        <f t="shared" ca="1" si="176"/>
        <v>0</v>
      </c>
      <c r="V403" s="306">
        <f t="shared" ca="1" si="177"/>
        <v>1.2250632811292375</v>
      </c>
      <c r="W403" s="304">
        <f t="shared" ca="1" si="178"/>
        <v>7.1681492832271934</v>
      </c>
      <c r="Y403" s="314" t="str">
        <f t="shared" ca="1" si="196"/>
        <v/>
      </c>
      <c r="Z403" s="315" t="str">
        <f t="shared" ca="1" si="197"/>
        <v/>
      </c>
      <c r="AA403" s="316" t="str">
        <f t="shared" ca="1" si="198"/>
        <v/>
      </c>
      <c r="AC403" s="310" t="e">
        <f t="shared" ca="1" si="199"/>
        <v>#N/A</v>
      </c>
      <c r="AD403" s="323" t="e">
        <f t="shared" ca="1" si="200"/>
        <v>#N/A</v>
      </c>
      <c r="AE403" s="324">
        <f t="shared" ca="1" si="179"/>
        <v>-0.51656730440398457</v>
      </c>
      <c r="AG403" s="306">
        <f t="shared" ca="1" si="201"/>
        <v>6.3427891127896601</v>
      </c>
      <c r="AH403" s="304">
        <f t="shared" ca="1" si="202"/>
        <v>-3.4390297217498067</v>
      </c>
    </row>
    <row r="404" spans="1:34" x14ac:dyDescent="0.2">
      <c r="A404" s="347">
        <f t="shared" ca="1" si="180"/>
        <v>1E-4</v>
      </c>
      <c r="B404" s="304">
        <f t="shared" ca="1" si="181"/>
        <v>12.009999999999952</v>
      </c>
      <c r="D404" s="306">
        <f t="shared" ca="1" si="182"/>
        <v>-0.26048723070748886</v>
      </c>
      <c r="E404" s="307">
        <f t="shared" ca="1" si="183"/>
        <v>-6.3807632600387381</v>
      </c>
      <c r="F404" s="304">
        <f t="shared" ca="1" si="184"/>
        <v>6.3860780905045189</v>
      </c>
      <c r="G404" s="306">
        <f t="shared" ca="1" si="185"/>
        <v>3.9145902493835276</v>
      </c>
      <c r="H404" s="307">
        <f t="shared" ca="1" si="186"/>
        <v>-51.535394677860836</v>
      </c>
      <c r="I404" s="304">
        <f t="shared" ca="1" si="187"/>
        <v>51.683855520108551</v>
      </c>
      <c r="J404" s="306">
        <f t="shared" ca="1" si="188"/>
        <v>56.288824373840264</v>
      </c>
      <c r="K404" s="307">
        <f t="shared" ca="1" si="189"/>
        <v>-0.52172081196795439</v>
      </c>
      <c r="L404" s="304">
        <f t="shared" ca="1" si="174"/>
        <v>56.291242142936184</v>
      </c>
      <c r="M404" s="306">
        <f t="shared" ca="1" si="190"/>
        <v>-1.4949826570135674</v>
      </c>
      <c r="N404" s="304">
        <f t="shared" ca="1" si="191"/>
        <v>-85.656196692131331</v>
      </c>
      <c r="P404" s="310">
        <f t="shared" ca="1" si="192"/>
        <v>23</v>
      </c>
      <c r="Q404" s="304">
        <f t="shared" ca="1" si="193"/>
        <v>0</v>
      </c>
      <c r="R404" s="306">
        <f t="shared" ca="1" si="194"/>
        <v>0</v>
      </c>
      <c r="S404" s="307">
        <f t="shared" ca="1" si="195"/>
        <v>2.0843000000000003</v>
      </c>
      <c r="T404" s="304">
        <f t="shared" ca="1" si="175"/>
        <v>20.446983000000003</v>
      </c>
      <c r="U404" s="311">
        <f t="shared" ca="1" si="176"/>
        <v>0</v>
      </c>
      <c r="V404" s="306">
        <f t="shared" ca="1" si="177"/>
        <v>1.2250639124666893</v>
      </c>
      <c r="W404" s="304">
        <f t="shared" ca="1" si="178"/>
        <v>7.1683289174384299</v>
      </c>
      <c r="Y404" s="314" t="str">
        <f t="shared" ca="1" si="196"/>
        <v/>
      </c>
      <c r="Z404" s="315" t="str">
        <f t="shared" ca="1" si="197"/>
        <v/>
      </c>
      <c r="AA404" s="316" t="str">
        <f t="shared" ca="1" si="198"/>
        <v/>
      </c>
      <c r="AC404" s="310" t="e">
        <f t="shared" ca="1" si="199"/>
        <v>#N/A</v>
      </c>
      <c r="AD404" s="323" t="e">
        <f t="shared" ca="1" si="200"/>
        <v>#N/A</v>
      </c>
      <c r="AE404" s="324">
        <f t="shared" ca="1" si="179"/>
        <v>-0.52172081196795439</v>
      </c>
      <c r="AG404" s="306">
        <f t="shared" ca="1" si="201"/>
        <v>6.3427039966383916</v>
      </c>
      <c r="AH404" s="304">
        <f t="shared" ca="1" si="202"/>
        <v>-3.4391159061685901</v>
      </c>
    </row>
    <row r="405" spans="1:34" x14ac:dyDescent="0.2">
      <c r="A405" s="347">
        <f t="shared" ca="1" si="180"/>
        <v>1E-4</v>
      </c>
      <c r="B405" s="304">
        <f t="shared" ca="1" si="181"/>
        <v>12.010099999999952</v>
      </c>
      <c r="D405" s="306">
        <f t="shared" ca="1" si="182"/>
        <v>-0.2604888283592881</v>
      </c>
      <c r="E405" s="307">
        <f t="shared" ca="1" si="183"/>
        <v>-6.3806769486835719</v>
      </c>
      <c r="F405" s="304">
        <f t="shared" ca="1" si="184"/>
        <v>6.3859919161522498</v>
      </c>
      <c r="G405" s="306">
        <f t="shared" ca="1" si="185"/>
        <v>3.9145642005006915</v>
      </c>
      <c r="H405" s="307">
        <f t="shared" ca="1" si="186"/>
        <v>-51.536032745555701</v>
      </c>
      <c r="I405" s="304">
        <f t="shared" ca="1" si="187"/>
        <v>51.684489782050001</v>
      </c>
      <c r="J405" s="306">
        <f t="shared" ca="1" si="188"/>
        <v>56.288824373840264</v>
      </c>
      <c r="K405" s="307">
        <f t="shared" ca="1" si="189"/>
        <v>-0.52687438333912517</v>
      </c>
      <c r="L405" s="304">
        <f t="shared" ca="1" si="174"/>
        <v>56.291290143368116</v>
      </c>
      <c r="M405" s="306">
        <f t="shared" ca="1" si="190"/>
        <v>-1.4949840946205724</v>
      </c>
      <c r="N405" s="304">
        <f t="shared" ca="1" si="191"/>
        <v>-85.656279060945309</v>
      </c>
      <c r="P405" s="310">
        <f t="shared" ca="1" si="192"/>
        <v>23</v>
      </c>
      <c r="Q405" s="304">
        <f t="shared" ca="1" si="193"/>
        <v>0</v>
      </c>
      <c r="R405" s="306">
        <f t="shared" ca="1" si="194"/>
        <v>0</v>
      </c>
      <c r="S405" s="307">
        <f t="shared" ca="1" si="195"/>
        <v>2.0843000000000003</v>
      </c>
      <c r="T405" s="304">
        <f t="shared" ca="1" si="175"/>
        <v>20.446983000000003</v>
      </c>
      <c r="U405" s="311">
        <f t="shared" ca="1" si="176"/>
        <v>0</v>
      </c>
      <c r="V405" s="306">
        <f t="shared" ca="1" si="177"/>
        <v>1.2250645438122834</v>
      </c>
      <c r="W405" s="304">
        <f t="shared" ca="1" si="178"/>
        <v>7.1685085516767417</v>
      </c>
      <c r="Y405" s="314" t="str">
        <f t="shared" ca="1" si="196"/>
        <v/>
      </c>
      <c r="Z405" s="315" t="str">
        <f t="shared" ca="1" si="197"/>
        <v/>
      </c>
      <c r="AA405" s="316" t="str">
        <f t="shared" ca="1" si="198"/>
        <v/>
      </c>
      <c r="AC405" s="310" t="e">
        <f t="shared" ca="1" si="199"/>
        <v>#N/A</v>
      </c>
      <c r="AD405" s="323" t="e">
        <f t="shared" ca="1" si="200"/>
        <v>#N/A</v>
      </c>
      <c r="AE405" s="324">
        <f t="shared" ca="1" si="179"/>
        <v>-0.52687438333912517</v>
      </c>
      <c r="AG405" s="306">
        <f t="shared" ca="1" si="201"/>
        <v>6.3426188804205434</v>
      </c>
      <c r="AH405" s="304">
        <f t="shared" ca="1" si="202"/>
        <v>-3.4392020906004075</v>
      </c>
    </row>
    <row r="406" spans="1:34" x14ac:dyDescent="0.2">
      <c r="A406" s="347">
        <f t="shared" ca="1" si="180"/>
        <v>1E-4</v>
      </c>
      <c r="B406" s="304">
        <f t="shared" ca="1" si="181"/>
        <v>12.010199999999951</v>
      </c>
      <c r="D406" s="306">
        <f t="shared" ca="1" si="182"/>
        <v>-0.26049042591825228</v>
      </c>
      <c r="E406" s="307">
        <f t="shared" ca="1" si="183"/>
        <v>-6.3805906373154553</v>
      </c>
      <c r="F406" s="304">
        <f t="shared" ca="1" si="184"/>
        <v>6.3859057417873561</v>
      </c>
      <c r="G406" s="306">
        <f t="shared" ca="1" si="185"/>
        <v>3.9145381514580997</v>
      </c>
      <c r="H406" s="307">
        <f t="shared" ca="1" si="186"/>
        <v>-51.536670804619433</v>
      </c>
      <c r="I406" s="304">
        <f t="shared" ca="1" si="187"/>
        <v>51.685124035479824</v>
      </c>
      <c r="J406" s="306">
        <f t="shared" ca="1" si="188"/>
        <v>56.288824373840264</v>
      </c>
      <c r="K406" s="307">
        <f t="shared" ca="1" si="189"/>
        <v>-0.53202801851663395</v>
      </c>
      <c r="L406" s="304">
        <f t="shared" ca="1" si="174"/>
        <v>56.291338616180738</v>
      </c>
      <c r="M406" s="306">
        <f t="shared" ca="1" si="190"/>
        <v>-1.4949855321827277</v>
      </c>
      <c r="N406" s="304">
        <f t="shared" ca="1" si="191"/>
        <v>-85.656361427189609</v>
      </c>
      <c r="P406" s="310">
        <f t="shared" ca="1" si="192"/>
        <v>23</v>
      </c>
      <c r="Q406" s="304">
        <f t="shared" ca="1" si="193"/>
        <v>0</v>
      </c>
      <c r="R406" s="306">
        <f t="shared" ca="1" si="194"/>
        <v>0</v>
      </c>
      <c r="S406" s="307">
        <f t="shared" ca="1" si="195"/>
        <v>2.0843000000000003</v>
      </c>
      <c r="T406" s="304">
        <f t="shared" ca="1" si="175"/>
        <v>20.446983000000003</v>
      </c>
      <c r="U406" s="311">
        <f t="shared" ca="1" si="176"/>
        <v>0</v>
      </c>
      <c r="V406" s="306">
        <f t="shared" ca="1" si="177"/>
        <v>1.2250651751660191</v>
      </c>
      <c r="W406" s="304">
        <f t="shared" ca="1" si="178"/>
        <v>7.1686881859420408</v>
      </c>
      <c r="Y406" s="314" t="str">
        <f t="shared" ca="1" si="196"/>
        <v/>
      </c>
      <c r="Z406" s="315" t="str">
        <f t="shared" ca="1" si="197"/>
        <v/>
      </c>
      <c r="AA406" s="316" t="str">
        <f t="shared" ca="1" si="198"/>
        <v/>
      </c>
      <c r="AC406" s="310" t="e">
        <f t="shared" ca="1" si="199"/>
        <v>#N/A</v>
      </c>
      <c r="AD406" s="323" t="e">
        <f t="shared" ca="1" si="200"/>
        <v>#N/A</v>
      </c>
      <c r="AE406" s="324">
        <f t="shared" ca="1" si="179"/>
        <v>-0.53202801851663395</v>
      </c>
      <c r="AG406" s="306">
        <f t="shared" ca="1" si="201"/>
        <v>6.3425337641361637</v>
      </c>
      <c r="AH406" s="304">
        <f t="shared" ca="1" si="202"/>
        <v>-3.4392882750452145</v>
      </c>
    </row>
    <row r="407" spans="1:34" x14ac:dyDescent="0.2">
      <c r="A407" s="347">
        <f t="shared" ca="1" si="180"/>
        <v>1E-4</v>
      </c>
      <c r="B407" s="304">
        <f t="shared" ca="1" si="181"/>
        <v>12.010299999999951</v>
      </c>
      <c r="D407" s="306">
        <f t="shared" ca="1" si="182"/>
        <v>-0.26049202338438354</v>
      </c>
      <c r="E407" s="307">
        <f t="shared" ca="1" si="183"/>
        <v>-6.3805043259344316</v>
      </c>
      <c r="F407" s="304">
        <f t="shared" ca="1" si="184"/>
        <v>6.3858195674098788</v>
      </c>
      <c r="G407" s="306">
        <f t="shared" ca="1" si="185"/>
        <v>3.9145121022557614</v>
      </c>
      <c r="H407" s="307">
        <f t="shared" ca="1" si="186"/>
        <v>-51.537308855052025</v>
      </c>
      <c r="I407" s="304">
        <f t="shared" ca="1" si="187"/>
        <v>51.685758280398005</v>
      </c>
      <c r="J407" s="306">
        <f t="shared" ca="1" si="188"/>
        <v>56.288824373840264</v>
      </c>
      <c r="K407" s="307">
        <f t="shared" ca="1" si="189"/>
        <v>-0.53718171749961752</v>
      </c>
      <c r="L407" s="304">
        <f t="shared" ca="1" si="174"/>
        <v>56.29138756139033</v>
      </c>
      <c r="M407" s="306">
        <f t="shared" ca="1" si="190"/>
        <v>-1.494986969700036</v>
      </c>
      <c r="N407" s="304">
        <f t="shared" ca="1" si="191"/>
        <v>-85.656443790864344</v>
      </c>
      <c r="P407" s="310">
        <f t="shared" ca="1" si="192"/>
        <v>23</v>
      </c>
      <c r="Q407" s="304">
        <f t="shared" ca="1" si="193"/>
        <v>0</v>
      </c>
      <c r="R407" s="306">
        <f t="shared" ca="1" si="194"/>
        <v>0</v>
      </c>
      <c r="S407" s="307">
        <f t="shared" ca="1" si="195"/>
        <v>2.0843000000000003</v>
      </c>
      <c r="T407" s="304">
        <f t="shared" ca="1" si="175"/>
        <v>20.446983000000003</v>
      </c>
      <c r="U407" s="311">
        <f t="shared" ca="1" si="176"/>
        <v>0</v>
      </c>
      <c r="V407" s="306">
        <f t="shared" ca="1" si="177"/>
        <v>1.225065806527897</v>
      </c>
      <c r="W407" s="304">
        <f t="shared" ca="1" si="178"/>
        <v>7.1688678202342473</v>
      </c>
      <c r="Y407" s="314" t="str">
        <f t="shared" ca="1" si="196"/>
        <v/>
      </c>
      <c r="Z407" s="315" t="str">
        <f t="shared" ca="1" si="197"/>
        <v/>
      </c>
      <c r="AA407" s="316" t="str">
        <f t="shared" ca="1" si="198"/>
        <v/>
      </c>
      <c r="AC407" s="310" t="e">
        <f t="shared" ca="1" si="199"/>
        <v>#N/A</v>
      </c>
      <c r="AD407" s="323" t="e">
        <f t="shared" ca="1" si="200"/>
        <v>#N/A</v>
      </c>
      <c r="AE407" s="324">
        <f t="shared" ca="1" si="179"/>
        <v>-0.53718171749961752</v>
      </c>
      <c r="AG407" s="306">
        <f t="shared" ca="1" si="201"/>
        <v>6.3424486477852948</v>
      </c>
      <c r="AH407" s="304">
        <f t="shared" ca="1" si="202"/>
        <v>-3.4393744595029698</v>
      </c>
    </row>
    <row r="408" spans="1:34" x14ac:dyDescent="0.2">
      <c r="A408" s="347">
        <f t="shared" ca="1" si="180"/>
        <v>1E-4</v>
      </c>
      <c r="B408" s="304">
        <f t="shared" ca="1" si="181"/>
        <v>12.010399999999951</v>
      </c>
      <c r="D408" s="306">
        <f t="shared" ca="1" si="182"/>
        <v>-0.2604936207576814</v>
      </c>
      <c r="E408" s="307">
        <f t="shared" ca="1" si="183"/>
        <v>-6.3804180145405365</v>
      </c>
      <c r="F408" s="304">
        <f t="shared" ca="1" si="184"/>
        <v>6.3857333930198532</v>
      </c>
      <c r="G408" s="306">
        <f t="shared" ca="1" si="185"/>
        <v>3.9144860528936856</v>
      </c>
      <c r="H408" s="307">
        <f t="shared" ca="1" si="186"/>
        <v>-51.537946896853477</v>
      </c>
      <c r="I408" s="304">
        <f t="shared" ca="1" si="187"/>
        <v>51.686392516804538</v>
      </c>
      <c r="J408" s="306">
        <f t="shared" ca="1" si="188"/>
        <v>56.288824373840264</v>
      </c>
      <c r="K408" s="307">
        <f t="shared" ca="1" si="189"/>
        <v>-0.54233548028721279</v>
      </c>
      <c r="L408" s="304">
        <f t="shared" ca="1" si="174"/>
        <v>56.291436979013177</v>
      </c>
      <c r="M408" s="306">
        <f t="shared" ca="1" si="190"/>
        <v>-1.494988407172499</v>
      </c>
      <c r="N408" s="304">
        <f t="shared" ca="1" si="191"/>
        <v>-85.656526151969643</v>
      </c>
      <c r="P408" s="310">
        <f t="shared" ca="1" si="192"/>
        <v>23</v>
      </c>
      <c r="Q408" s="304">
        <f t="shared" ca="1" si="193"/>
        <v>0</v>
      </c>
      <c r="R408" s="306">
        <f t="shared" ca="1" si="194"/>
        <v>0</v>
      </c>
      <c r="S408" s="307">
        <f t="shared" ca="1" si="195"/>
        <v>2.0843000000000003</v>
      </c>
      <c r="T408" s="304">
        <f t="shared" ca="1" si="175"/>
        <v>20.446983000000003</v>
      </c>
      <c r="U408" s="311">
        <f t="shared" ca="1" si="176"/>
        <v>0</v>
      </c>
      <c r="V408" s="306">
        <f t="shared" ca="1" si="177"/>
        <v>1.2250664378979168</v>
      </c>
      <c r="W408" s="304">
        <f t="shared" ca="1" si="178"/>
        <v>7.1690474545532679</v>
      </c>
      <c r="Y408" s="314" t="str">
        <f t="shared" ca="1" si="196"/>
        <v/>
      </c>
      <c r="Z408" s="315" t="str">
        <f t="shared" ca="1" si="197"/>
        <v/>
      </c>
      <c r="AA408" s="316" t="str">
        <f t="shared" ca="1" si="198"/>
        <v/>
      </c>
      <c r="AC408" s="310" t="e">
        <f t="shared" ca="1" si="199"/>
        <v>#N/A</v>
      </c>
      <c r="AD408" s="323" t="e">
        <f t="shared" ca="1" si="200"/>
        <v>#N/A</v>
      </c>
      <c r="AE408" s="324">
        <f t="shared" ca="1" si="179"/>
        <v>-0.54233548028721279</v>
      </c>
      <c r="AG408" s="306">
        <f t="shared" ca="1" si="201"/>
        <v>6.3423635313679849</v>
      </c>
      <c r="AH408" s="304">
        <f t="shared" ca="1" si="202"/>
        <v>-3.4394606439736344</v>
      </c>
    </row>
    <row r="409" spans="1:34" x14ac:dyDescent="0.2">
      <c r="A409" s="347">
        <f t="shared" ca="1" si="180"/>
        <v>1E-4</v>
      </c>
      <c r="B409" s="304">
        <f t="shared" ca="1" si="181"/>
        <v>12.010499999999951</v>
      </c>
      <c r="D409" s="306">
        <f t="shared" ca="1" si="182"/>
        <v>-0.26049521803814801</v>
      </c>
      <c r="E409" s="307">
        <f t="shared" ca="1" si="183"/>
        <v>-6.380331703133816</v>
      </c>
      <c r="F409" s="304">
        <f t="shared" ca="1" si="184"/>
        <v>6.3856472186173265</v>
      </c>
      <c r="G409" s="306">
        <f t="shared" ca="1" si="185"/>
        <v>3.9144600033718819</v>
      </c>
      <c r="H409" s="307">
        <f t="shared" ca="1" si="186"/>
        <v>-51.538584930023788</v>
      </c>
      <c r="I409" s="304">
        <f t="shared" ca="1" si="187"/>
        <v>51.687026744699423</v>
      </c>
      <c r="J409" s="306">
        <f t="shared" ca="1" si="188"/>
        <v>56.288824373840264</v>
      </c>
      <c r="K409" s="307">
        <f t="shared" ca="1" si="189"/>
        <v>-0.54748930687855668</v>
      </c>
      <c r="L409" s="304">
        <f t="shared" ca="1" si="174"/>
        <v>56.291486869065558</v>
      </c>
      <c r="M409" s="306">
        <f t="shared" ca="1" si="190"/>
        <v>-1.4949898446001193</v>
      </c>
      <c r="N409" s="304">
        <f t="shared" ca="1" si="191"/>
        <v>-85.656608510505635</v>
      </c>
      <c r="P409" s="310">
        <f t="shared" ca="1" si="192"/>
        <v>23</v>
      </c>
      <c r="Q409" s="304">
        <f t="shared" ca="1" si="193"/>
        <v>0</v>
      </c>
      <c r="R409" s="306">
        <f t="shared" ca="1" si="194"/>
        <v>0</v>
      </c>
      <c r="S409" s="307">
        <f t="shared" ca="1" si="195"/>
        <v>2.0843000000000003</v>
      </c>
      <c r="T409" s="304">
        <f t="shared" ca="1" si="175"/>
        <v>20.446983000000003</v>
      </c>
      <c r="U409" s="311">
        <f t="shared" ca="1" si="176"/>
        <v>0</v>
      </c>
      <c r="V409" s="306">
        <f t="shared" ca="1" si="177"/>
        <v>1.2250670692760783</v>
      </c>
      <c r="W409" s="304">
        <f t="shared" ca="1" si="178"/>
        <v>7.1692270888990244</v>
      </c>
      <c r="Y409" s="314" t="str">
        <f t="shared" ca="1" si="196"/>
        <v/>
      </c>
      <c r="Z409" s="315" t="str">
        <f t="shared" ca="1" si="197"/>
        <v/>
      </c>
      <c r="AA409" s="316" t="str">
        <f t="shared" ca="1" si="198"/>
        <v/>
      </c>
      <c r="AC409" s="310" t="e">
        <f t="shared" ca="1" si="199"/>
        <v>#N/A</v>
      </c>
      <c r="AD409" s="323" t="e">
        <f t="shared" ca="1" si="200"/>
        <v>#N/A</v>
      </c>
      <c r="AE409" s="324">
        <f t="shared" ca="1" si="179"/>
        <v>-0.54748930687855668</v>
      </c>
      <c r="AG409" s="306">
        <f t="shared" ca="1" si="201"/>
        <v>6.342278414884273</v>
      </c>
      <c r="AH409" s="304">
        <f t="shared" ca="1" si="202"/>
        <v>-3.4395468284571642</v>
      </c>
    </row>
    <row r="410" spans="1:34" x14ac:dyDescent="0.2">
      <c r="A410" s="347">
        <f t="shared" ca="1" si="180"/>
        <v>1E-4</v>
      </c>
      <c r="B410" s="304">
        <f t="shared" ca="1" si="181"/>
        <v>12.01059999999995</v>
      </c>
      <c r="D410" s="306">
        <f t="shared" ca="1" si="182"/>
        <v>-0.26049681522578344</v>
      </c>
      <c r="E410" s="307">
        <f t="shared" ca="1" si="183"/>
        <v>-6.3802453917143094</v>
      </c>
      <c r="F410" s="304">
        <f t="shared" ca="1" si="184"/>
        <v>6.3855610442023387</v>
      </c>
      <c r="G410" s="306">
        <f t="shared" ca="1" si="185"/>
        <v>3.9144339536903594</v>
      </c>
      <c r="H410" s="307">
        <f t="shared" ca="1" si="186"/>
        <v>-51.539222954562959</v>
      </c>
      <c r="I410" s="304">
        <f t="shared" ca="1" si="187"/>
        <v>51.687660964082646</v>
      </c>
      <c r="J410" s="306">
        <f t="shared" ca="1" si="188"/>
        <v>56.288824373840264</v>
      </c>
      <c r="K410" s="307">
        <f t="shared" ca="1" si="189"/>
        <v>-0.55264319727278599</v>
      </c>
      <c r="L410" s="304">
        <f t="shared" ca="1" si="174"/>
        <v>56.291537231563737</v>
      </c>
      <c r="M410" s="306">
        <f t="shared" ca="1" si="190"/>
        <v>-1.494991281982899</v>
      </c>
      <c r="N410" s="304">
        <f t="shared" ca="1" si="191"/>
        <v>-85.656690866472459</v>
      </c>
      <c r="P410" s="310">
        <f t="shared" ca="1" si="192"/>
        <v>23</v>
      </c>
      <c r="Q410" s="304">
        <f t="shared" ca="1" si="193"/>
        <v>0</v>
      </c>
      <c r="R410" s="306">
        <f t="shared" ca="1" si="194"/>
        <v>0</v>
      </c>
      <c r="S410" s="307">
        <f t="shared" ca="1" si="195"/>
        <v>2.0843000000000003</v>
      </c>
      <c r="T410" s="304">
        <f t="shared" ca="1" si="175"/>
        <v>20.446983000000003</v>
      </c>
      <c r="U410" s="311">
        <f t="shared" ca="1" si="176"/>
        <v>0</v>
      </c>
      <c r="V410" s="306">
        <f t="shared" ca="1" si="177"/>
        <v>1.2250677006623816</v>
      </c>
      <c r="W410" s="304">
        <f t="shared" ca="1" si="178"/>
        <v>7.1694067232714227</v>
      </c>
      <c r="Y410" s="314" t="str">
        <f t="shared" ca="1" si="196"/>
        <v/>
      </c>
      <c r="Z410" s="315" t="str">
        <f t="shared" ca="1" si="197"/>
        <v/>
      </c>
      <c r="AA410" s="316" t="str">
        <f t="shared" ca="1" si="198"/>
        <v/>
      </c>
      <c r="AC410" s="310" t="e">
        <f t="shared" ca="1" si="199"/>
        <v>#N/A</v>
      </c>
      <c r="AD410" s="323" t="e">
        <f t="shared" ca="1" si="200"/>
        <v>#N/A</v>
      </c>
      <c r="AE410" s="324">
        <f t="shared" ca="1" si="179"/>
        <v>-0.55264319727278599</v>
      </c>
      <c r="AG410" s="306">
        <f t="shared" ca="1" si="201"/>
        <v>6.3421932983342098</v>
      </c>
      <c r="AH410" s="304">
        <f t="shared" ca="1" si="202"/>
        <v>-3.4396330129535206</v>
      </c>
    </row>
    <row r="411" spans="1:34" x14ac:dyDescent="0.2">
      <c r="A411" s="347">
        <f t="shared" ca="1" si="180"/>
        <v>1E-4</v>
      </c>
      <c r="B411" s="304">
        <f t="shared" ca="1" si="181"/>
        <v>12.01069999999995</v>
      </c>
      <c r="D411" s="306">
        <f t="shared" ca="1" si="182"/>
        <v>-0.2604984123205884</v>
      </c>
      <c r="E411" s="307">
        <f t="shared" ca="1" si="183"/>
        <v>-6.3801590802820591</v>
      </c>
      <c r="F411" s="304">
        <f t="shared" ca="1" si="184"/>
        <v>6.3854748697749297</v>
      </c>
      <c r="G411" s="306">
        <f t="shared" ca="1" si="185"/>
        <v>3.9144079038491273</v>
      </c>
      <c r="H411" s="307">
        <f t="shared" ca="1" si="186"/>
        <v>-51.53986097047099</v>
      </c>
      <c r="I411" s="304">
        <f t="shared" ca="1" si="187"/>
        <v>51.688295174954213</v>
      </c>
      <c r="J411" s="306">
        <f t="shared" ca="1" si="188"/>
        <v>56.288824373840264</v>
      </c>
      <c r="K411" s="307">
        <f t="shared" ca="1" si="189"/>
        <v>-0.55779715146903763</v>
      </c>
      <c r="L411" s="304">
        <f t="shared" ca="1" si="174"/>
        <v>56.291588066523943</v>
      </c>
      <c r="M411" s="306">
        <f t="shared" ca="1" si="190"/>
        <v>-1.4949927193208401</v>
      </c>
      <c r="N411" s="304">
        <f t="shared" ca="1" si="191"/>
        <v>-85.656773219870217</v>
      </c>
      <c r="P411" s="310">
        <f t="shared" ca="1" si="192"/>
        <v>23</v>
      </c>
      <c r="Q411" s="304">
        <f t="shared" ca="1" si="193"/>
        <v>0</v>
      </c>
      <c r="R411" s="306">
        <f t="shared" ca="1" si="194"/>
        <v>0</v>
      </c>
      <c r="S411" s="307">
        <f t="shared" ca="1" si="195"/>
        <v>2.0843000000000003</v>
      </c>
      <c r="T411" s="304">
        <f t="shared" ca="1" si="175"/>
        <v>20.446983000000003</v>
      </c>
      <c r="U411" s="311">
        <f t="shared" ca="1" si="176"/>
        <v>0</v>
      </c>
      <c r="V411" s="306">
        <f t="shared" ca="1" si="177"/>
        <v>1.2250683320568263</v>
      </c>
      <c r="W411" s="304">
        <f t="shared" ca="1" si="178"/>
        <v>7.1695863576703838</v>
      </c>
      <c r="Y411" s="314" t="str">
        <f t="shared" ca="1" si="196"/>
        <v/>
      </c>
      <c r="Z411" s="315" t="str">
        <f t="shared" ca="1" si="197"/>
        <v/>
      </c>
      <c r="AA411" s="316" t="str">
        <f t="shared" ca="1" si="198"/>
        <v/>
      </c>
      <c r="AC411" s="310" t="e">
        <f t="shared" ca="1" si="199"/>
        <v>#N/A</v>
      </c>
      <c r="AD411" s="323" t="e">
        <f t="shared" ca="1" si="200"/>
        <v>#N/A</v>
      </c>
      <c r="AE411" s="324">
        <f t="shared" ca="1" si="179"/>
        <v>-0.55779715146903763</v>
      </c>
      <c r="AG411" s="306">
        <f t="shared" ca="1" si="201"/>
        <v>6.3421081817178369</v>
      </c>
      <c r="AH411" s="304">
        <f t="shared" ca="1" si="202"/>
        <v>-3.4397191974626597</v>
      </c>
    </row>
    <row r="412" spans="1:34" x14ac:dyDescent="0.2">
      <c r="A412" s="347">
        <f t="shared" ca="1" si="180"/>
        <v>1E-4</v>
      </c>
      <c r="B412" s="304">
        <f t="shared" ca="1" si="181"/>
        <v>12.01079999999995</v>
      </c>
      <c r="D412" s="306">
        <f t="shared" ca="1" si="182"/>
        <v>-0.26050000932256456</v>
      </c>
      <c r="E412" s="307">
        <f t="shared" ca="1" si="183"/>
        <v>-6.3800727688371044</v>
      </c>
      <c r="F412" s="304">
        <f t="shared" ca="1" si="184"/>
        <v>6.3853886953351413</v>
      </c>
      <c r="G412" s="306">
        <f t="shared" ca="1" si="185"/>
        <v>3.9143818538481949</v>
      </c>
      <c r="H412" s="307">
        <f t="shared" ca="1" si="186"/>
        <v>-51.540498977747873</v>
      </c>
      <c r="I412" s="304">
        <f t="shared" ca="1" si="187"/>
        <v>51.688929377314111</v>
      </c>
      <c r="J412" s="306">
        <f t="shared" ca="1" si="188"/>
        <v>56.288824373840264</v>
      </c>
      <c r="K412" s="307">
        <f t="shared" ca="1" si="189"/>
        <v>-0.56295116946644863</v>
      </c>
      <c r="L412" s="304">
        <f t="shared" ca="1" si="174"/>
        <v>56.291639373962433</v>
      </c>
      <c r="M412" s="306">
        <f t="shared" ca="1" si="190"/>
        <v>-1.4949941566139446</v>
      </c>
      <c r="N412" s="304">
        <f t="shared" ca="1" si="191"/>
        <v>-85.656855570699037</v>
      </c>
      <c r="P412" s="310">
        <f t="shared" ca="1" si="192"/>
        <v>23</v>
      </c>
      <c r="Q412" s="304">
        <f t="shared" ca="1" si="193"/>
        <v>0</v>
      </c>
      <c r="R412" s="306">
        <f t="shared" ca="1" si="194"/>
        <v>0</v>
      </c>
      <c r="S412" s="307">
        <f t="shared" ca="1" si="195"/>
        <v>2.0843000000000003</v>
      </c>
      <c r="T412" s="304">
        <f t="shared" ca="1" si="175"/>
        <v>20.446983000000003</v>
      </c>
      <c r="U412" s="311">
        <f t="shared" ca="1" si="176"/>
        <v>0</v>
      </c>
      <c r="V412" s="306">
        <f t="shared" ca="1" si="177"/>
        <v>1.225068963459413</v>
      </c>
      <c r="W412" s="304">
        <f t="shared" ca="1" si="178"/>
        <v>7.1697659920958197</v>
      </c>
      <c r="Y412" s="314" t="str">
        <f t="shared" ca="1" si="196"/>
        <v/>
      </c>
      <c r="Z412" s="315" t="str">
        <f t="shared" ca="1" si="197"/>
        <v/>
      </c>
      <c r="AA412" s="316" t="str">
        <f t="shared" ca="1" si="198"/>
        <v/>
      </c>
      <c r="AC412" s="310" t="e">
        <f t="shared" ca="1" si="199"/>
        <v>#N/A</v>
      </c>
      <c r="AD412" s="323" t="e">
        <f t="shared" ca="1" si="200"/>
        <v>#N/A</v>
      </c>
      <c r="AE412" s="324">
        <f t="shared" ca="1" si="179"/>
        <v>-0.56295116946644863</v>
      </c>
      <c r="AG412" s="306">
        <f t="shared" ca="1" si="201"/>
        <v>6.3420230650351979</v>
      </c>
      <c r="AH412" s="304">
        <f t="shared" ca="1" si="202"/>
        <v>-3.4398053819845429</v>
      </c>
    </row>
    <row r="413" spans="1:34" x14ac:dyDescent="0.2">
      <c r="A413" s="347">
        <f t="shared" ca="1" si="180"/>
        <v>1E-4</v>
      </c>
      <c r="B413" s="304">
        <f t="shared" ca="1" si="181"/>
        <v>12.01089999999995</v>
      </c>
      <c r="D413" s="306">
        <f t="shared" ca="1" si="182"/>
        <v>-0.26050160623171348</v>
      </c>
      <c r="E413" s="307">
        <f t="shared" ca="1" si="183"/>
        <v>-6.3799864573794878</v>
      </c>
      <c r="F413" s="304">
        <f t="shared" ca="1" si="184"/>
        <v>6.3853025208830143</v>
      </c>
      <c r="G413" s="306">
        <f t="shared" ca="1" si="185"/>
        <v>3.9143558036875716</v>
      </c>
      <c r="H413" s="307">
        <f t="shared" ca="1" si="186"/>
        <v>-51.541136976393609</v>
      </c>
      <c r="I413" s="304">
        <f t="shared" ca="1" si="187"/>
        <v>51.689563571162324</v>
      </c>
      <c r="J413" s="306">
        <f t="shared" ca="1" si="188"/>
        <v>56.288824373840264</v>
      </c>
      <c r="K413" s="307">
        <f t="shared" ca="1" si="189"/>
        <v>-0.56810525126415568</v>
      </c>
      <c r="L413" s="304">
        <f t="shared" ca="1" si="174"/>
        <v>56.291691153895421</v>
      </c>
      <c r="M413" s="306">
        <f t="shared" ca="1" si="190"/>
        <v>-1.4949955938622153</v>
      </c>
      <c r="N413" s="304">
        <f t="shared" ca="1" si="191"/>
        <v>-85.656937918959059</v>
      </c>
      <c r="P413" s="310">
        <f t="shared" ca="1" si="192"/>
        <v>23</v>
      </c>
      <c r="Q413" s="304">
        <f t="shared" ca="1" si="193"/>
        <v>0</v>
      </c>
      <c r="R413" s="306">
        <f t="shared" ca="1" si="194"/>
        <v>0</v>
      </c>
      <c r="S413" s="307">
        <f t="shared" ca="1" si="195"/>
        <v>2.0843000000000003</v>
      </c>
      <c r="T413" s="304">
        <f t="shared" ca="1" si="175"/>
        <v>20.446983000000003</v>
      </c>
      <c r="U413" s="311">
        <f t="shared" ca="1" si="176"/>
        <v>0</v>
      </c>
      <c r="V413" s="306">
        <f t="shared" ca="1" si="177"/>
        <v>1.2250695948701402</v>
      </c>
      <c r="W413" s="304">
        <f t="shared" ca="1" si="178"/>
        <v>7.1699456265476389</v>
      </c>
      <c r="Y413" s="314" t="str">
        <f t="shared" ca="1" si="196"/>
        <v/>
      </c>
      <c r="Z413" s="315" t="str">
        <f t="shared" ca="1" si="197"/>
        <v/>
      </c>
      <c r="AA413" s="316" t="str">
        <f t="shared" ca="1" si="198"/>
        <v/>
      </c>
      <c r="AC413" s="310" t="e">
        <f t="shared" ca="1" si="199"/>
        <v>#N/A</v>
      </c>
      <c r="AD413" s="323" t="e">
        <f t="shared" ca="1" si="200"/>
        <v>#N/A</v>
      </c>
      <c r="AE413" s="324">
        <f t="shared" ca="1" si="179"/>
        <v>-0.56810525126415568</v>
      </c>
      <c r="AG413" s="306">
        <f t="shared" ca="1" si="201"/>
        <v>6.3419379482863416</v>
      </c>
      <c r="AH413" s="304">
        <f t="shared" ca="1" si="202"/>
        <v>-3.4398915665191283</v>
      </c>
    </row>
    <row r="414" spans="1:34" x14ac:dyDescent="0.2">
      <c r="A414" s="347">
        <f t="shared" ca="1" si="180"/>
        <v>1E-4</v>
      </c>
      <c r="B414" s="304">
        <f t="shared" ca="1" si="181"/>
        <v>12.010999999999949</v>
      </c>
      <c r="D414" s="306">
        <f t="shared" ca="1" si="182"/>
        <v>-0.2605032030480342</v>
      </c>
      <c r="E414" s="307">
        <f t="shared" ca="1" si="183"/>
        <v>-6.3799001459092537</v>
      </c>
      <c r="F414" s="304">
        <f t="shared" ca="1" si="184"/>
        <v>6.3852163464185931</v>
      </c>
      <c r="G414" s="306">
        <f t="shared" ca="1" si="185"/>
        <v>3.9143297533672667</v>
      </c>
      <c r="H414" s="307">
        <f t="shared" ca="1" si="186"/>
        <v>-51.541774966408198</v>
      </c>
      <c r="I414" s="304">
        <f t="shared" ca="1" si="187"/>
        <v>51.690197756498854</v>
      </c>
      <c r="J414" s="306">
        <f t="shared" ca="1" si="188"/>
        <v>56.288824373840264</v>
      </c>
      <c r="K414" s="307">
        <f t="shared" ca="1" si="189"/>
        <v>-0.57325939686129579</v>
      </c>
      <c r="L414" s="304">
        <f t="shared" ca="1" si="174"/>
        <v>56.291743406339116</v>
      </c>
      <c r="M414" s="306">
        <f t="shared" ca="1" si="190"/>
        <v>-1.4949970310656537</v>
      </c>
      <c r="N414" s="304">
        <f t="shared" ca="1" si="191"/>
        <v>-85.657020264650384</v>
      </c>
      <c r="P414" s="310">
        <f t="shared" ca="1" si="192"/>
        <v>23</v>
      </c>
      <c r="Q414" s="304">
        <f t="shared" ca="1" si="193"/>
        <v>0</v>
      </c>
      <c r="R414" s="306">
        <f t="shared" ca="1" si="194"/>
        <v>0</v>
      </c>
      <c r="S414" s="307">
        <f t="shared" ca="1" si="195"/>
        <v>2.0843000000000003</v>
      </c>
      <c r="T414" s="304">
        <f t="shared" ca="1" si="175"/>
        <v>20.446983000000003</v>
      </c>
      <c r="U414" s="311">
        <f t="shared" ca="1" si="176"/>
        <v>0</v>
      </c>
      <c r="V414" s="306">
        <f t="shared" ca="1" si="177"/>
        <v>1.2250702262890094</v>
      </c>
      <c r="W414" s="304">
        <f t="shared" ca="1" si="178"/>
        <v>7.1701252610257615</v>
      </c>
      <c r="Y414" s="314" t="str">
        <f t="shared" ca="1" si="196"/>
        <v/>
      </c>
      <c r="Z414" s="315" t="str">
        <f t="shared" ca="1" si="197"/>
        <v/>
      </c>
      <c r="AA414" s="316" t="str">
        <f t="shared" ca="1" si="198"/>
        <v/>
      </c>
      <c r="AC414" s="310" t="e">
        <f t="shared" ca="1" si="199"/>
        <v>#N/A</v>
      </c>
      <c r="AD414" s="323" t="e">
        <f t="shared" ca="1" si="200"/>
        <v>#N/A</v>
      </c>
      <c r="AE414" s="324">
        <f t="shared" ca="1" si="179"/>
        <v>-0.57325939686129579</v>
      </c>
      <c r="AG414" s="306">
        <f t="shared" ca="1" si="201"/>
        <v>6.3418528314713098</v>
      </c>
      <c r="AH414" s="304">
        <f t="shared" ca="1" si="202"/>
        <v>-3.4399777510663716</v>
      </c>
    </row>
    <row r="415" spans="1:34" x14ac:dyDescent="0.2">
      <c r="A415" s="347">
        <f t="shared" ca="1" si="180"/>
        <v>1E-4</v>
      </c>
      <c r="B415" s="304">
        <f t="shared" ca="1" si="181"/>
        <v>12.011099999999949</v>
      </c>
      <c r="D415" s="306">
        <f t="shared" ca="1" si="182"/>
        <v>-0.26050479977152918</v>
      </c>
      <c r="E415" s="307">
        <f t="shared" ca="1" si="183"/>
        <v>-6.3798138344264395</v>
      </c>
      <c r="F415" s="304">
        <f t="shared" ca="1" si="184"/>
        <v>6.3851301719419151</v>
      </c>
      <c r="G415" s="306">
        <f t="shared" ca="1" si="185"/>
        <v>3.9143037028872896</v>
      </c>
      <c r="H415" s="307">
        <f t="shared" ca="1" si="186"/>
        <v>-51.54241294779164</v>
      </c>
      <c r="I415" s="304">
        <f t="shared" ca="1" si="187"/>
        <v>51.690831933323693</v>
      </c>
      <c r="J415" s="306">
        <f t="shared" ca="1" si="188"/>
        <v>56.288824373840264</v>
      </c>
      <c r="K415" s="307">
        <f t="shared" ca="1" si="189"/>
        <v>-0.57841360625700577</v>
      </c>
      <c r="L415" s="304">
        <f t="shared" ca="1" si="174"/>
        <v>56.291796131309731</v>
      </c>
      <c r="M415" s="306">
        <f t="shared" ca="1" si="190"/>
        <v>-1.4949984682242625</v>
      </c>
      <c r="N415" s="304">
        <f t="shared" ca="1" si="191"/>
        <v>-85.657102607773155</v>
      </c>
      <c r="P415" s="310">
        <f t="shared" ca="1" si="192"/>
        <v>23</v>
      </c>
      <c r="Q415" s="304">
        <f t="shared" ca="1" si="193"/>
        <v>0</v>
      </c>
      <c r="R415" s="306">
        <f t="shared" ca="1" si="194"/>
        <v>0</v>
      </c>
      <c r="S415" s="307">
        <f t="shared" ca="1" si="195"/>
        <v>2.0843000000000003</v>
      </c>
      <c r="T415" s="304">
        <f t="shared" ca="1" si="175"/>
        <v>20.446983000000003</v>
      </c>
      <c r="U415" s="311">
        <f t="shared" ca="1" si="176"/>
        <v>0</v>
      </c>
      <c r="V415" s="306">
        <f t="shared" ca="1" si="177"/>
        <v>1.2250708577160201</v>
      </c>
      <c r="W415" s="304">
        <f t="shared" ca="1" si="178"/>
        <v>7.1703048955301005</v>
      </c>
      <c r="Y415" s="314" t="str">
        <f t="shared" ca="1" si="196"/>
        <v/>
      </c>
      <c r="Z415" s="315" t="str">
        <f t="shared" ca="1" si="197"/>
        <v/>
      </c>
      <c r="AA415" s="316" t="str">
        <f t="shared" ca="1" si="198"/>
        <v/>
      </c>
      <c r="AC415" s="310" t="e">
        <f t="shared" ca="1" si="199"/>
        <v>#N/A</v>
      </c>
      <c r="AD415" s="323" t="e">
        <f t="shared" ca="1" si="200"/>
        <v>#N/A</v>
      </c>
      <c r="AE415" s="324">
        <f t="shared" ca="1" si="179"/>
        <v>-0.57841360625700577</v>
      </c>
      <c r="AG415" s="306">
        <f t="shared" ca="1" si="201"/>
        <v>6.3417677145901497</v>
      </c>
      <c r="AH415" s="304">
        <f t="shared" ca="1" si="202"/>
        <v>-3.4400639356262346</v>
      </c>
    </row>
    <row r="416" spans="1:34" x14ac:dyDescent="0.2">
      <c r="A416" s="347">
        <f t="shared" ca="1" si="180"/>
        <v>1E-4</v>
      </c>
      <c r="B416" s="304">
        <f t="shared" ca="1" si="181"/>
        <v>12.011199999999949</v>
      </c>
      <c r="D416" s="306">
        <f t="shared" ca="1" si="182"/>
        <v>-0.26050639640219853</v>
      </c>
      <c r="E416" s="307">
        <f t="shared" ca="1" si="183"/>
        <v>-6.3797275229310868</v>
      </c>
      <c r="F416" s="304">
        <f t="shared" ca="1" si="184"/>
        <v>6.3850439974530229</v>
      </c>
      <c r="G416" s="306">
        <f t="shared" ca="1" si="185"/>
        <v>3.9142776522476495</v>
      </c>
      <c r="H416" s="307">
        <f t="shared" ca="1" si="186"/>
        <v>-51.543050920543934</v>
      </c>
      <c r="I416" s="304">
        <f t="shared" ca="1" si="187"/>
        <v>51.691466101636834</v>
      </c>
      <c r="J416" s="306">
        <f t="shared" ca="1" si="188"/>
        <v>56.288824373840264</v>
      </c>
      <c r="K416" s="307">
        <f t="shared" ca="1" si="189"/>
        <v>-0.58356787945042254</v>
      </c>
      <c r="L416" s="304">
        <f t="shared" ca="1" si="174"/>
        <v>56.291849328823439</v>
      </c>
      <c r="M416" s="306">
        <f t="shared" ca="1" si="190"/>
        <v>-1.4949999053380438</v>
      </c>
      <c r="N416" s="304">
        <f t="shared" ca="1" si="191"/>
        <v>-85.657184948327497</v>
      </c>
      <c r="P416" s="310">
        <f t="shared" ca="1" si="192"/>
        <v>23</v>
      </c>
      <c r="Q416" s="304">
        <f t="shared" ca="1" si="193"/>
        <v>0</v>
      </c>
      <c r="R416" s="306">
        <f t="shared" ca="1" si="194"/>
        <v>0</v>
      </c>
      <c r="S416" s="307">
        <f t="shared" ca="1" si="195"/>
        <v>2.0843000000000003</v>
      </c>
      <c r="T416" s="304">
        <f t="shared" ca="1" si="175"/>
        <v>20.446983000000003</v>
      </c>
      <c r="U416" s="311">
        <f t="shared" ca="1" si="176"/>
        <v>0</v>
      </c>
      <c r="V416" s="306">
        <f t="shared" ca="1" si="177"/>
        <v>1.2250714891511714</v>
      </c>
      <c r="W416" s="304">
        <f t="shared" ca="1" si="178"/>
        <v>7.1704845300605671</v>
      </c>
      <c r="Y416" s="314" t="str">
        <f t="shared" ca="1" si="196"/>
        <v/>
      </c>
      <c r="Z416" s="315" t="str">
        <f t="shared" ca="1" si="197"/>
        <v/>
      </c>
      <c r="AA416" s="316" t="str">
        <f t="shared" ca="1" si="198"/>
        <v/>
      </c>
      <c r="AC416" s="310" t="e">
        <f t="shared" ca="1" si="199"/>
        <v>#N/A</v>
      </c>
      <c r="AD416" s="323" t="e">
        <f t="shared" ca="1" si="200"/>
        <v>#N/A</v>
      </c>
      <c r="AE416" s="324">
        <f t="shared" ca="1" si="179"/>
        <v>-0.58356787945042254</v>
      </c>
      <c r="AG416" s="306">
        <f t="shared" ca="1" si="201"/>
        <v>6.3416825976429028</v>
      </c>
      <c r="AH416" s="304">
        <f t="shared" ca="1" si="202"/>
        <v>-3.4401501201986755</v>
      </c>
    </row>
    <row r="417" spans="1:34" x14ac:dyDescent="0.2">
      <c r="A417" s="347">
        <f t="shared" ca="1" si="180"/>
        <v>1E-4</v>
      </c>
      <c r="B417" s="304">
        <f t="shared" ca="1" si="181"/>
        <v>12.011299999999949</v>
      </c>
      <c r="D417" s="306">
        <f t="shared" ca="1" si="182"/>
        <v>-0.26050799294004279</v>
      </c>
      <c r="E417" s="307">
        <f t="shared" ca="1" si="183"/>
        <v>-6.3796412114232393</v>
      </c>
      <c r="F417" s="304">
        <f t="shared" ca="1" si="184"/>
        <v>6.384957822951959</v>
      </c>
      <c r="G417" s="306">
        <f t="shared" ca="1" si="185"/>
        <v>3.9142516014483553</v>
      </c>
      <c r="H417" s="307">
        <f t="shared" ca="1" si="186"/>
        <v>-51.543688884665073</v>
      </c>
      <c r="I417" s="304">
        <f t="shared" ca="1" si="187"/>
        <v>51.69210026143827</v>
      </c>
      <c r="J417" s="306">
        <f t="shared" ca="1" si="188"/>
        <v>56.288824373840264</v>
      </c>
      <c r="K417" s="307">
        <f t="shared" ca="1" si="189"/>
        <v>-0.58872221644068301</v>
      </c>
      <c r="L417" s="304">
        <f t="shared" ca="1" si="174"/>
        <v>56.291902998896433</v>
      </c>
      <c r="M417" s="306">
        <f t="shared" ca="1" si="190"/>
        <v>-1.4950013424069994</v>
      </c>
      <c r="N417" s="304">
        <f t="shared" ca="1" si="191"/>
        <v>-85.657267286313527</v>
      </c>
      <c r="P417" s="310">
        <f t="shared" ca="1" si="192"/>
        <v>23</v>
      </c>
      <c r="Q417" s="304">
        <f t="shared" ca="1" si="193"/>
        <v>0</v>
      </c>
      <c r="R417" s="306">
        <f t="shared" ca="1" si="194"/>
        <v>0</v>
      </c>
      <c r="S417" s="307">
        <f t="shared" ca="1" si="195"/>
        <v>2.0843000000000003</v>
      </c>
      <c r="T417" s="304">
        <f t="shared" ca="1" si="175"/>
        <v>20.446983000000003</v>
      </c>
      <c r="U417" s="311">
        <f t="shared" ca="1" si="176"/>
        <v>0</v>
      </c>
      <c r="V417" s="306">
        <f t="shared" ca="1" si="177"/>
        <v>1.2250721205944641</v>
      </c>
      <c r="W417" s="304">
        <f t="shared" ca="1" si="178"/>
        <v>7.1706641646170795</v>
      </c>
      <c r="Y417" s="314" t="str">
        <f t="shared" ca="1" si="196"/>
        <v/>
      </c>
      <c r="Z417" s="315" t="str">
        <f t="shared" ca="1" si="197"/>
        <v/>
      </c>
      <c r="AA417" s="316" t="str">
        <f t="shared" ca="1" si="198"/>
        <v/>
      </c>
      <c r="AC417" s="310" t="e">
        <f t="shared" ca="1" si="199"/>
        <v>#N/A</v>
      </c>
      <c r="AD417" s="323" t="e">
        <f t="shared" ca="1" si="200"/>
        <v>#N/A</v>
      </c>
      <c r="AE417" s="324">
        <f t="shared" ca="1" si="179"/>
        <v>-0.58872221644068301</v>
      </c>
      <c r="AG417" s="306">
        <f t="shared" ca="1" si="201"/>
        <v>6.3415974806296189</v>
      </c>
      <c r="AH417" s="304">
        <f t="shared" ca="1" si="202"/>
        <v>-3.4402363047836522</v>
      </c>
    </row>
    <row r="418" spans="1:34" x14ac:dyDescent="0.2">
      <c r="A418" s="347">
        <f t="shared" ca="1" si="180"/>
        <v>1E-4</v>
      </c>
      <c r="B418" s="304">
        <f t="shared" ca="1" si="181"/>
        <v>12.011399999999949</v>
      </c>
      <c r="D418" s="306">
        <f t="shared" ca="1" si="182"/>
        <v>-0.26050958938506452</v>
      </c>
      <c r="E418" s="307">
        <f t="shared" ca="1" si="183"/>
        <v>-6.379554899902935</v>
      </c>
      <c r="F418" s="304">
        <f t="shared" ca="1" si="184"/>
        <v>6.3848716484387626</v>
      </c>
      <c r="G418" s="306">
        <f t="shared" ca="1" si="185"/>
        <v>3.9142255504894168</v>
      </c>
      <c r="H418" s="307">
        <f t="shared" ca="1" si="186"/>
        <v>-51.544326840155065</v>
      </c>
      <c r="I418" s="304">
        <f t="shared" ca="1" si="187"/>
        <v>51.692734412728008</v>
      </c>
      <c r="J418" s="306">
        <f t="shared" ca="1" si="188"/>
        <v>56.288824373840264</v>
      </c>
      <c r="K418" s="307">
        <f t="shared" ca="1" si="189"/>
        <v>-0.59387661722692398</v>
      </c>
      <c r="L418" s="304">
        <f t="shared" ca="1" si="174"/>
        <v>56.291957141544856</v>
      </c>
      <c r="M418" s="306">
        <f t="shared" ca="1" si="190"/>
        <v>-1.495002779431132</v>
      </c>
      <c r="N418" s="304">
        <f t="shared" ca="1" si="191"/>
        <v>-85.657349621731385</v>
      </c>
      <c r="P418" s="310">
        <f t="shared" ca="1" si="192"/>
        <v>23</v>
      </c>
      <c r="Q418" s="304">
        <f t="shared" ca="1" si="193"/>
        <v>0</v>
      </c>
      <c r="R418" s="306">
        <f t="shared" ca="1" si="194"/>
        <v>0</v>
      </c>
      <c r="S418" s="307">
        <f t="shared" ca="1" si="195"/>
        <v>2.0843000000000003</v>
      </c>
      <c r="T418" s="304">
        <f t="shared" ca="1" si="175"/>
        <v>20.446983000000003</v>
      </c>
      <c r="U418" s="311">
        <f t="shared" ca="1" si="176"/>
        <v>0</v>
      </c>
      <c r="V418" s="306">
        <f t="shared" ca="1" si="177"/>
        <v>1.2250727520458973</v>
      </c>
      <c r="W418" s="304">
        <f t="shared" ca="1" si="178"/>
        <v>7.1708437991995462</v>
      </c>
      <c r="Y418" s="314" t="str">
        <f t="shared" ca="1" si="196"/>
        <v/>
      </c>
      <c r="Z418" s="315" t="str">
        <f t="shared" ca="1" si="197"/>
        <v/>
      </c>
      <c r="AA418" s="316" t="str">
        <f t="shared" ca="1" si="198"/>
        <v/>
      </c>
      <c r="AC418" s="310" t="e">
        <f t="shared" ca="1" si="199"/>
        <v>#N/A</v>
      </c>
      <c r="AD418" s="323" t="e">
        <f t="shared" ca="1" si="200"/>
        <v>#N/A</v>
      </c>
      <c r="AE418" s="324">
        <f t="shared" ca="1" si="179"/>
        <v>-0.59387661722692398</v>
      </c>
      <c r="AG418" s="306">
        <f t="shared" ca="1" si="201"/>
        <v>6.3415123635503372</v>
      </c>
      <c r="AH418" s="304">
        <f t="shared" ca="1" si="202"/>
        <v>-3.4403224893811251</v>
      </c>
    </row>
    <row r="419" spans="1:34" x14ac:dyDescent="0.2">
      <c r="A419" s="347">
        <f t="shared" ca="1" si="180"/>
        <v>1E-4</v>
      </c>
      <c r="B419" s="304">
        <f t="shared" ca="1" si="181"/>
        <v>12.011499999999948</v>
      </c>
      <c r="D419" s="306">
        <f t="shared" ca="1" si="182"/>
        <v>-0.26051118573726273</v>
      </c>
      <c r="E419" s="307">
        <f t="shared" ca="1" si="183"/>
        <v>-6.3794685883702194</v>
      </c>
      <c r="F419" s="304">
        <f t="shared" ca="1" si="184"/>
        <v>6.3847854739134782</v>
      </c>
      <c r="G419" s="306">
        <f t="shared" ca="1" si="185"/>
        <v>3.9141994993708429</v>
      </c>
      <c r="H419" s="307">
        <f t="shared" ca="1" si="186"/>
        <v>-51.544964787013903</v>
      </c>
      <c r="I419" s="304">
        <f t="shared" ca="1" si="187"/>
        <v>51.693368555506019</v>
      </c>
      <c r="J419" s="306">
        <f t="shared" ca="1" si="188"/>
        <v>56.288824373840264</v>
      </c>
      <c r="K419" s="307">
        <f t="shared" ca="1" si="189"/>
        <v>-0.59903108180828246</v>
      </c>
      <c r="L419" s="304">
        <f t="shared" ca="1" si="174"/>
        <v>56.292011756784873</v>
      </c>
      <c r="M419" s="306">
        <f t="shared" ca="1" si="190"/>
        <v>-1.4950042164104433</v>
      </c>
      <c r="N419" s="304">
        <f t="shared" ca="1" si="191"/>
        <v>-85.65743195458117</v>
      </c>
      <c r="P419" s="310">
        <f t="shared" ca="1" si="192"/>
        <v>23</v>
      </c>
      <c r="Q419" s="304">
        <f t="shared" ca="1" si="193"/>
        <v>0</v>
      </c>
      <c r="R419" s="306">
        <f t="shared" ca="1" si="194"/>
        <v>0</v>
      </c>
      <c r="S419" s="307">
        <f t="shared" ca="1" si="195"/>
        <v>2.0843000000000003</v>
      </c>
      <c r="T419" s="304">
        <f t="shared" ca="1" si="175"/>
        <v>20.446983000000003</v>
      </c>
      <c r="U419" s="311">
        <f t="shared" ca="1" si="176"/>
        <v>0</v>
      </c>
      <c r="V419" s="306">
        <f t="shared" ca="1" si="177"/>
        <v>1.2250733835054717</v>
      </c>
      <c r="W419" s="304">
        <f t="shared" ca="1" si="178"/>
        <v>7.1710234338078847</v>
      </c>
      <c r="Y419" s="314" t="str">
        <f t="shared" ca="1" si="196"/>
        <v/>
      </c>
      <c r="Z419" s="315" t="str">
        <f t="shared" ca="1" si="197"/>
        <v/>
      </c>
      <c r="AA419" s="316" t="str">
        <f t="shared" ca="1" si="198"/>
        <v/>
      </c>
      <c r="AC419" s="310" t="e">
        <f t="shared" ca="1" si="199"/>
        <v>#N/A</v>
      </c>
      <c r="AD419" s="323" t="e">
        <f t="shared" ca="1" si="200"/>
        <v>#N/A</v>
      </c>
      <c r="AE419" s="324">
        <f t="shared" ca="1" si="179"/>
        <v>-0.59903108180828246</v>
      </c>
      <c r="AG419" s="306">
        <f t="shared" ca="1" si="201"/>
        <v>6.3414272464051056</v>
      </c>
      <c r="AH419" s="304">
        <f t="shared" ca="1" si="202"/>
        <v>-3.4404086739910498</v>
      </c>
    </row>
    <row r="420" spans="1:34" x14ac:dyDescent="0.2">
      <c r="A420" s="347">
        <f t="shared" ca="1" si="180"/>
        <v>1E-4</v>
      </c>
      <c r="B420" s="304">
        <f t="shared" ca="1" si="181"/>
        <v>12.011599999999948</v>
      </c>
      <c r="D420" s="306">
        <f t="shared" ca="1" si="182"/>
        <v>-0.26051278199663985</v>
      </c>
      <c r="E420" s="307">
        <f t="shared" ca="1" si="183"/>
        <v>-6.3793822768251314</v>
      </c>
      <c r="F420" s="304">
        <f t="shared" ca="1" si="184"/>
        <v>6.3846992993761447</v>
      </c>
      <c r="G420" s="306">
        <f t="shared" ca="1" si="185"/>
        <v>3.9141734480926433</v>
      </c>
      <c r="H420" s="307">
        <f t="shared" ca="1" si="186"/>
        <v>-51.545602725241586</v>
      </c>
      <c r="I420" s="304">
        <f t="shared" ca="1" si="187"/>
        <v>51.694002689772304</v>
      </c>
      <c r="J420" s="306">
        <f t="shared" ca="1" si="188"/>
        <v>56.288824373840264</v>
      </c>
      <c r="K420" s="307">
        <f t="shared" ca="1" si="189"/>
        <v>-0.60418561018389527</v>
      </c>
      <c r="L420" s="304">
        <f t="shared" ca="1" si="174"/>
        <v>56.292066844632622</v>
      </c>
      <c r="M420" s="306">
        <f t="shared" ca="1" si="190"/>
        <v>-1.4950056533449361</v>
      </c>
      <c r="N420" s="304">
        <f t="shared" ca="1" si="191"/>
        <v>-85.657514284863041</v>
      </c>
      <c r="P420" s="310">
        <f t="shared" ca="1" si="192"/>
        <v>23</v>
      </c>
      <c r="Q420" s="304">
        <f t="shared" ca="1" si="193"/>
        <v>0</v>
      </c>
      <c r="R420" s="306">
        <f t="shared" ca="1" si="194"/>
        <v>0</v>
      </c>
      <c r="S420" s="307">
        <f t="shared" ca="1" si="195"/>
        <v>2.0843000000000003</v>
      </c>
      <c r="T420" s="304">
        <f t="shared" ca="1" si="175"/>
        <v>20.446983000000003</v>
      </c>
      <c r="U420" s="311">
        <f t="shared" ca="1" si="176"/>
        <v>0</v>
      </c>
      <c r="V420" s="306">
        <f t="shared" ca="1" si="177"/>
        <v>1.2250740149731867</v>
      </c>
      <c r="W420" s="304">
        <f t="shared" ca="1" si="178"/>
        <v>7.1712030684420069</v>
      </c>
      <c r="Y420" s="314" t="str">
        <f t="shared" ca="1" si="196"/>
        <v/>
      </c>
      <c r="Z420" s="315" t="str">
        <f t="shared" ca="1" si="197"/>
        <v/>
      </c>
      <c r="AA420" s="316" t="str">
        <f t="shared" ca="1" si="198"/>
        <v/>
      </c>
      <c r="AC420" s="310" t="e">
        <f t="shared" ca="1" si="199"/>
        <v>#N/A</v>
      </c>
      <c r="AD420" s="323" t="e">
        <f t="shared" ca="1" si="200"/>
        <v>#N/A</v>
      </c>
      <c r="AE420" s="324">
        <f t="shared" ca="1" si="179"/>
        <v>-0.60418561018389527</v>
      </c>
      <c r="AG420" s="306">
        <f t="shared" ca="1" si="201"/>
        <v>6.3413421291939667</v>
      </c>
      <c r="AH420" s="304">
        <f t="shared" ca="1" si="202"/>
        <v>-3.4404948586133877</v>
      </c>
    </row>
    <row r="421" spans="1:34" x14ac:dyDescent="0.2">
      <c r="A421" s="347">
        <f t="shared" ca="1" si="180"/>
        <v>1E-4</v>
      </c>
      <c r="B421" s="304">
        <f t="shared" ca="1" si="181"/>
        <v>12.011699999999948</v>
      </c>
      <c r="D421" s="306">
        <f t="shared" ca="1" si="182"/>
        <v>-0.26051437816319506</v>
      </c>
      <c r="E421" s="307">
        <f t="shared" ca="1" si="183"/>
        <v>-6.3792959652677128</v>
      </c>
      <c r="F421" s="304">
        <f t="shared" ca="1" si="184"/>
        <v>6.384613124826803</v>
      </c>
      <c r="G421" s="306">
        <f t="shared" ca="1" si="185"/>
        <v>3.914147396654827</v>
      </c>
      <c r="H421" s="307">
        <f t="shared" ca="1" si="186"/>
        <v>-51.546240654838115</v>
      </c>
      <c r="I421" s="304">
        <f t="shared" ca="1" si="187"/>
        <v>51.694636815526863</v>
      </c>
      <c r="J421" s="306">
        <f t="shared" ca="1" si="188"/>
        <v>56.288824373840264</v>
      </c>
      <c r="K421" s="307">
        <f t="shared" ca="1" si="189"/>
        <v>-0.60934020235289921</v>
      </c>
      <c r="L421" s="304">
        <f t="shared" ca="1" si="174"/>
        <v>56.29212240510423</v>
      </c>
      <c r="M421" s="306">
        <f t="shared" ca="1" si="190"/>
        <v>-1.4950070902346118</v>
      </c>
      <c r="N421" s="304">
        <f t="shared" ca="1" si="191"/>
        <v>-85.65759661257708</v>
      </c>
      <c r="P421" s="310">
        <f t="shared" ca="1" si="192"/>
        <v>23</v>
      </c>
      <c r="Q421" s="304">
        <f t="shared" ca="1" si="193"/>
        <v>0</v>
      </c>
      <c r="R421" s="306">
        <f t="shared" ca="1" si="194"/>
        <v>0</v>
      </c>
      <c r="S421" s="307">
        <f t="shared" ca="1" si="195"/>
        <v>2.0843000000000003</v>
      </c>
      <c r="T421" s="304">
        <f t="shared" ca="1" si="175"/>
        <v>20.446983000000003</v>
      </c>
      <c r="U421" s="311">
        <f t="shared" ca="1" si="176"/>
        <v>0</v>
      </c>
      <c r="V421" s="306">
        <f t="shared" ca="1" si="177"/>
        <v>1.2250746464490425</v>
      </c>
      <c r="W421" s="304">
        <f t="shared" ca="1" si="178"/>
        <v>7.1713827031018287</v>
      </c>
      <c r="Y421" s="314" t="str">
        <f t="shared" ca="1" si="196"/>
        <v/>
      </c>
      <c r="Z421" s="315" t="str">
        <f t="shared" ca="1" si="197"/>
        <v/>
      </c>
      <c r="AA421" s="316" t="str">
        <f t="shared" ca="1" si="198"/>
        <v/>
      </c>
      <c r="AC421" s="310" t="e">
        <f t="shared" ca="1" si="199"/>
        <v>#N/A</v>
      </c>
      <c r="AD421" s="323" t="e">
        <f t="shared" ca="1" si="200"/>
        <v>#N/A</v>
      </c>
      <c r="AE421" s="324">
        <f t="shared" ca="1" si="179"/>
        <v>-0.60934020235289921</v>
      </c>
      <c r="AG421" s="306">
        <f t="shared" ca="1" si="201"/>
        <v>6.3412570119169702</v>
      </c>
      <c r="AH421" s="304">
        <f t="shared" ca="1" si="202"/>
        <v>-3.4405810432480957</v>
      </c>
    </row>
    <row r="422" spans="1:34" x14ac:dyDescent="0.2">
      <c r="A422" s="347">
        <f t="shared" ca="1" si="180"/>
        <v>1E-4</v>
      </c>
      <c r="B422" s="304">
        <f t="shared" ca="1" si="181"/>
        <v>12.011799999999948</v>
      </c>
      <c r="D422" s="306">
        <f t="shared" ca="1" si="182"/>
        <v>-0.26051597423693151</v>
      </c>
      <c r="E422" s="307">
        <f t="shared" ca="1" si="183"/>
        <v>-6.3792096536980054</v>
      </c>
      <c r="F422" s="304">
        <f t="shared" ca="1" si="184"/>
        <v>6.3845269502654967</v>
      </c>
      <c r="G422" s="306">
        <f t="shared" ca="1" si="185"/>
        <v>3.9141213450574033</v>
      </c>
      <c r="H422" s="307">
        <f t="shared" ca="1" si="186"/>
        <v>-51.546878575803483</v>
      </c>
      <c r="I422" s="304">
        <f t="shared" ca="1" si="187"/>
        <v>51.695270932769688</v>
      </c>
      <c r="J422" s="306">
        <f t="shared" ca="1" si="188"/>
        <v>56.288824373840264</v>
      </c>
      <c r="K422" s="307">
        <f t="shared" ca="1" si="189"/>
        <v>-0.61449485831443129</v>
      </c>
      <c r="L422" s="304">
        <f t="shared" ca="1" si="174"/>
        <v>56.292178438215807</v>
      </c>
      <c r="M422" s="306">
        <f t="shared" ca="1" si="190"/>
        <v>-1.4950085270794731</v>
      </c>
      <c r="N422" s="304">
        <f t="shared" ca="1" si="191"/>
        <v>-85.657678937723446</v>
      </c>
      <c r="P422" s="310">
        <f t="shared" ca="1" si="192"/>
        <v>23</v>
      </c>
      <c r="Q422" s="304">
        <f t="shared" ca="1" si="193"/>
        <v>0</v>
      </c>
      <c r="R422" s="306">
        <f t="shared" ca="1" si="194"/>
        <v>0</v>
      </c>
      <c r="S422" s="307">
        <f t="shared" ca="1" si="195"/>
        <v>2.0843000000000003</v>
      </c>
      <c r="T422" s="304">
        <f t="shared" ca="1" si="175"/>
        <v>20.446983000000003</v>
      </c>
      <c r="U422" s="311">
        <f t="shared" ca="1" si="176"/>
        <v>0</v>
      </c>
      <c r="V422" s="306">
        <f t="shared" ca="1" si="177"/>
        <v>1.2250752779330387</v>
      </c>
      <c r="W422" s="304">
        <f t="shared" ca="1" si="178"/>
        <v>7.1715623377872646</v>
      </c>
      <c r="Y422" s="314" t="str">
        <f t="shared" ca="1" si="196"/>
        <v/>
      </c>
      <c r="Z422" s="315" t="str">
        <f t="shared" ca="1" si="197"/>
        <v/>
      </c>
      <c r="AA422" s="316" t="str">
        <f t="shared" ca="1" si="198"/>
        <v/>
      </c>
      <c r="AC422" s="310" t="e">
        <f t="shared" ca="1" si="199"/>
        <v>#N/A</v>
      </c>
      <c r="AD422" s="323" t="e">
        <f t="shared" ca="1" si="200"/>
        <v>#N/A</v>
      </c>
      <c r="AE422" s="324">
        <f t="shared" ca="1" si="179"/>
        <v>-0.61449485831443129</v>
      </c>
      <c r="AG422" s="306">
        <f t="shared" ca="1" si="201"/>
        <v>6.3411718945741562</v>
      </c>
      <c r="AH422" s="304">
        <f t="shared" ca="1" si="202"/>
        <v>-3.4406672278951338</v>
      </c>
    </row>
    <row r="423" spans="1:34" x14ac:dyDescent="0.2">
      <c r="A423" s="347">
        <f t="shared" ca="1" si="180"/>
        <v>1E-4</v>
      </c>
      <c r="B423" s="304">
        <f t="shared" ca="1" si="181"/>
        <v>12.011899999999947</v>
      </c>
      <c r="D423" s="306">
        <f t="shared" ca="1" si="182"/>
        <v>-0.26051757021784855</v>
      </c>
      <c r="E423" s="307">
        <f t="shared" ca="1" si="183"/>
        <v>-6.3791233421160483</v>
      </c>
      <c r="F423" s="304">
        <f t="shared" ca="1" si="184"/>
        <v>6.3844407756922639</v>
      </c>
      <c r="G423" s="306">
        <f t="shared" ca="1" si="185"/>
        <v>3.9140952933003814</v>
      </c>
      <c r="H423" s="307">
        <f t="shared" ca="1" si="186"/>
        <v>-51.547516488137695</v>
      </c>
      <c r="I423" s="304">
        <f t="shared" ca="1" si="187"/>
        <v>51.695905041500758</v>
      </c>
      <c r="J423" s="306">
        <f t="shared" ca="1" si="188"/>
        <v>56.288824373840264</v>
      </c>
      <c r="K423" s="307">
        <f t="shared" ca="1" si="189"/>
        <v>-0.61964957806762833</v>
      </c>
      <c r="L423" s="304">
        <f t="shared" ca="1" si="174"/>
        <v>56.292234943983466</v>
      </c>
      <c r="M423" s="306">
        <f t="shared" ca="1" si="190"/>
        <v>-1.495009963879522</v>
      </c>
      <c r="N423" s="304">
        <f t="shared" ca="1" si="191"/>
        <v>-85.657761260302266</v>
      </c>
      <c r="P423" s="310">
        <f t="shared" ca="1" si="192"/>
        <v>23</v>
      </c>
      <c r="Q423" s="304">
        <f t="shared" ca="1" si="193"/>
        <v>0</v>
      </c>
      <c r="R423" s="306">
        <f t="shared" ca="1" si="194"/>
        <v>0</v>
      </c>
      <c r="S423" s="307">
        <f t="shared" ca="1" si="195"/>
        <v>2.0843000000000003</v>
      </c>
      <c r="T423" s="304">
        <f t="shared" ca="1" si="175"/>
        <v>20.446983000000003</v>
      </c>
      <c r="U423" s="311">
        <f t="shared" ca="1" si="176"/>
        <v>0</v>
      </c>
      <c r="V423" s="306">
        <f t="shared" ca="1" si="177"/>
        <v>1.2250759094251757</v>
      </c>
      <c r="W423" s="304">
        <f t="shared" ca="1" si="178"/>
        <v>7.171741972498225</v>
      </c>
      <c r="Y423" s="314" t="str">
        <f t="shared" ca="1" si="196"/>
        <v/>
      </c>
      <c r="Z423" s="315" t="str">
        <f t="shared" ca="1" si="197"/>
        <v/>
      </c>
      <c r="AA423" s="316" t="str">
        <f t="shared" ca="1" si="198"/>
        <v/>
      </c>
      <c r="AC423" s="310" t="e">
        <f t="shared" ca="1" si="199"/>
        <v>#N/A</v>
      </c>
      <c r="AD423" s="323" t="e">
        <f t="shared" ca="1" si="200"/>
        <v>#N/A</v>
      </c>
      <c r="AE423" s="324">
        <f t="shared" ca="1" si="179"/>
        <v>-0.61964957806762833</v>
      </c>
      <c r="AG423" s="306">
        <f t="shared" ca="1" si="201"/>
        <v>6.3410867771655699</v>
      </c>
      <c r="AH423" s="304">
        <f t="shared" ca="1" si="202"/>
        <v>-3.4407534125544612</v>
      </c>
    </row>
    <row r="424" spans="1:34" x14ac:dyDescent="0.2">
      <c r="A424" s="347">
        <f t="shared" ca="1" si="180"/>
        <v>1E-4</v>
      </c>
      <c r="B424" s="304">
        <f t="shared" ca="1" si="181"/>
        <v>12.011999999999947</v>
      </c>
      <c r="D424" s="306">
        <f t="shared" ca="1" si="182"/>
        <v>-0.26051916610594744</v>
      </c>
      <c r="E424" s="307">
        <f t="shared" ca="1" si="183"/>
        <v>-6.3790370305218858</v>
      </c>
      <c r="F424" s="304">
        <f t="shared" ca="1" si="184"/>
        <v>6.3843546011071481</v>
      </c>
      <c r="G424" s="306">
        <f t="shared" ca="1" si="185"/>
        <v>3.9140692413837708</v>
      </c>
      <c r="H424" s="307">
        <f t="shared" ca="1" si="186"/>
        <v>-51.548154391840747</v>
      </c>
      <c r="I424" s="304">
        <f t="shared" ca="1" si="187"/>
        <v>51.696539141720081</v>
      </c>
      <c r="J424" s="306">
        <f t="shared" ca="1" si="188"/>
        <v>56.288824373840264</v>
      </c>
      <c r="K424" s="307">
        <f t="shared" ca="1" si="189"/>
        <v>-0.62480436161162722</v>
      </c>
      <c r="L424" s="304">
        <f t="shared" ca="1" si="174"/>
        <v>56.292291922423296</v>
      </c>
      <c r="M424" s="306">
        <f t="shared" ca="1" si="190"/>
        <v>-1.495011400634761</v>
      </c>
      <c r="N424" s="304">
        <f t="shared" ca="1" si="191"/>
        <v>-85.657843580313653</v>
      </c>
      <c r="P424" s="310">
        <f t="shared" ca="1" si="192"/>
        <v>23</v>
      </c>
      <c r="Q424" s="304">
        <f t="shared" ca="1" si="193"/>
        <v>0</v>
      </c>
      <c r="R424" s="306">
        <f t="shared" ca="1" si="194"/>
        <v>0</v>
      </c>
      <c r="S424" s="307">
        <f t="shared" ca="1" si="195"/>
        <v>2.0843000000000003</v>
      </c>
      <c r="T424" s="304">
        <f t="shared" ca="1" si="175"/>
        <v>20.446983000000003</v>
      </c>
      <c r="U424" s="311">
        <f t="shared" ca="1" si="176"/>
        <v>0</v>
      </c>
      <c r="V424" s="306">
        <f t="shared" ca="1" si="177"/>
        <v>1.2250765409254527</v>
      </c>
      <c r="W424" s="304">
        <f t="shared" ca="1" si="178"/>
        <v>7.1719216072346228</v>
      </c>
      <c r="Y424" s="314" t="str">
        <f t="shared" ca="1" si="196"/>
        <v/>
      </c>
      <c r="Z424" s="315" t="str">
        <f t="shared" ca="1" si="197"/>
        <v/>
      </c>
      <c r="AA424" s="316" t="str">
        <f t="shared" ca="1" si="198"/>
        <v/>
      </c>
      <c r="AC424" s="310" t="e">
        <f t="shared" ca="1" si="199"/>
        <v>#N/A</v>
      </c>
      <c r="AD424" s="323" t="e">
        <f t="shared" ca="1" si="200"/>
        <v>#N/A</v>
      </c>
      <c r="AE424" s="324">
        <f t="shared" ca="1" si="179"/>
        <v>-0.62480436161162722</v>
      </c>
      <c r="AG424" s="306">
        <f t="shared" ca="1" si="201"/>
        <v>6.3410016596912584</v>
      </c>
      <c r="AH424" s="304">
        <f t="shared" ca="1" si="202"/>
        <v>-3.4408395972260348</v>
      </c>
    </row>
    <row r="425" spans="1:34" x14ac:dyDescent="0.2">
      <c r="A425" s="347">
        <f t="shared" ca="1" si="180"/>
        <v>1E-4</v>
      </c>
      <c r="B425" s="304">
        <f t="shared" ca="1" si="181"/>
        <v>12.012099999999947</v>
      </c>
      <c r="D425" s="306">
        <f t="shared" ca="1" si="182"/>
        <v>-0.26052076190122825</v>
      </c>
      <c r="E425" s="307">
        <f t="shared" ca="1" si="183"/>
        <v>-6.3789507189155596</v>
      </c>
      <c r="F425" s="304">
        <f t="shared" ca="1" si="184"/>
        <v>6.3842684265101921</v>
      </c>
      <c r="G425" s="306">
        <f t="shared" ca="1" si="185"/>
        <v>3.9140431893075807</v>
      </c>
      <c r="H425" s="307">
        <f t="shared" ca="1" si="186"/>
        <v>-51.548792286912636</v>
      </c>
      <c r="I425" s="304">
        <f t="shared" ca="1" si="187"/>
        <v>51.697173233427655</v>
      </c>
      <c r="J425" s="306">
        <f t="shared" ca="1" si="188"/>
        <v>56.288824373840264</v>
      </c>
      <c r="K425" s="307">
        <f t="shared" ca="1" si="189"/>
        <v>-0.6299592089455649</v>
      </c>
      <c r="L425" s="304">
        <f t="shared" ca="1" si="174"/>
        <v>56.292349373551367</v>
      </c>
      <c r="M425" s="306">
        <f t="shared" ca="1" si="190"/>
        <v>-1.4950128373451919</v>
      </c>
      <c r="N425" s="304">
        <f t="shared" ca="1" si="191"/>
        <v>-85.657925897757721</v>
      </c>
      <c r="P425" s="310">
        <f t="shared" ca="1" si="192"/>
        <v>23</v>
      </c>
      <c r="Q425" s="304">
        <f t="shared" ca="1" si="193"/>
        <v>0</v>
      </c>
      <c r="R425" s="306">
        <f t="shared" ca="1" si="194"/>
        <v>0</v>
      </c>
      <c r="S425" s="307">
        <f t="shared" ca="1" si="195"/>
        <v>2.0843000000000003</v>
      </c>
      <c r="T425" s="304">
        <f t="shared" ca="1" si="175"/>
        <v>20.446983000000003</v>
      </c>
      <c r="U425" s="311">
        <f t="shared" ca="1" si="176"/>
        <v>0</v>
      </c>
      <c r="V425" s="306">
        <f t="shared" ca="1" si="177"/>
        <v>1.2250771724338703</v>
      </c>
      <c r="W425" s="304">
        <f t="shared" ca="1" si="178"/>
        <v>7.1721012419963799</v>
      </c>
      <c r="Y425" s="314" t="str">
        <f t="shared" ca="1" si="196"/>
        <v/>
      </c>
      <c r="Z425" s="315" t="str">
        <f t="shared" ca="1" si="197"/>
        <v/>
      </c>
      <c r="AA425" s="316" t="str">
        <f t="shared" ca="1" si="198"/>
        <v/>
      </c>
      <c r="AC425" s="310" t="e">
        <f t="shared" ca="1" si="199"/>
        <v>#N/A</v>
      </c>
      <c r="AD425" s="323" t="e">
        <f t="shared" ca="1" si="200"/>
        <v>#N/A</v>
      </c>
      <c r="AE425" s="324">
        <f t="shared" ca="1" si="179"/>
        <v>-0.6299592089455649</v>
      </c>
      <c r="AG425" s="306">
        <f t="shared" ca="1" si="201"/>
        <v>6.340916542151267</v>
      </c>
      <c r="AH425" s="304">
        <f t="shared" ca="1" si="202"/>
        <v>-3.4409257819098125</v>
      </c>
    </row>
    <row r="426" spans="1:34" x14ac:dyDescent="0.2">
      <c r="A426" s="347">
        <f t="shared" ca="1" si="180"/>
        <v>1E-4</v>
      </c>
      <c r="B426" s="304">
        <f t="shared" ca="1" si="181"/>
        <v>12.012199999999947</v>
      </c>
      <c r="D426" s="306">
        <f t="shared" ca="1" si="182"/>
        <v>-0.26052235760369352</v>
      </c>
      <c r="E426" s="307">
        <f t="shared" ca="1" si="183"/>
        <v>-6.3788644072971081</v>
      </c>
      <c r="F426" s="304">
        <f t="shared" ca="1" si="184"/>
        <v>6.3841822519014348</v>
      </c>
      <c r="G426" s="306">
        <f t="shared" ca="1" si="185"/>
        <v>3.9140171370718204</v>
      </c>
      <c r="H426" s="307">
        <f t="shared" ca="1" si="186"/>
        <v>-51.549430173353365</v>
      </c>
      <c r="I426" s="304">
        <f t="shared" ca="1" si="187"/>
        <v>51.697807316623461</v>
      </c>
      <c r="J426" s="306">
        <f t="shared" ca="1" si="188"/>
        <v>56.288824373840264</v>
      </c>
      <c r="K426" s="307">
        <f t="shared" ca="1" si="189"/>
        <v>-0.63511412006857815</v>
      </c>
      <c r="L426" s="304">
        <f t="shared" ca="1" si="174"/>
        <v>56.292407297383761</v>
      </c>
      <c r="M426" s="306">
        <f t="shared" ca="1" si="190"/>
        <v>-1.4950142740108168</v>
      </c>
      <c r="N426" s="304">
        <f t="shared" ca="1" si="191"/>
        <v>-85.658008212634599</v>
      </c>
      <c r="P426" s="310">
        <f t="shared" ca="1" si="192"/>
        <v>23</v>
      </c>
      <c r="Q426" s="304">
        <f t="shared" ca="1" si="193"/>
        <v>0</v>
      </c>
      <c r="R426" s="306">
        <f t="shared" ca="1" si="194"/>
        <v>0</v>
      </c>
      <c r="S426" s="307">
        <f t="shared" ca="1" si="195"/>
        <v>2.0843000000000003</v>
      </c>
      <c r="T426" s="304">
        <f t="shared" ca="1" si="175"/>
        <v>20.446983000000003</v>
      </c>
      <c r="U426" s="311">
        <f t="shared" ca="1" si="176"/>
        <v>0</v>
      </c>
      <c r="V426" s="306">
        <f t="shared" ca="1" si="177"/>
        <v>1.2250778039504278</v>
      </c>
      <c r="W426" s="304">
        <f t="shared" ca="1" si="178"/>
        <v>7.1722808767834039</v>
      </c>
      <c r="Y426" s="314" t="str">
        <f t="shared" ca="1" si="196"/>
        <v/>
      </c>
      <c r="Z426" s="315" t="str">
        <f t="shared" ca="1" si="197"/>
        <v/>
      </c>
      <c r="AA426" s="316" t="str">
        <f t="shared" ca="1" si="198"/>
        <v/>
      </c>
      <c r="AC426" s="310" t="e">
        <f t="shared" ca="1" si="199"/>
        <v>#N/A</v>
      </c>
      <c r="AD426" s="323" t="e">
        <f t="shared" ca="1" si="200"/>
        <v>#N/A</v>
      </c>
      <c r="AE426" s="324">
        <f t="shared" ca="1" si="179"/>
        <v>-0.63511412006857815</v>
      </c>
      <c r="AG426" s="306">
        <f t="shared" ca="1" si="201"/>
        <v>6.3408314245456356</v>
      </c>
      <c r="AH426" s="304">
        <f t="shared" ca="1" si="202"/>
        <v>-3.4410119666057568</v>
      </c>
    </row>
    <row r="427" spans="1:34" x14ac:dyDescent="0.2">
      <c r="A427" s="347">
        <f t="shared" ca="1" si="180"/>
        <v>1E-4</v>
      </c>
      <c r="B427" s="304">
        <f t="shared" ca="1" si="181"/>
        <v>12.012299999999946</v>
      </c>
      <c r="D427" s="306">
        <f t="shared" ca="1" si="182"/>
        <v>-0.26052395321334387</v>
      </c>
      <c r="E427" s="307">
        <f t="shared" ca="1" si="183"/>
        <v>-6.3787780956665738</v>
      </c>
      <c r="F427" s="304">
        <f t="shared" ca="1" si="184"/>
        <v>6.3840960772809163</v>
      </c>
      <c r="G427" s="306">
        <f t="shared" ca="1" si="185"/>
        <v>3.9139910846764989</v>
      </c>
      <c r="H427" s="307">
        <f t="shared" ca="1" si="186"/>
        <v>-51.550068051162931</v>
      </c>
      <c r="I427" s="304">
        <f t="shared" ca="1" si="187"/>
        <v>51.698441391307497</v>
      </c>
      <c r="J427" s="306">
        <f t="shared" ca="1" si="188"/>
        <v>56.288824373840264</v>
      </c>
      <c r="K427" s="307">
        <f t="shared" ca="1" si="189"/>
        <v>-0.640269094979804</v>
      </c>
      <c r="L427" s="304">
        <f t="shared" ca="1" si="174"/>
        <v>56.292465693936521</v>
      </c>
      <c r="M427" s="306">
        <f t="shared" ca="1" si="190"/>
        <v>-1.4950157106316382</v>
      </c>
      <c r="N427" s="304">
        <f t="shared" ca="1" si="191"/>
        <v>-85.658090524944427</v>
      </c>
      <c r="P427" s="310">
        <f t="shared" ca="1" si="192"/>
        <v>23</v>
      </c>
      <c r="Q427" s="304">
        <f t="shared" ca="1" si="193"/>
        <v>0</v>
      </c>
      <c r="R427" s="306">
        <f t="shared" ca="1" si="194"/>
        <v>0</v>
      </c>
      <c r="S427" s="307">
        <f t="shared" ca="1" si="195"/>
        <v>2.0843000000000003</v>
      </c>
      <c r="T427" s="304">
        <f t="shared" ca="1" si="175"/>
        <v>20.446983000000003</v>
      </c>
      <c r="U427" s="311">
        <f t="shared" ca="1" si="176"/>
        <v>0</v>
      </c>
      <c r="V427" s="306">
        <f t="shared" ca="1" si="177"/>
        <v>1.2250784354751256</v>
      </c>
      <c r="W427" s="304">
        <f t="shared" ca="1" si="178"/>
        <v>7.1724605115956104</v>
      </c>
      <c r="Y427" s="314" t="str">
        <f t="shared" ca="1" si="196"/>
        <v/>
      </c>
      <c r="Z427" s="315" t="str">
        <f t="shared" ca="1" si="197"/>
        <v/>
      </c>
      <c r="AA427" s="316" t="str">
        <f t="shared" ca="1" si="198"/>
        <v/>
      </c>
      <c r="AC427" s="310" t="e">
        <f t="shared" ca="1" si="199"/>
        <v>#N/A</v>
      </c>
      <c r="AD427" s="323" t="e">
        <f t="shared" ca="1" si="200"/>
        <v>#N/A</v>
      </c>
      <c r="AE427" s="324">
        <f t="shared" ca="1" si="179"/>
        <v>-0.640269094979804</v>
      </c>
      <c r="AG427" s="306">
        <f t="shared" ca="1" si="201"/>
        <v>6.3407463068744132</v>
      </c>
      <c r="AH427" s="304">
        <f t="shared" ca="1" si="202"/>
        <v>-3.4410981513138239</v>
      </c>
    </row>
    <row r="428" spans="1:34" x14ac:dyDescent="0.2">
      <c r="A428" s="347">
        <f t="shared" ca="1" si="180"/>
        <v>1E-4</v>
      </c>
      <c r="B428" s="304">
        <f t="shared" ca="1" si="181"/>
        <v>12.012399999999946</v>
      </c>
      <c r="D428" s="306">
        <f t="shared" ca="1" si="182"/>
        <v>-0.2605255487301793</v>
      </c>
      <c r="E428" s="307">
        <f t="shared" ca="1" si="183"/>
        <v>-6.3786917840239985</v>
      </c>
      <c r="F428" s="304">
        <f t="shared" ca="1" si="184"/>
        <v>6.384009902648681</v>
      </c>
      <c r="G428" s="306">
        <f t="shared" ca="1" si="185"/>
        <v>3.9139650321216259</v>
      </c>
      <c r="H428" s="307">
        <f t="shared" ca="1" si="186"/>
        <v>-51.550705920341336</v>
      </c>
      <c r="I428" s="304">
        <f t="shared" ca="1" si="187"/>
        <v>51.699075457479758</v>
      </c>
      <c r="J428" s="306">
        <f t="shared" ca="1" si="188"/>
        <v>56.288824373840264</v>
      </c>
      <c r="K428" s="307">
        <f t="shared" ca="1" si="189"/>
        <v>-0.64542413367837925</v>
      </c>
      <c r="L428" s="304">
        <f t="shared" ca="1" si="174"/>
        <v>56.292524563225697</v>
      </c>
      <c r="M428" s="306">
        <f t="shared" ca="1" si="190"/>
        <v>-1.4950171472076583</v>
      </c>
      <c r="N428" s="304">
        <f t="shared" ca="1" si="191"/>
        <v>-85.658172834687335</v>
      </c>
      <c r="P428" s="310">
        <f t="shared" ca="1" si="192"/>
        <v>23</v>
      </c>
      <c r="Q428" s="304">
        <f t="shared" ca="1" si="193"/>
        <v>0</v>
      </c>
      <c r="R428" s="306">
        <f t="shared" ca="1" si="194"/>
        <v>0</v>
      </c>
      <c r="S428" s="307">
        <f t="shared" ca="1" si="195"/>
        <v>2.0843000000000003</v>
      </c>
      <c r="T428" s="304">
        <f t="shared" ca="1" si="175"/>
        <v>20.446983000000003</v>
      </c>
      <c r="U428" s="311">
        <f t="shared" ca="1" si="176"/>
        <v>0</v>
      </c>
      <c r="V428" s="306">
        <f t="shared" ca="1" si="177"/>
        <v>1.2250790670079637</v>
      </c>
      <c r="W428" s="304">
        <f t="shared" ca="1" si="178"/>
        <v>7.1726401464329133</v>
      </c>
      <c r="Y428" s="314" t="str">
        <f t="shared" ca="1" si="196"/>
        <v/>
      </c>
      <c r="Z428" s="315" t="str">
        <f t="shared" ca="1" si="197"/>
        <v/>
      </c>
      <c r="AA428" s="316" t="str">
        <f t="shared" ca="1" si="198"/>
        <v/>
      </c>
      <c r="AC428" s="310" t="e">
        <f t="shared" ca="1" si="199"/>
        <v>#N/A</v>
      </c>
      <c r="AD428" s="323" t="e">
        <f t="shared" ca="1" si="200"/>
        <v>#N/A</v>
      </c>
      <c r="AE428" s="324">
        <f t="shared" ca="1" si="179"/>
        <v>-0.64542413367837925</v>
      </c>
      <c r="AG428" s="306">
        <f t="shared" ca="1" si="201"/>
        <v>6.3406611891376441</v>
      </c>
      <c r="AH428" s="304">
        <f t="shared" ca="1" si="202"/>
        <v>-3.4411843360339729</v>
      </c>
    </row>
    <row r="429" spans="1:34" x14ac:dyDescent="0.2">
      <c r="A429" s="347">
        <f t="shared" ca="1" si="180"/>
        <v>1E-4</v>
      </c>
      <c r="B429" s="304">
        <f t="shared" ca="1" si="181"/>
        <v>12.012499999999946</v>
      </c>
      <c r="D429" s="306">
        <f t="shared" ca="1" si="182"/>
        <v>-0.26052714415420059</v>
      </c>
      <c r="E429" s="307">
        <f t="shared" ca="1" si="183"/>
        <v>-6.3786054723694239</v>
      </c>
      <c r="F429" s="304">
        <f t="shared" ca="1" si="184"/>
        <v>6.3839237280047687</v>
      </c>
      <c r="G429" s="306">
        <f t="shared" ca="1" si="185"/>
        <v>3.9139389794072104</v>
      </c>
      <c r="H429" s="307">
        <f t="shared" ca="1" si="186"/>
        <v>-51.551343780888573</v>
      </c>
      <c r="I429" s="304">
        <f t="shared" ca="1" si="187"/>
        <v>51.699709515140235</v>
      </c>
      <c r="J429" s="306">
        <f t="shared" ca="1" si="188"/>
        <v>56.288824373840264</v>
      </c>
      <c r="K429" s="307">
        <f t="shared" ca="1" si="189"/>
        <v>-0.65057923616344071</v>
      </c>
      <c r="L429" s="304">
        <f t="shared" ca="1" si="174"/>
        <v>56.292583905267314</v>
      </c>
      <c r="M429" s="306">
        <f t="shared" ca="1" si="190"/>
        <v>-1.495018583738879</v>
      </c>
      <c r="N429" s="304">
        <f t="shared" ca="1" si="191"/>
        <v>-85.658255141863407</v>
      </c>
      <c r="P429" s="310">
        <f t="shared" ca="1" si="192"/>
        <v>23</v>
      </c>
      <c r="Q429" s="304">
        <f t="shared" ca="1" si="193"/>
        <v>0</v>
      </c>
      <c r="R429" s="306">
        <f t="shared" ca="1" si="194"/>
        <v>0</v>
      </c>
      <c r="S429" s="307">
        <f t="shared" ca="1" si="195"/>
        <v>2.0843000000000003</v>
      </c>
      <c r="T429" s="304">
        <f t="shared" ca="1" si="175"/>
        <v>20.446983000000003</v>
      </c>
      <c r="U429" s="311">
        <f t="shared" ca="1" si="176"/>
        <v>0</v>
      </c>
      <c r="V429" s="306">
        <f t="shared" ca="1" si="177"/>
        <v>1.2250796985489414</v>
      </c>
      <c r="W429" s="304">
        <f t="shared" ca="1" si="178"/>
        <v>7.1728197812952246</v>
      </c>
      <c r="Y429" s="314" t="str">
        <f t="shared" ca="1" si="196"/>
        <v/>
      </c>
      <c r="Z429" s="315" t="str">
        <f t="shared" ca="1" si="197"/>
        <v/>
      </c>
      <c r="AA429" s="316" t="str">
        <f t="shared" ca="1" si="198"/>
        <v/>
      </c>
      <c r="AC429" s="310" t="e">
        <f t="shared" ca="1" si="199"/>
        <v>#N/A</v>
      </c>
      <c r="AD429" s="323" t="e">
        <f t="shared" ca="1" si="200"/>
        <v>#N/A</v>
      </c>
      <c r="AE429" s="324">
        <f t="shared" ca="1" si="179"/>
        <v>-0.65057923616344071</v>
      </c>
      <c r="AG429" s="306">
        <f t="shared" ca="1" si="201"/>
        <v>6.3405760713353718</v>
      </c>
      <c r="AH429" s="304">
        <f t="shared" ca="1" si="202"/>
        <v>-3.4412705207661625</v>
      </c>
    </row>
    <row r="430" spans="1:34" x14ac:dyDescent="0.2">
      <c r="A430" s="347">
        <f t="shared" ca="1" si="180"/>
        <v>1E-4</v>
      </c>
      <c r="B430" s="304">
        <f t="shared" ca="1" si="181"/>
        <v>12.012599999999946</v>
      </c>
      <c r="D430" s="306">
        <f t="shared" ca="1" si="182"/>
        <v>-0.26052873948541</v>
      </c>
      <c r="E430" s="307">
        <f t="shared" ca="1" si="183"/>
        <v>-6.3785191607028908</v>
      </c>
      <c r="F430" s="304">
        <f t="shared" ca="1" si="184"/>
        <v>6.3838375533492204</v>
      </c>
      <c r="G430" s="306">
        <f t="shared" ca="1" si="185"/>
        <v>3.9139129265332619</v>
      </c>
      <c r="H430" s="307">
        <f t="shared" ca="1" si="186"/>
        <v>-51.55198163280464</v>
      </c>
      <c r="I430" s="304">
        <f t="shared" ca="1" si="187"/>
        <v>51.700343564288922</v>
      </c>
      <c r="J430" s="306">
        <f t="shared" ca="1" si="188"/>
        <v>56.288824373840264</v>
      </c>
      <c r="K430" s="307">
        <f t="shared" ca="1" si="189"/>
        <v>-0.6557344024341254</v>
      </c>
      <c r="L430" s="304">
        <f t="shared" ca="1" si="174"/>
        <v>56.2926437200774</v>
      </c>
      <c r="M430" s="306">
        <f t="shared" ca="1" si="190"/>
        <v>-1.4950200202253026</v>
      </c>
      <c r="N430" s="304">
        <f t="shared" ca="1" si="191"/>
        <v>-85.658337446472814</v>
      </c>
      <c r="P430" s="310">
        <f t="shared" ca="1" si="192"/>
        <v>23</v>
      </c>
      <c r="Q430" s="304">
        <f t="shared" ca="1" si="193"/>
        <v>0</v>
      </c>
      <c r="R430" s="306">
        <f t="shared" ca="1" si="194"/>
        <v>0</v>
      </c>
      <c r="S430" s="307">
        <f t="shared" ca="1" si="195"/>
        <v>2.0843000000000003</v>
      </c>
      <c r="T430" s="304">
        <f t="shared" ca="1" si="175"/>
        <v>20.446983000000003</v>
      </c>
      <c r="U430" s="311">
        <f t="shared" ca="1" si="176"/>
        <v>0</v>
      </c>
      <c r="V430" s="306">
        <f t="shared" ca="1" si="177"/>
        <v>1.2250803300980586</v>
      </c>
      <c r="W430" s="304">
        <f t="shared" ca="1" si="178"/>
        <v>7.1729994161824582</v>
      </c>
      <c r="Y430" s="314" t="str">
        <f t="shared" ca="1" si="196"/>
        <v/>
      </c>
      <c r="Z430" s="315" t="str">
        <f t="shared" ca="1" si="197"/>
        <v/>
      </c>
      <c r="AA430" s="316" t="str">
        <f t="shared" ca="1" si="198"/>
        <v/>
      </c>
      <c r="AC430" s="310" t="e">
        <f t="shared" ca="1" si="199"/>
        <v>#N/A</v>
      </c>
      <c r="AD430" s="323" t="e">
        <f t="shared" ca="1" si="200"/>
        <v>#N/A</v>
      </c>
      <c r="AE430" s="324">
        <f t="shared" ca="1" si="179"/>
        <v>-0.6557344024341254</v>
      </c>
      <c r="AG430" s="306">
        <f t="shared" ca="1" si="201"/>
        <v>6.3404909534676444</v>
      </c>
      <c r="AH430" s="304">
        <f t="shared" ca="1" si="202"/>
        <v>-3.4413567055103504</v>
      </c>
    </row>
    <row r="431" spans="1:34" x14ac:dyDescent="0.2">
      <c r="A431" s="347">
        <f t="shared" ca="1" si="180"/>
        <v>1E-4</v>
      </c>
      <c r="B431" s="304">
        <f t="shared" ca="1" si="181"/>
        <v>12.012699999999946</v>
      </c>
      <c r="D431" s="306">
        <f t="shared" ca="1" si="182"/>
        <v>-0.26053033472380754</v>
      </c>
      <c r="E431" s="307">
        <f t="shared" ca="1" si="183"/>
        <v>-6.378432849024442</v>
      </c>
      <c r="F431" s="304">
        <f t="shared" ca="1" si="184"/>
        <v>6.3837513786820805</v>
      </c>
      <c r="G431" s="306">
        <f t="shared" ca="1" si="185"/>
        <v>3.9138868734997896</v>
      </c>
      <c r="H431" s="307">
        <f t="shared" ca="1" si="186"/>
        <v>-51.552619476089539</v>
      </c>
      <c r="I431" s="304">
        <f t="shared" ca="1" si="187"/>
        <v>51.700977604925811</v>
      </c>
      <c r="J431" s="306">
        <f t="shared" ca="1" si="188"/>
        <v>56.288824373840264</v>
      </c>
      <c r="K431" s="307">
        <f t="shared" ca="1" si="189"/>
        <v>-0.66088963248957011</v>
      </c>
      <c r="L431" s="304">
        <f t="shared" ca="1" si="174"/>
        <v>56.292704007671958</v>
      </c>
      <c r="M431" s="306">
        <f t="shared" ca="1" si="190"/>
        <v>-1.4950214566669313</v>
      </c>
      <c r="N431" s="304">
        <f t="shared" ca="1" si="191"/>
        <v>-85.658419748515655</v>
      </c>
      <c r="P431" s="310">
        <f t="shared" ca="1" si="192"/>
        <v>23</v>
      </c>
      <c r="Q431" s="304">
        <f t="shared" ca="1" si="193"/>
        <v>0</v>
      </c>
      <c r="R431" s="306">
        <f t="shared" ca="1" si="194"/>
        <v>0</v>
      </c>
      <c r="S431" s="307">
        <f t="shared" ca="1" si="195"/>
        <v>2.0843000000000003</v>
      </c>
      <c r="T431" s="304">
        <f t="shared" ca="1" si="175"/>
        <v>20.446983000000003</v>
      </c>
      <c r="U431" s="311">
        <f t="shared" ca="1" si="176"/>
        <v>0</v>
      </c>
      <c r="V431" s="306">
        <f t="shared" ca="1" si="177"/>
        <v>1.2250809616553162</v>
      </c>
      <c r="W431" s="304">
        <f t="shared" ca="1" si="178"/>
        <v>7.173179051094535</v>
      </c>
      <c r="Y431" s="314" t="str">
        <f t="shared" ca="1" si="196"/>
        <v/>
      </c>
      <c r="Z431" s="315" t="str">
        <f t="shared" ca="1" si="197"/>
        <v/>
      </c>
      <c r="AA431" s="316" t="str">
        <f t="shared" ca="1" si="198"/>
        <v/>
      </c>
      <c r="AC431" s="310" t="e">
        <f t="shared" ca="1" si="199"/>
        <v>#N/A</v>
      </c>
      <c r="AD431" s="323" t="e">
        <f t="shared" ca="1" si="200"/>
        <v>#N/A</v>
      </c>
      <c r="AE431" s="324">
        <f t="shared" ca="1" si="179"/>
        <v>-0.66088963248957011</v>
      </c>
      <c r="AG431" s="306">
        <f t="shared" ca="1" si="201"/>
        <v>6.3404058355345043</v>
      </c>
      <c r="AH431" s="304">
        <f t="shared" ca="1" si="202"/>
        <v>-3.441442890266496</v>
      </c>
    </row>
    <row r="432" spans="1:34" x14ac:dyDescent="0.2">
      <c r="A432" s="347">
        <f t="shared" ca="1" si="180"/>
        <v>1E-4</v>
      </c>
      <c r="B432" s="304">
        <f t="shared" ca="1" si="181"/>
        <v>12.012799999999945</v>
      </c>
      <c r="D432" s="306">
        <f t="shared" ca="1" si="182"/>
        <v>-0.26053192986939422</v>
      </c>
      <c r="E432" s="307">
        <f t="shared" ca="1" si="183"/>
        <v>-6.3783465373341146</v>
      </c>
      <c r="F432" s="304">
        <f t="shared" ca="1" si="184"/>
        <v>6.3836652040033837</v>
      </c>
      <c r="G432" s="306">
        <f t="shared" ca="1" si="185"/>
        <v>3.9138608203068026</v>
      </c>
      <c r="H432" s="307">
        <f t="shared" ca="1" si="186"/>
        <v>-51.55325731074327</v>
      </c>
      <c r="I432" s="304">
        <f t="shared" ca="1" si="187"/>
        <v>51.701611637050902</v>
      </c>
      <c r="J432" s="306">
        <f t="shared" ca="1" si="188"/>
        <v>56.288824373840264</v>
      </c>
      <c r="K432" s="307">
        <f t="shared" ca="1" si="189"/>
        <v>-0.66604492632891177</v>
      </c>
      <c r="L432" s="304">
        <f t="shared" ca="1" si="174"/>
        <v>56.292764768066974</v>
      </c>
      <c r="M432" s="306">
        <f t="shared" ca="1" si="190"/>
        <v>-1.4950228930637675</v>
      </c>
      <c r="N432" s="304">
        <f t="shared" ca="1" si="191"/>
        <v>-85.658502047992073</v>
      </c>
      <c r="P432" s="310">
        <f t="shared" ca="1" si="192"/>
        <v>23</v>
      </c>
      <c r="Q432" s="304">
        <f t="shared" ca="1" si="193"/>
        <v>0</v>
      </c>
      <c r="R432" s="306">
        <f t="shared" ca="1" si="194"/>
        <v>0</v>
      </c>
      <c r="S432" s="307">
        <f t="shared" ca="1" si="195"/>
        <v>2.0843000000000003</v>
      </c>
      <c r="T432" s="304">
        <f t="shared" ca="1" si="175"/>
        <v>20.446983000000003</v>
      </c>
      <c r="U432" s="311">
        <f t="shared" ca="1" si="176"/>
        <v>0</v>
      </c>
      <c r="V432" s="306">
        <f t="shared" ca="1" si="177"/>
        <v>1.2250815932207129</v>
      </c>
      <c r="W432" s="304">
        <f t="shared" ca="1" si="178"/>
        <v>7.1733586860313601</v>
      </c>
      <c r="Y432" s="314" t="str">
        <f t="shared" ca="1" si="196"/>
        <v/>
      </c>
      <c r="Z432" s="315" t="str">
        <f t="shared" ca="1" si="197"/>
        <v/>
      </c>
      <c r="AA432" s="316" t="str">
        <f t="shared" ca="1" si="198"/>
        <v/>
      </c>
      <c r="AC432" s="310" t="e">
        <f t="shared" ca="1" si="199"/>
        <v>#N/A</v>
      </c>
      <c r="AD432" s="323" t="e">
        <f t="shared" ca="1" si="200"/>
        <v>#N/A</v>
      </c>
      <c r="AE432" s="324">
        <f t="shared" ca="1" si="179"/>
        <v>-0.66604492632891177</v>
      </c>
      <c r="AG432" s="306">
        <f t="shared" ca="1" si="201"/>
        <v>6.3403207175359935</v>
      </c>
      <c r="AH432" s="304">
        <f t="shared" ca="1" si="202"/>
        <v>-3.4415290750345604</v>
      </c>
    </row>
    <row r="433" spans="1:34" x14ac:dyDescent="0.2">
      <c r="A433" s="347">
        <f t="shared" ca="1" si="180"/>
        <v>1E-4</v>
      </c>
      <c r="B433" s="304">
        <f t="shared" ca="1" si="181"/>
        <v>12.012899999999945</v>
      </c>
      <c r="D433" s="306">
        <f t="shared" ca="1" si="182"/>
        <v>-0.26053352492217041</v>
      </c>
      <c r="E433" s="307">
        <f t="shared" ca="1" si="183"/>
        <v>-6.3782602256319549</v>
      </c>
      <c r="F433" s="304">
        <f t="shared" ca="1" si="184"/>
        <v>6.3835790293131769</v>
      </c>
      <c r="G433" s="306">
        <f t="shared" ca="1" si="185"/>
        <v>3.9138347669543103</v>
      </c>
      <c r="H433" s="307">
        <f t="shared" ca="1" si="186"/>
        <v>-51.553895136765831</v>
      </c>
      <c r="I433" s="304">
        <f t="shared" ca="1" si="187"/>
        <v>51.702245660664175</v>
      </c>
      <c r="J433" s="306">
        <f t="shared" ca="1" si="188"/>
        <v>56.288824373840264</v>
      </c>
      <c r="K433" s="307">
        <f t="shared" ca="1" si="189"/>
        <v>-0.67120028395128717</v>
      </c>
      <c r="L433" s="304">
        <f t="shared" ca="1" si="174"/>
        <v>56.292826001278442</v>
      </c>
      <c r="M433" s="306">
        <f t="shared" ca="1" si="190"/>
        <v>-1.495024329415813</v>
      </c>
      <c r="N433" s="304">
        <f t="shared" ca="1" si="191"/>
        <v>-85.658584344902181</v>
      </c>
      <c r="P433" s="310">
        <f t="shared" ca="1" si="192"/>
        <v>23</v>
      </c>
      <c r="Q433" s="304">
        <f t="shared" ca="1" si="193"/>
        <v>0</v>
      </c>
      <c r="R433" s="306">
        <f t="shared" ca="1" si="194"/>
        <v>0</v>
      </c>
      <c r="S433" s="307">
        <f t="shared" ca="1" si="195"/>
        <v>2.0843000000000003</v>
      </c>
      <c r="T433" s="304">
        <f t="shared" ca="1" si="175"/>
        <v>20.446983000000003</v>
      </c>
      <c r="U433" s="311">
        <f t="shared" ca="1" si="176"/>
        <v>0</v>
      </c>
      <c r="V433" s="306">
        <f t="shared" ca="1" si="177"/>
        <v>1.2250822247942494</v>
      </c>
      <c r="W433" s="304">
        <f t="shared" ca="1" si="178"/>
        <v>7.1735383209928498</v>
      </c>
      <c r="Y433" s="314" t="str">
        <f t="shared" ca="1" si="196"/>
        <v/>
      </c>
      <c r="Z433" s="315" t="str">
        <f t="shared" ca="1" si="197"/>
        <v/>
      </c>
      <c r="AA433" s="316" t="str">
        <f t="shared" ca="1" si="198"/>
        <v/>
      </c>
      <c r="AC433" s="310" t="e">
        <f t="shared" ca="1" si="199"/>
        <v>#N/A</v>
      </c>
      <c r="AD433" s="323" t="e">
        <f t="shared" ca="1" si="200"/>
        <v>#N/A</v>
      </c>
      <c r="AE433" s="324">
        <f t="shared" ca="1" si="179"/>
        <v>-0.67120028395128717</v>
      </c>
      <c r="AG433" s="306">
        <f t="shared" ca="1" si="201"/>
        <v>6.3402355994721615</v>
      </c>
      <c r="AH433" s="304">
        <f t="shared" ca="1" si="202"/>
        <v>-3.4416152598144985</v>
      </c>
    </row>
    <row r="434" spans="1:34" x14ac:dyDescent="0.2">
      <c r="A434" s="347">
        <f t="shared" ca="1" si="180"/>
        <v>1E-4</v>
      </c>
      <c r="B434" s="304">
        <f t="shared" ca="1" si="181"/>
        <v>12.012999999999945</v>
      </c>
      <c r="D434" s="306">
        <f t="shared" ca="1" si="182"/>
        <v>-0.2605351198821379</v>
      </c>
      <c r="E434" s="307">
        <f t="shared" ca="1" si="183"/>
        <v>-6.378173913918002</v>
      </c>
      <c r="F434" s="304">
        <f t="shared" ca="1" si="184"/>
        <v>6.3834928546115011</v>
      </c>
      <c r="G434" s="306">
        <f t="shared" ca="1" si="185"/>
        <v>3.9138087134423221</v>
      </c>
      <c r="H434" s="307">
        <f t="shared" ca="1" si="186"/>
        <v>-51.554532954157224</v>
      </c>
      <c r="I434" s="304">
        <f t="shared" ca="1" si="187"/>
        <v>51.702879675765644</v>
      </c>
      <c r="J434" s="306">
        <f t="shared" ca="1" si="188"/>
        <v>56.288824373840264</v>
      </c>
      <c r="K434" s="307">
        <f t="shared" ca="1" si="189"/>
        <v>-0.67635570535583334</v>
      </c>
      <c r="L434" s="304">
        <f t="shared" ca="1" si="174"/>
        <v>56.292887707322329</v>
      </c>
      <c r="M434" s="306">
        <f t="shared" ca="1" si="190"/>
        <v>-1.4950257657230701</v>
      </c>
      <c r="N434" s="304">
        <f t="shared" ca="1" si="191"/>
        <v>-85.658666639246093</v>
      </c>
      <c r="P434" s="310">
        <f t="shared" ca="1" si="192"/>
        <v>23</v>
      </c>
      <c r="Q434" s="304">
        <f t="shared" ca="1" si="193"/>
        <v>0</v>
      </c>
      <c r="R434" s="306">
        <f t="shared" ca="1" si="194"/>
        <v>0</v>
      </c>
      <c r="S434" s="307">
        <f t="shared" ca="1" si="195"/>
        <v>2.0843000000000003</v>
      </c>
      <c r="T434" s="304">
        <f t="shared" ca="1" si="175"/>
        <v>20.446983000000003</v>
      </c>
      <c r="U434" s="311">
        <f t="shared" ca="1" si="176"/>
        <v>0</v>
      </c>
      <c r="V434" s="306">
        <f t="shared" ca="1" si="177"/>
        <v>1.2250828563759253</v>
      </c>
      <c r="W434" s="304">
        <f t="shared" ca="1" si="178"/>
        <v>7.1737179559789217</v>
      </c>
      <c r="Y434" s="314" t="str">
        <f t="shared" ca="1" si="196"/>
        <v/>
      </c>
      <c r="Z434" s="315" t="str">
        <f t="shared" ca="1" si="197"/>
        <v/>
      </c>
      <c r="AA434" s="316" t="str">
        <f t="shared" ca="1" si="198"/>
        <v/>
      </c>
      <c r="AC434" s="310" t="e">
        <f t="shared" ca="1" si="199"/>
        <v>#N/A</v>
      </c>
      <c r="AD434" s="323" t="e">
        <f t="shared" ca="1" si="200"/>
        <v>#N/A</v>
      </c>
      <c r="AE434" s="324">
        <f t="shared" ca="1" si="179"/>
        <v>-0.67635570535583334</v>
      </c>
      <c r="AG434" s="306">
        <f t="shared" ca="1" si="201"/>
        <v>6.340150481343052</v>
      </c>
      <c r="AH434" s="304">
        <f t="shared" ca="1" si="202"/>
        <v>-3.4417014446062701</v>
      </c>
    </row>
    <row r="435" spans="1:34" x14ac:dyDescent="0.2">
      <c r="A435" s="347">
        <f t="shared" ca="1" si="180"/>
        <v>1E-4</v>
      </c>
      <c r="B435" s="304">
        <f t="shared" ca="1" si="181"/>
        <v>12.013099999999945</v>
      </c>
      <c r="D435" s="306">
        <f t="shared" ca="1" si="182"/>
        <v>-0.26053671474929746</v>
      </c>
      <c r="E435" s="307">
        <f t="shared" ca="1" si="183"/>
        <v>-6.3780876021922968</v>
      </c>
      <c r="F435" s="304">
        <f t="shared" ca="1" si="184"/>
        <v>6.3834066798983935</v>
      </c>
      <c r="G435" s="306">
        <f t="shared" ca="1" si="185"/>
        <v>3.9137826597708472</v>
      </c>
      <c r="H435" s="307">
        <f t="shared" ca="1" si="186"/>
        <v>-51.555170762917442</v>
      </c>
      <c r="I435" s="304">
        <f t="shared" ca="1" si="187"/>
        <v>51.703513682355286</v>
      </c>
      <c r="J435" s="306">
        <f t="shared" ca="1" si="188"/>
        <v>56.288824373840264</v>
      </c>
      <c r="K435" s="307">
        <f t="shared" ca="1" si="189"/>
        <v>-0.68151119054168707</v>
      </c>
      <c r="L435" s="304">
        <f t="shared" ca="1" si="174"/>
        <v>56.292949886214593</v>
      </c>
      <c r="M435" s="306">
        <f t="shared" ca="1" si="190"/>
        <v>-1.4950272019855411</v>
      </c>
      <c r="N435" s="304">
        <f t="shared" ca="1" si="191"/>
        <v>-85.65874893102395</v>
      </c>
      <c r="P435" s="310">
        <f t="shared" ca="1" si="192"/>
        <v>23</v>
      </c>
      <c r="Q435" s="304">
        <f t="shared" ca="1" si="193"/>
        <v>0</v>
      </c>
      <c r="R435" s="306">
        <f t="shared" ca="1" si="194"/>
        <v>0</v>
      </c>
      <c r="S435" s="307">
        <f t="shared" ca="1" si="195"/>
        <v>2.0843000000000003</v>
      </c>
      <c r="T435" s="304">
        <f t="shared" ca="1" si="175"/>
        <v>20.446983000000003</v>
      </c>
      <c r="U435" s="311">
        <f t="shared" ca="1" si="176"/>
        <v>0</v>
      </c>
      <c r="V435" s="306">
        <f t="shared" ca="1" si="177"/>
        <v>1.2250834879657406</v>
      </c>
      <c r="W435" s="304">
        <f t="shared" ca="1" si="178"/>
        <v>7.1738975909894878</v>
      </c>
      <c r="Y435" s="314" t="str">
        <f t="shared" ca="1" si="196"/>
        <v/>
      </c>
      <c r="Z435" s="315" t="str">
        <f t="shared" ca="1" si="197"/>
        <v/>
      </c>
      <c r="AA435" s="316" t="str">
        <f t="shared" ca="1" si="198"/>
        <v/>
      </c>
      <c r="AC435" s="310" t="e">
        <f t="shared" ca="1" si="199"/>
        <v>#N/A</v>
      </c>
      <c r="AD435" s="323" t="e">
        <f t="shared" ca="1" si="200"/>
        <v>#N/A</v>
      </c>
      <c r="AE435" s="324">
        <f t="shared" ca="1" si="179"/>
        <v>-0.68151119054168707</v>
      </c>
      <c r="AG435" s="306">
        <f t="shared" ca="1" si="201"/>
        <v>6.3400653631487067</v>
      </c>
      <c r="AH435" s="304">
        <f t="shared" ca="1" si="202"/>
        <v>-3.441787629409836</v>
      </c>
    </row>
    <row r="436" spans="1:34" x14ac:dyDescent="0.2">
      <c r="A436" s="347">
        <f t="shared" ca="1" si="180"/>
        <v>1E-4</v>
      </c>
      <c r="B436" s="304">
        <f t="shared" ca="1" si="181"/>
        <v>12.013199999999944</v>
      </c>
      <c r="D436" s="306">
        <f t="shared" ca="1" si="182"/>
        <v>-0.26053830952364981</v>
      </c>
      <c r="E436" s="307">
        <f t="shared" ca="1" si="183"/>
        <v>-6.3780012904548808</v>
      </c>
      <c r="F436" s="304">
        <f t="shared" ca="1" si="184"/>
        <v>6.3833205051738995</v>
      </c>
      <c r="G436" s="306">
        <f t="shared" ca="1" si="185"/>
        <v>3.9137566059398949</v>
      </c>
      <c r="H436" s="307">
        <f t="shared" ca="1" si="186"/>
        <v>-51.55580856304649</v>
      </c>
      <c r="I436" s="304">
        <f t="shared" ca="1" si="187"/>
        <v>51.704147680433103</v>
      </c>
      <c r="J436" s="306">
        <f t="shared" ca="1" si="188"/>
        <v>56.288824373840264</v>
      </c>
      <c r="K436" s="307">
        <f t="shared" ca="1" si="189"/>
        <v>-0.68666673950798529</v>
      </c>
      <c r="L436" s="304">
        <f t="shared" ca="1" si="174"/>
        <v>56.29301253797118</v>
      </c>
      <c r="M436" s="306">
        <f t="shared" ca="1" si="190"/>
        <v>-1.4950286382032281</v>
      </c>
      <c r="N436" s="304">
        <f t="shared" ca="1" si="191"/>
        <v>-85.658831220235882</v>
      </c>
      <c r="P436" s="310">
        <f t="shared" ca="1" si="192"/>
        <v>23</v>
      </c>
      <c r="Q436" s="304">
        <f t="shared" ca="1" si="193"/>
        <v>0</v>
      </c>
      <c r="R436" s="306">
        <f t="shared" ca="1" si="194"/>
        <v>0</v>
      </c>
      <c r="S436" s="307">
        <f t="shared" ca="1" si="195"/>
        <v>2.0843000000000003</v>
      </c>
      <c r="T436" s="304">
        <f t="shared" ca="1" si="175"/>
        <v>20.446983000000003</v>
      </c>
      <c r="U436" s="311">
        <f t="shared" ca="1" si="176"/>
        <v>0</v>
      </c>
      <c r="V436" s="306">
        <f t="shared" ca="1" si="177"/>
        <v>1.225084119563695</v>
      </c>
      <c r="W436" s="304">
        <f t="shared" ca="1" si="178"/>
        <v>7.1740772260244583</v>
      </c>
      <c r="Y436" s="314" t="str">
        <f t="shared" ca="1" si="196"/>
        <v/>
      </c>
      <c r="Z436" s="315" t="str">
        <f t="shared" ca="1" si="197"/>
        <v/>
      </c>
      <c r="AA436" s="316" t="str">
        <f t="shared" ca="1" si="198"/>
        <v/>
      </c>
      <c r="AC436" s="310" t="e">
        <f t="shared" ca="1" si="199"/>
        <v>#N/A</v>
      </c>
      <c r="AD436" s="323" t="e">
        <f t="shared" ca="1" si="200"/>
        <v>#N/A</v>
      </c>
      <c r="AE436" s="324">
        <f t="shared" ca="1" si="179"/>
        <v>-0.68666673950798529</v>
      </c>
      <c r="AG436" s="306">
        <f t="shared" ca="1" si="201"/>
        <v>6.3399802448891718</v>
      </c>
      <c r="AH436" s="304">
        <f t="shared" ca="1" si="202"/>
        <v>-3.4418738142251533</v>
      </c>
    </row>
    <row r="437" spans="1:34" x14ac:dyDescent="0.2">
      <c r="A437" s="347">
        <f t="shared" ca="1" si="180"/>
        <v>1E-4</v>
      </c>
      <c r="B437" s="304">
        <f t="shared" ca="1" si="181"/>
        <v>12.013299999999944</v>
      </c>
      <c r="D437" s="306">
        <f t="shared" ca="1" si="182"/>
        <v>-0.26053990420519568</v>
      </c>
      <c r="E437" s="307">
        <f t="shared" ca="1" si="183"/>
        <v>-6.3779149787057978</v>
      </c>
      <c r="F437" s="304">
        <f t="shared" ca="1" si="184"/>
        <v>6.3832343304380599</v>
      </c>
      <c r="G437" s="306">
        <f t="shared" ca="1" si="185"/>
        <v>3.9137305519494743</v>
      </c>
      <c r="H437" s="307">
        <f t="shared" ca="1" si="186"/>
        <v>-51.556446354544363</v>
      </c>
      <c r="I437" s="304">
        <f t="shared" ca="1" si="187"/>
        <v>51.704781669999086</v>
      </c>
      <c r="J437" s="306">
        <f t="shared" ca="1" si="188"/>
        <v>56.288824373840264</v>
      </c>
      <c r="K437" s="307">
        <f t="shared" ca="1" si="189"/>
        <v>-0.69182235225386479</v>
      </c>
      <c r="L437" s="304">
        <f t="shared" ca="1" si="174"/>
        <v>56.293075662608025</v>
      </c>
      <c r="M437" s="306">
        <f t="shared" ca="1" si="190"/>
        <v>-1.4950300743761331</v>
      </c>
      <c r="N437" s="304">
        <f t="shared" ca="1" si="191"/>
        <v>-85.658913506881987</v>
      </c>
      <c r="P437" s="310">
        <f t="shared" ca="1" si="192"/>
        <v>23</v>
      </c>
      <c r="Q437" s="304">
        <f t="shared" ca="1" si="193"/>
        <v>0</v>
      </c>
      <c r="R437" s="306">
        <f t="shared" ca="1" si="194"/>
        <v>0</v>
      </c>
      <c r="S437" s="307">
        <f t="shared" ca="1" si="195"/>
        <v>2.0843000000000003</v>
      </c>
      <c r="T437" s="304">
        <f t="shared" ca="1" si="175"/>
        <v>20.446983000000003</v>
      </c>
      <c r="U437" s="311">
        <f t="shared" ca="1" si="176"/>
        <v>0</v>
      </c>
      <c r="V437" s="306">
        <f t="shared" ca="1" si="177"/>
        <v>1.2250847511697891</v>
      </c>
      <c r="W437" s="304">
        <f t="shared" ca="1" si="178"/>
        <v>7.1742568610837569</v>
      </c>
      <c r="Y437" s="314" t="str">
        <f t="shared" ca="1" si="196"/>
        <v/>
      </c>
      <c r="Z437" s="315" t="str">
        <f t="shared" ca="1" si="197"/>
        <v/>
      </c>
      <c r="AA437" s="316" t="str">
        <f t="shared" ca="1" si="198"/>
        <v/>
      </c>
      <c r="AC437" s="310" t="e">
        <f t="shared" ca="1" si="199"/>
        <v>#N/A</v>
      </c>
      <c r="AD437" s="323" t="e">
        <f t="shared" ca="1" si="200"/>
        <v>#N/A</v>
      </c>
      <c r="AE437" s="324">
        <f t="shared" ca="1" si="179"/>
        <v>-0.69182235225386479</v>
      </c>
      <c r="AG437" s="306">
        <f t="shared" ca="1" si="201"/>
        <v>6.3398951265644952</v>
      </c>
      <c r="AH437" s="304">
        <f t="shared" ca="1" si="202"/>
        <v>-3.4419599990521794</v>
      </c>
    </row>
    <row r="438" spans="1:34" x14ac:dyDescent="0.2">
      <c r="A438" s="347">
        <f t="shared" ca="1" si="180"/>
        <v>1E-4</v>
      </c>
      <c r="B438" s="304">
        <f t="shared" ca="1" si="181"/>
        <v>12.013399999999944</v>
      </c>
      <c r="D438" s="306">
        <f t="shared" ca="1" si="182"/>
        <v>-0.26054149879393684</v>
      </c>
      <c r="E438" s="307">
        <f t="shared" ca="1" si="183"/>
        <v>-6.3778286669450841</v>
      </c>
      <c r="F438" s="304">
        <f t="shared" ca="1" si="184"/>
        <v>6.3831481556909129</v>
      </c>
      <c r="G438" s="306">
        <f t="shared" ca="1" si="185"/>
        <v>3.913704497799595</v>
      </c>
      <c r="H438" s="307">
        <f t="shared" ca="1" si="186"/>
        <v>-51.55708413741106</v>
      </c>
      <c r="I438" s="304">
        <f t="shared" ca="1" si="187"/>
        <v>51.705415651053229</v>
      </c>
      <c r="J438" s="306">
        <f t="shared" ca="1" si="188"/>
        <v>56.288824373840264</v>
      </c>
      <c r="K438" s="307">
        <f t="shared" ca="1" si="189"/>
        <v>-0.6969780287784626</v>
      </c>
      <c r="L438" s="304">
        <f t="shared" ca="1" si="174"/>
        <v>56.293139260141054</v>
      </c>
      <c r="M438" s="306">
        <f t="shared" ca="1" si="190"/>
        <v>-1.4950315105042586</v>
      </c>
      <c r="N438" s="304">
        <f t="shared" ca="1" si="191"/>
        <v>-85.658995790962422</v>
      </c>
      <c r="P438" s="310">
        <f t="shared" ca="1" si="192"/>
        <v>23</v>
      </c>
      <c r="Q438" s="304">
        <f t="shared" ca="1" si="193"/>
        <v>0</v>
      </c>
      <c r="R438" s="306">
        <f t="shared" ca="1" si="194"/>
        <v>0</v>
      </c>
      <c r="S438" s="307">
        <f t="shared" ca="1" si="195"/>
        <v>2.0843000000000003</v>
      </c>
      <c r="T438" s="304">
        <f t="shared" ca="1" si="175"/>
        <v>20.446983000000003</v>
      </c>
      <c r="U438" s="311">
        <f t="shared" ca="1" si="176"/>
        <v>0</v>
      </c>
      <c r="V438" s="306">
        <f t="shared" ca="1" si="177"/>
        <v>1.2250853827840218</v>
      </c>
      <c r="W438" s="304">
        <f t="shared" ca="1" si="178"/>
        <v>7.1744364961672886</v>
      </c>
      <c r="Y438" s="314" t="str">
        <f t="shared" ca="1" si="196"/>
        <v/>
      </c>
      <c r="Z438" s="315" t="str">
        <f t="shared" ca="1" si="197"/>
        <v/>
      </c>
      <c r="AA438" s="316" t="str">
        <f t="shared" ca="1" si="198"/>
        <v/>
      </c>
      <c r="AC438" s="310" t="e">
        <f t="shared" ca="1" si="199"/>
        <v>#N/A</v>
      </c>
      <c r="AD438" s="323" t="e">
        <f t="shared" ca="1" si="200"/>
        <v>#N/A</v>
      </c>
      <c r="AE438" s="324">
        <f t="shared" ca="1" si="179"/>
        <v>-0.6969780287784626</v>
      </c>
      <c r="AG438" s="306">
        <f t="shared" ca="1" si="201"/>
        <v>6.3398100081747177</v>
      </c>
      <c r="AH438" s="304">
        <f t="shared" ca="1" si="202"/>
        <v>-3.4420461838908776</v>
      </c>
    </row>
    <row r="439" spans="1:34" x14ac:dyDescent="0.2">
      <c r="A439" s="347">
        <f t="shared" ca="1" si="180"/>
        <v>1E-4</v>
      </c>
      <c r="B439" s="304">
        <f t="shared" ca="1" si="181"/>
        <v>12.013499999999944</v>
      </c>
      <c r="D439" s="306">
        <f t="shared" ca="1" si="182"/>
        <v>-0.26054309328987296</v>
      </c>
      <c r="E439" s="307">
        <f t="shared" ca="1" si="183"/>
        <v>-6.377742355172785</v>
      </c>
      <c r="F439" s="304">
        <f t="shared" ca="1" si="184"/>
        <v>6.383061980932502</v>
      </c>
      <c r="G439" s="306">
        <f t="shared" ca="1" si="185"/>
        <v>3.9136784434902658</v>
      </c>
      <c r="H439" s="307">
        <f t="shared" ca="1" si="186"/>
        <v>-51.557721911646574</v>
      </c>
      <c r="I439" s="304">
        <f t="shared" ca="1" si="187"/>
        <v>51.706049623595511</v>
      </c>
      <c r="J439" s="306">
        <f t="shared" ca="1" si="188"/>
        <v>56.288824373840264</v>
      </c>
      <c r="K439" s="307">
        <f t="shared" ca="1" si="189"/>
        <v>-0.70213376908091552</v>
      </c>
      <c r="L439" s="304">
        <f t="shared" ca="1" si="174"/>
        <v>56.293203330586167</v>
      </c>
      <c r="M439" s="306">
        <f t="shared" ca="1" si="190"/>
        <v>-1.4950329465876067</v>
      </c>
      <c r="N439" s="304">
        <f t="shared" ca="1" si="191"/>
        <v>-85.659078072477286</v>
      </c>
      <c r="P439" s="310">
        <f t="shared" ca="1" si="192"/>
        <v>23</v>
      </c>
      <c r="Q439" s="304">
        <f t="shared" ca="1" si="193"/>
        <v>0</v>
      </c>
      <c r="R439" s="306">
        <f t="shared" ca="1" si="194"/>
        <v>0</v>
      </c>
      <c r="S439" s="307">
        <f t="shared" ca="1" si="195"/>
        <v>2.0843000000000003</v>
      </c>
      <c r="T439" s="304">
        <f t="shared" ca="1" si="175"/>
        <v>20.446983000000003</v>
      </c>
      <c r="U439" s="311">
        <f t="shared" ca="1" si="176"/>
        <v>0</v>
      </c>
      <c r="V439" s="306">
        <f t="shared" ca="1" si="177"/>
        <v>1.2250860144063935</v>
      </c>
      <c r="W439" s="304">
        <f t="shared" ca="1" si="178"/>
        <v>7.1746161312749654</v>
      </c>
      <c r="Y439" s="314" t="str">
        <f t="shared" ca="1" si="196"/>
        <v/>
      </c>
      <c r="Z439" s="315" t="str">
        <f t="shared" ca="1" si="197"/>
        <v/>
      </c>
      <c r="AA439" s="316" t="str">
        <f t="shared" ca="1" si="198"/>
        <v/>
      </c>
      <c r="AC439" s="310" t="e">
        <f t="shared" ca="1" si="199"/>
        <v>#N/A</v>
      </c>
      <c r="AD439" s="323" t="e">
        <f t="shared" ca="1" si="200"/>
        <v>#N/A</v>
      </c>
      <c r="AE439" s="324">
        <f t="shared" ca="1" si="179"/>
        <v>-0.70213376908091552</v>
      </c>
      <c r="AG439" s="306">
        <f t="shared" ca="1" si="201"/>
        <v>6.3397248897198857</v>
      </c>
      <c r="AH439" s="304">
        <f t="shared" ca="1" si="202"/>
        <v>-3.442132368741202</v>
      </c>
    </row>
    <row r="440" spans="1:34" x14ac:dyDescent="0.2">
      <c r="A440" s="347">
        <f t="shared" ca="1" si="180"/>
        <v>1E-4</v>
      </c>
      <c r="B440" s="304">
        <f t="shared" ca="1" si="181"/>
        <v>12.013599999999943</v>
      </c>
      <c r="D440" s="306">
        <f t="shared" ca="1" si="182"/>
        <v>-0.26054468769300571</v>
      </c>
      <c r="E440" s="307">
        <f t="shared" ca="1" si="183"/>
        <v>-6.3776560433889422</v>
      </c>
      <c r="F440" s="304">
        <f t="shared" ca="1" si="184"/>
        <v>6.3829758061628699</v>
      </c>
      <c r="G440" s="306">
        <f t="shared" ca="1" si="185"/>
        <v>3.9136523890214967</v>
      </c>
      <c r="H440" s="307">
        <f t="shared" ca="1" si="186"/>
        <v>-51.558359677250913</v>
      </c>
      <c r="I440" s="304">
        <f t="shared" ca="1" si="187"/>
        <v>51.706683587625946</v>
      </c>
      <c r="J440" s="306">
        <f t="shared" ca="1" si="188"/>
        <v>56.288824373840264</v>
      </c>
      <c r="K440" s="307">
        <f t="shared" ca="1" si="189"/>
        <v>-0.70728957316036034</v>
      </c>
      <c r="L440" s="304">
        <f t="shared" ca="1" si="174"/>
        <v>56.293267873959273</v>
      </c>
      <c r="M440" s="306">
        <f t="shared" ca="1" si="190"/>
        <v>-1.4950343826261794</v>
      </c>
      <c r="N440" s="304">
        <f t="shared" ca="1" si="191"/>
        <v>-85.659160351426721</v>
      </c>
      <c r="P440" s="310">
        <f t="shared" ca="1" si="192"/>
        <v>23</v>
      </c>
      <c r="Q440" s="304">
        <f t="shared" ca="1" si="193"/>
        <v>0</v>
      </c>
      <c r="R440" s="306">
        <f t="shared" ca="1" si="194"/>
        <v>0</v>
      </c>
      <c r="S440" s="307">
        <f t="shared" ca="1" si="195"/>
        <v>2.0843000000000003</v>
      </c>
      <c r="T440" s="304">
        <f t="shared" ca="1" si="175"/>
        <v>20.446983000000003</v>
      </c>
      <c r="U440" s="311">
        <f t="shared" ca="1" si="176"/>
        <v>0</v>
      </c>
      <c r="V440" s="306">
        <f t="shared" ca="1" si="177"/>
        <v>1.2250866460369043</v>
      </c>
      <c r="W440" s="304">
        <f t="shared" ca="1" si="178"/>
        <v>7.1747957664067084</v>
      </c>
      <c r="Y440" s="314" t="str">
        <f t="shared" ca="1" si="196"/>
        <v/>
      </c>
      <c r="Z440" s="315" t="str">
        <f t="shared" ca="1" si="197"/>
        <v/>
      </c>
      <c r="AA440" s="316" t="str">
        <f t="shared" ca="1" si="198"/>
        <v/>
      </c>
      <c r="AC440" s="310" t="e">
        <f t="shared" ca="1" si="199"/>
        <v>#N/A</v>
      </c>
      <c r="AD440" s="323" t="e">
        <f t="shared" ca="1" si="200"/>
        <v>#N/A</v>
      </c>
      <c r="AE440" s="324">
        <f t="shared" ca="1" si="179"/>
        <v>-0.70728957316036034</v>
      </c>
      <c r="AG440" s="306">
        <f t="shared" ca="1" si="201"/>
        <v>6.3396397712000452</v>
      </c>
      <c r="AH440" s="304">
        <f t="shared" ca="1" si="202"/>
        <v>-3.4422185536031114</v>
      </c>
    </row>
    <row r="441" spans="1:34" x14ac:dyDescent="0.2">
      <c r="A441" s="347">
        <f t="shared" ca="1" si="180"/>
        <v>1E-4</v>
      </c>
      <c r="B441" s="304">
        <f t="shared" ca="1" si="181"/>
        <v>12.013699999999943</v>
      </c>
      <c r="D441" s="306">
        <f t="shared" ca="1" si="182"/>
        <v>-0.26054628200333579</v>
      </c>
      <c r="E441" s="307">
        <f t="shared" ca="1" si="183"/>
        <v>-6.3775697315935957</v>
      </c>
      <c r="F441" s="304">
        <f t="shared" ca="1" si="184"/>
        <v>6.3828896313820565</v>
      </c>
      <c r="G441" s="306">
        <f t="shared" ca="1" si="185"/>
        <v>3.9136263343932964</v>
      </c>
      <c r="H441" s="307">
        <f t="shared" ca="1" si="186"/>
        <v>-51.558997434224075</v>
      </c>
      <c r="I441" s="304">
        <f t="shared" ca="1" si="187"/>
        <v>51.707317543144519</v>
      </c>
      <c r="J441" s="306">
        <f t="shared" ca="1" si="188"/>
        <v>56.288824373840264</v>
      </c>
      <c r="K441" s="307">
        <f t="shared" ca="1" si="189"/>
        <v>-0.7124454410159341</v>
      </c>
      <c r="L441" s="304">
        <f t="shared" ca="1" si="174"/>
        <v>56.293332890276254</v>
      </c>
      <c r="M441" s="306">
        <f t="shared" ca="1" si="190"/>
        <v>-1.495035818619979</v>
      </c>
      <c r="N441" s="304">
        <f t="shared" ca="1" si="191"/>
        <v>-85.659242627810855</v>
      </c>
      <c r="P441" s="310">
        <f t="shared" ca="1" si="192"/>
        <v>23</v>
      </c>
      <c r="Q441" s="304">
        <f t="shared" ca="1" si="193"/>
        <v>0</v>
      </c>
      <c r="R441" s="306">
        <f t="shared" ca="1" si="194"/>
        <v>0</v>
      </c>
      <c r="S441" s="307">
        <f t="shared" ca="1" si="195"/>
        <v>2.0843000000000003</v>
      </c>
      <c r="T441" s="304">
        <f t="shared" ca="1" si="175"/>
        <v>20.446983000000003</v>
      </c>
      <c r="U441" s="311">
        <f t="shared" ca="1" si="176"/>
        <v>0</v>
      </c>
      <c r="V441" s="306">
        <f t="shared" ca="1" si="177"/>
        <v>1.2250872776755535</v>
      </c>
      <c r="W441" s="304">
        <f t="shared" ca="1" si="178"/>
        <v>7.1749754015624267</v>
      </c>
      <c r="Y441" s="314" t="str">
        <f t="shared" ca="1" si="196"/>
        <v/>
      </c>
      <c r="Z441" s="315" t="str">
        <f t="shared" ca="1" si="197"/>
        <v/>
      </c>
      <c r="AA441" s="316" t="str">
        <f t="shared" ca="1" si="198"/>
        <v/>
      </c>
      <c r="AC441" s="310" t="e">
        <f t="shared" ca="1" si="199"/>
        <v>#N/A</v>
      </c>
      <c r="AD441" s="323" t="e">
        <f t="shared" ca="1" si="200"/>
        <v>#N/A</v>
      </c>
      <c r="AE441" s="324">
        <f t="shared" ca="1" si="179"/>
        <v>-0.7124454410159341</v>
      </c>
      <c r="AG441" s="306">
        <f t="shared" ca="1" si="201"/>
        <v>6.3395546526152398</v>
      </c>
      <c r="AH441" s="304">
        <f t="shared" ca="1" si="202"/>
        <v>-3.4423047384765666</v>
      </c>
    </row>
    <row r="442" spans="1:34" x14ac:dyDescent="0.2">
      <c r="A442" s="347">
        <f t="shared" ca="1" si="180"/>
        <v>1E-4</v>
      </c>
      <c r="B442" s="304">
        <f t="shared" ca="1" si="181"/>
        <v>12.013799999999943</v>
      </c>
      <c r="D442" s="306">
        <f t="shared" ca="1" si="182"/>
        <v>-0.26054787622086401</v>
      </c>
      <c r="E442" s="307">
        <f t="shared" ca="1" si="183"/>
        <v>-6.3774834197867882</v>
      </c>
      <c r="F442" s="304">
        <f t="shared" ca="1" si="184"/>
        <v>6.3828034565901044</v>
      </c>
      <c r="G442" s="306">
        <f t="shared" ca="1" si="185"/>
        <v>3.9136002796056744</v>
      </c>
      <c r="H442" s="307">
        <f t="shared" ca="1" si="186"/>
        <v>-51.559635182566055</v>
      </c>
      <c r="I442" s="304">
        <f t="shared" ca="1" si="187"/>
        <v>51.707951490151231</v>
      </c>
      <c r="J442" s="306">
        <f t="shared" ca="1" si="188"/>
        <v>56.288824373840264</v>
      </c>
      <c r="K442" s="307">
        <f t="shared" ca="1" si="189"/>
        <v>-0.71760137264677359</v>
      </c>
      <c r="L442" s="304">
        <f t="shared" ca="1" si="174"/>
        <v>56.293398379552983</v>
      </c>
      <c r="M442" s="306">
        <f t="shared" ca="1" si="190"/>
        <v>-1.4950372545690078</v>
      </c>
      <c r="N442" s="304">
        <f t="shared" ca="1" si="191"/>
        <v>-85.659324901629802</v>
      </c>
      <c r="P442" s="310">
        <f t="shared" ca="1" si="192"/>
        <v>23</v>
      </c>
      <c r="Q442" s="304">
        <f t="shared" ca="1" si="193"/>
        <v>0</v>
      </c>
      <c r="R442" s="306">
        <f t="shared" ca="1" si="194"/>
        <v>0</v>
      </c>
      <c r="S442" s="307">
        <f t="shared" ca="1" si="195"/>
        <v>2.0843000000000003</v>
      </c>
      <c r="T442" s="304">
        <f t="shared" ca="1" si="175"/>
        <v>20.446983000000003</v>
      </c>
      <c r="U442" s="311">
        <f t="shared" ca="1" si="176"/>
        <v>0</v>
      </c>
      <c r="V442" s="306">
        <f t="shared" ca="1" si="177"/>
        <v>1.2250879093223417</v>
      </c>
      <c r="W442" s="304">
        <f t="shared" ca="1" si="178"/>
        <v>7.1751550367420389</v>
      </c>
      <c r="Y442" s="314" t="str">
        <f t="shared" ca="1" si="196"/>
        <v/>
      </c>
      <c r="Z442" s="315" t="str">
        <f t="shared" ca="1" si="197"/>
        <v/>
      </c>
      <c r="AA442" s="316" t="str">
        <f t="shared" ca="1" si="198"/>
        <v/>
      </c>
      <c r="AC442" s="310" t="e">
        <f t="shared" ca="1" si="199"/>
        <v>#N/A</v>
      </c>
      <c r="AD442" s="323" t="e">
        <f t="shared" ca="1" si="200"/>
        <v>#N/A</v>
      </c>
      <c r="AE442" s="324">
        <f t="shared" ca="1" si="179"/>
        <v>-0.71760137264677359</v>
      </c>
      <c r="AG442" s="306">
        <f t="shared" ca="1" si="201"/>
        <v>6.3394695339655156</v>
      </c>
      <c r="AH442" s="304">
        <f t="shared" ca="1" si="202"/>
        <v>-3.4423909233615246</v>
      </c>
    </row>
    <row r="443" spans="1:34" x14ac:dyDescent="0.2">
      <c r="A443" s="347">
        <f t="shared" ca="1" si="180"/>
        <v>1E-4</v>
      </c>
      <c r="B443" s="304">
        <f t="shared" ca="1" si="181"/>
        <v>12.013899999999943</v>
      </c>
      <c r="D443" s="306">
        <f t="shared" ca="1" si="182"/>
        <v>-0.26054947034559134</v>
      </c>
      <c r="E443" s="307">
        <f t="shared" ca="1" si="183"/>
        <v>-6.3773971079685579</v>
      </c>
      <c r="F443" s="304">
        <f t="shared" ca="1" si="184"/>
        <v>6.3827172817870519</v>
      </c>
      <c r="G443" s="306">
        <f t="shared" ca="1" si="185"/>
        <v>3.9135742246586398</v>
      </c>
      <c r="H443" s="307">
        <f t="shared" ca="1" si="186"/>
        <v>-51.560272922276852</v>
      </c>
      <c r="I443" s="304">
        <f t="shared" ca="1" si="187"/>
        <v>51.708585428646067</v>
      </c>
      <c r="J443" s="306">
        <f t="shared" ca="1" si="188"/>
        <v>56.288824373840264</v>
      </c>
      <c r="K443" s="307">
        <f t="shared" ca="1" si="189"/>
        <v>-0.72275736805201574</v>
      </c>
      <c r="L443" s="304">
        <f t="shared" ca="1" si="174"/>
        <v>56.293464341805318</v>
      </c>
      <c r="M443" s="306">
        <f t="shared" ca="1" si="190"/>
        <v>-1.4950386904732678</v>
      </c>
      <c r="N443" s="304">
        <f t="shared" ca="1" si="191"/>
        <v>-85.659407172883675</v>
      </c>
      <c r="P443" s="310">
        <f t="shared" ca="1" si="192"/>
        <v>23</v>
      </c>
      <c r="Q443" s="304">
        <f t="shared" ca="1" si="193"/>
        <v>0</v>
      </c>
      <c r="R443" s="306">
        <f t="shared" ca="1" si="194"/>
        <v>0</v>
      </c>
      <c r="S443" s="307">
        <f t="shared" ca="1" si="195"/>
        <v>2.0843000000000003</v>
      </c>
      <c r="T443" s="304">
        <f t="shared" ca="1" si="175"/>
        <v>20.446983000000003</v>
      </c>
      <c r="U443" s="311">
        <f t="shared" ca="1" si="176"/>
        <v>0</v>
      </c>
      <c r="V443" s="306">
        <f t="shared" ca="1" si="177"/>
        <v>1.2250885409772685</v>
      </c>
      <c r="W443" s="304">
        <f t="shared" ca="1" si="178"/>
        <v>7.1753346719454578</v>
      </c>
      <c r="Y443" s="314" t="str">
        <f t="shared" ca="1" si="196"/>
        <v/>
      </c>
      <c r="Z443" s="315" t="str">
        <f t="shared" ca="1" si="197"/>
        <v/>
      </c>
      <c r="AA443" s="316" t="str">
        <f t="shared" ca="1" si="198"/>
        <v/>
      </c>
      <c r="AC443" s="310" t="e">
        <f t="shared" ca="1" si="199"/>
        <v>#N/A</v>
      </c>
      <c r="AD443" s="323" t="e">
        <f t="shared" ca="1" si="200"/>
        <v>#N/A</v>
      </c>
      <c r="AE443" s="324">
        <f t="shared" ca="1" si="179"/>
        <v>-0.72275736805201574</v>
      </c>
      <c r="AG443" s="306">
        <f t="shared" ca="1" si="201"/>
        <v>6.3393844152509153</v>
      </c>
      <c r="AH443" s="304">
        <f t="shared" ca="1" si="202"/>
        <v>-3.4424771082579464</v>
      </c>
    </row>
    <row r="444" spans="1:34" x14ac:dyDescent="0.2">
      <c r="A444" s="347">
        <f t="shared" ca="1" si="180"/>
        <v>1E-4</v>
      </c>
      <c r="B444" s="304">
        <f t="shared" ca="1" si="181"/>
        <v>12.013999999999943</v>
      </c>
      <c r="D444" s="306">
        <f t="shared" ca="1" si="182"/>
        <v>-0.26055106437751913</v>
      </c>
      <c r="E444" s="307">
        <f t="shared" ca="1" si="183"/>
        <v>-6.3773107961389464</v>
      </c>
      <c r="F444" s="304">
        <f t="shared" ca="1" si="184"/>
        <v>6.3826311069729398</v>
      </c>
      <c r="G444" s="306">
        <f t="shared" ca="1" si="185"/>
        <v>3.9135481695522021</v>
      </c>
      <c r="H444" s="307">
        <f t="shared" ca="1" si="186"/>
        <v>-51.560910653356466</v>
      </c>
      <c r="I444" s="304">
        <f t="shared" ca="1" si="187"/>
        <v>51.709219358629014</v>
      </c>
      <c r="J444" s="306">
        <f t="shared" ca="1" si="188"/>
        <v>56.288824373840264</v>
      </c>
      <c r="K444" s="307">
        <f t="shared" ca="1" si="189"/>
        <v>-0.72791342723079744</v>
      </c>
      <c r="L444" s="304">
        <f t="shared" ca="1" si="174"/>
        <v>56.293530777049121</v>
      </c>
      <c r="M444" s="306">
        <f t="shared" ca="1" si="190"/>
        <v>-1.4950401263327613</v>
      </c>
      <c r="N444" s="304">
        <f t="shared" ca="1" si="191"/>
        <v>-85.659489441572632</v>
      </c>
      <c r="P444" s="310">
        <f t="shared" ca="1" si="192"/>
        <v>23</v>
      </c>
      <c r="Q444" s="304">
        <f t="shared" ca="1" si="193"/>
        <v>0</v>
      </c>
      <c r="R444" s="306">
        <f t="shared" ca="1" si="194"/>
        <v>0</v>
      </c>
      <c r="S444" s="307">
        <f t="shared" ca="1" si="195"/>
        <v>2.0843000000000003</v>
      </c>
      <c r="T444" s="304">
        <f t="shared" ca="1" si="175"/>
        <v>20.446983000000003</v>
      </c>
      <c r="U444" s="311">
        <f t="shared" ca="1" si="176"/>
        <v>0</v>
      </c>
      <c r="V444" s="306">
        <f t="shared" ca="1" si="177"/>
        <v>1.2250891726403341</v>
      </c>
      <c r="W444" s="304">
        <f t="shared" ca="1" si="178"/>
        <v>7.1755143071725929</v>
      </c>
      <c r="Y444" s="314" t="str">
        <f t="shared" ca="1" si="196"/>
        <v/>
      </c>
      <c r="Z444" s="315" t="str">
        <f t="shared" ca="1" si="197"/>
        <v/>
      </c>
      <c r="AA444" s="316" t="str">
        <f t="shared" ca="1" si="198"/>
        <v/>
      </c>
      <c r="AC444" s="310" t="e">
        <f t="shared" ca="1" si="199"/>
        <v>#N/A</v>
      </c>
      <c r="AD444" s="323" t="e">
        <f t="shared" ca="1" si="200"/>
        <v>#N/A</v>
      </c>
      <c r="AE444" s="324">
        <f t="shared" ca="1" si="179"/>
        <v>-0.72791342723079744</v>
      </c>
      <c r="AG444" s="306">
        <f t="shared" ca="1" si="201"/>
        <v>6.3392992964714825</v>
      </c>
      <c r="AH444" s="304">
        <f t="shared" ca="1" si="202"/>
        <v>-3.4425632931657906</v>
      </c>
    </row>
    <row r="445" spans="1:34" x14ac:dyDescent="0.2">
      <c r="A445" s="347">
        <f t="shared" ca="1" si="180"/>
        <v>1E-4</v>
      </c>
      <c r="B445" s="304">
        <f t="shared" ca="1" si="181"/>
        <v>12.014099999999942</v>
      </c>
      <c r="D445" s="306">
        <f t="shared" ca="1" si="182"/>
        <v>-0.26055265831664726</v>
      </c>
      <c r="E445" s="307">
        <f t="shared" ca="1" si="183"/>
        <v>-6.377224484297999</v>
      </c>
      <c r="F445" s="304">
        <f t="shared" ca="1" si="184"/>
        <v>6.3825449321478152</v>
      </c>
      <c r="G445" s="306">
        <f t="shared" ca="1" si="185"/>
        <v>3.9135221142863705</v>
      </c>
      <c r="H445" s="307">
        <f t="shared" ca="1" si="186"/>
        <v>-51.561548375804897</v>
      </c>
      <c r="I445" s="304">
        <f t="shared" ca="1" si="187"/>
        <v>51.709853280100084</v>
      </c>
      <c r="J445" s="306">
        <f t="shared" ca="1" si="188"/>
        <v>56.288824373840264</v>
      </c>
      <c r="K445" s="307">
        <f t="shared" ca="1" si="189"/>
        <v>-0.7330695501822555</v>
      </c>
      <c r="L445" s="304">
        <f t="shared" ca="1" si="174"/>
        <v>56.29359768530022</v>
      </c>
      <c r="M445" s="306">
        <f t="shared" ca="1" si="190"/>
        <v>-1.4950415621474902</v>
      </c>
      <c r="N445" s="304">
        <f t="shared" ca="1" si="191"/>
        <v>-85.659571707696756</v>
      </c>
      <c r="P445" s="310">
        <f t="shared" ca="1" si="192"/>
        <v>23</v>
      </c>
      <c r="Q445" s="304">
        <f t="shared" ca="1" si="193"/>
        <v>0</v>
      </c>
      <c r="R445" s="306">
        <f t="shared" ca="1" si="194"/>
        <v>0</v>
      </c>
      <c r="S445" s="307">
        <f t="shared" ca="1" si="195"/>
        <v>2.0843000000000003</v>
      </c>
      <c r="T445" s="304">
        <f t="shared" ca="1" si="175"/>
        <v>20.446983000000003</v>
      </c>
      <c r="U445" s="311">
        <f t="shared" ca="1" si="176"/>
        <v>0</v>
      </c>
      <c r="V445" s="306">
        <f t="shared" ca="1" si="177"/>
        <v>1.2250898043115375</v>
      </c>
      <c r="W445" s="304">
        <f t="shared" ca="1" si="178"/>
        <v>7.1756939424233614</v>
      </c>
      <c r="Y445" s="314" t="str">
        <f t="shared" ca="1" si="196"/>
        <v/>
      </c>
      <c r="Z445" s="315" t="str">
        <f t="shared" ca="1" si="197"/>
        <v/>
      </c>
      <c r="AA445" s="316" t="str">
        <f t="shared" ca="1" si="198"/>
        <v/>
      </c>
      <c r="AC445" s="310" t="e">
        <f t="shared" ca="1" si="199"/>
        <v>#N/A</v>
      </c>
      <c r="AD445" s="323" t="e">
        <f t="shared" ca="1" si="200"/>
        <v>#N/A</v>
      </c>
      <c r="AE445" s="324">
        <f t="shared" ca="1" si="179"/>
        <v>-0.7330695501822555</v>
      </c>
      <c r="AG445" s="306">
        <f t="shared" ca="1" si="201"/>
        <v>6.3392141776272659</v>
      </c>
      <c r="AH445" s="304">
        <f t="shared" ca="1" si="202"/>
        <v>-3.4426494780850128</v>
      </c>
    </row>
    <row r="446" spans="1:34" x14ac:dyDescent="0.2">
      <c r="A446" s="347">
        <f t="shared" ca="1" si="180"/>
        <v>1E-4</v>
      </c>
      <c r="B446" s="304">
        <f t="shared" ca="1" si="181"/>
        <v>12.014199999999942</v>
      </c>
      <c r="D446" s="306">
        <f t="shared" ca="1" si="182"/>
        <v>-0.26055425216297817</v>
      </c>
      <c r="E446" s="307">
        <f t="shared" ca="1" si="183"/>
        <v>-6.377138172445755</v>
      </c>
      <c r="F446" s="304">
        <f t="shared" ca="1" si="184"/>
        <v>6.3824587573117144</v>
      </c>
      <c r="G446" s="306">
        <f t="shared" ca="1" si="185"/>
        <v>3.913496058861154</v>
      </c>
      <c r="H446" s="307">
        <f t="shared" ca="1" si="186"/>
        <v>-51.562186089622138</v>
      </c>
      <c r="I446" s="304">
        <f t="shared" ca="1" si="187"/>
        <v>51.710487193059244</v>
      </c>
      <c r="J446" s="306">
        <f t="shared" ca="1" si="188"/>
        <v>56.288824373840264</v>
      </c>
      <c r="K446" s="307">
        <f t="shared" ca="1" si="189"/>
        <v>-0.73822573690552684</v>
      </c>
      <c r="L446" s="304">
        <f t="shared" ca="1" si="174"/>
        <v>56.293665066574441</v>
      </c>
      <c r="M446" s="306">
        <f t="shared" ca="1" si="190"/>
        <v>-1.4950429979174569</v>
      </c>
      <c r="N446" s="304">
        <f t="shared" ca="1" si="191"/>
        <v>-85.659653971256205</v>
      </c>
      <c r="P446" s="310">
        <f t="shared" ca="1" si="192"/>
        <v>23</v>
      </c>
      <c r="Q446" s="304">
        <f t="shared" ca="1" si="193"/>
        <v>0</v>
      </c>
      <c r="R446" s="306">
        <f t="shared" ca="1" si="194"/>
        <v>0</v>
      </c>
      <c r="S446" s="307">
        <f t="shared" ca="1" si="195"/>
        <v>2.0843000000000003</v>
      </c>
      <c r="T446" s="304">
        <f t="shared" ca="1" si="175"/>
        <v>20.446983000000003</v>
      </c>
      <c r="U446" s="311">
        <f t="shared" ca="1" si="176"/>
        <v>0</v>
      </c>
      <c r="V446" s="306">
        <f t="shared" ca="1" si="177"/>
        <v>1.2250904359908799</v>
      </c>
      <c r="W446" s="304">
        <f t="shared" ca="1" si="178"/>
        <v>7.1758735776976765</v>
      </c>
      <c r="Y446" s="314" t="str">
        <f t="shared" ca="1" si="196"/>
        <v/>
      </c>
      <c r="Z446" s="315" t="str">
        <f t="shared" ca="1" si="197"/>
        <v/>
      </c>
      <c r="AA446" s="316" t="str">
        <f t="shared" ca="1" si="198"/>
        <v/>
      </c>
      <c r="AC446" s="310" t="e">
        <f t="shared" ca="1" si="199"/>
        <v>#N/A</v>
      </c>
      <c r="AD446" s="323" t="e">
        <f t="shared" ca="1" si="200"/>
        <v>#N/A</v>
      </c>
      <c r="AE446" s="324">
        <f t="shared" ca="1" si="179"/>
        <v>-0.73822573690552684</v>
      </c>
      <c r="AG446" s="306">
        <f t="shared" ca="1" si="201"/>
        <v>6.3391290587183065</v>
      </c>
      <c r="AH446" s="304">
        <f t="shared" ca="1" si="202"/>
        <v>-3.4427356630155739</v>
      </c>
    </row>
    <row r="447" spans="1:34" x14ac:dyDescent="0.2">
      <c r="A447" s="347">
        <f t="shared" ca="1" si="180"/>
        <v>1E-4</v>
      </c>
      <c r="B447" s="304">
        <f t="shared" ca="1" si="181"/>
        <v>12.014299999999942</v>
      </c>
      <c r="D447" s="306">
        <f t="shared" ca="1" si="182"/>
        <v>-0.26055584591651182</v>
      </c>
      <c r="E447" s="307">
        <f t="shared" ca="1" si="183"/>
        <v>-6.377051860582255</v>
      </c>
      <c r="F447" s="304">
        <f t="shared" ca="1" si="184"/>
        <v>6.3823725824646802</v>
      </c>
      <c r="G447" s="306">
        <f t="shared" ca="1" si="185"/>
        <v>3.9134700032765624</v>
      </c>
      <c r="H447" s="307">
        <f t="shared" ca="1" si="186"/>
        <v>-51.562823794808196</v>
      </c>
      <c r="I447" s="304">
        <f t="shared" ca="1" si="187"/>
        <v>51.711121097506513</v>
      </c>
      <c r="J447" s="306">
        <f t="shared" ca="1" si="188"/>
        <v>56.288824373840264</v>
      </c>
      <c r="K447" s="307">
        <f t="shared" ca="1" si="189"/>
        <v>-0.74338198739974837</v>
      </c>
      <c r="L447" s="304">
        <f t="shared" ca="1" si="174"/>
        <v>56.293732920887599</v>
      </c>
      <c r="M447" s="306">
        <f t="shared" ca="1" si="190"/>
        <v>-1.4950444336426638</v>
      </c>
      <c r="N447" s="304">
        <f t="shared" ca="1" si="191"/>
        <v>-85.659736232251106</v>
      </c>
      <c r="P447" s="310">
        <f t="shared" ca="1" si="192"/>
        <v>23</v>
      </c>
      <c r="Q447" s="304">
        <f t="shared" ca="1" si="193"/>
        <v>0</v>
      </c>
      <c r="R447" s="306">
        <f t="shared" ca="1" si="194"/>
        <v>0</v>
      </c>
      <c r="S447" s="307">
        <f t="shared" ca="1" si="195"/>
        <v>2.0843000000000003</v>
      </c>
      <c r="T447" s="304">
        <f t="shared" ca="1" si="175"/>
        <v>20.446983000000003</v>
      </c>
      <c r="U447" s="311">
        <f t="shared" ca="1" si="176"/>
        <v>0</v>
      </c>
      <c r="V447" s="306">
        <f t="shared" ca="1" si="177"/>
        <v>1.2250910676783602</v>
      </c>
      <c r="W447" s="304">
        <f t="shared" ca="1" si="178"/>
        <v>7.176053212995452</v>
      </c>
      <c r="Y447" s="314" t="str">
        <f t="shared" ca="1" si="196"/>
        <v/>
      </c>
      <c r="Z447" s="315" t="str">
        <f t="shared" ca="1" si="197"/>
        <v/>
      </c>
      <c r="AA447" s="316" t="str">
        <f t="shared" ca="1" si="198"/>
        <v/>
      </c>
      <c r="AC447" s="310" t="e">
        <f t="shared" ca="1" si="199"/>
        <v>#N/A</v>
      </c>
      <c r="AD447" s="323" t="e">
        <f t="shared" ca="1" si="200"/>
        <v>#N/A</v>
      </c>
      <c r="AE447" s="324">
        <f t="shared" ca="1" si="179"/>
        <v>-0.74338198739974837</v>
      </c>
      <c r="AG447" s="306">
        <f t="shared" ca="1" si="201"/>
        <v>6.3390439397446556</v>
      </c>
      <c r="AH447" s="304">
        <f t="shared" ca="1" si="202"/>
        <v>-3.4428218479574322</v>
      </c>
    </row>
    <row r="448" spans="1:34" x14ac:dyDescent="0.2">
      <c r="A448" s="347">
        <f t="shared" ca="1" si="180"/>
        <v>1E-4</v>
      </c>
      <c r="B448" s="304">
        <f t="shared" ca="1" si="181"/>
        <v>12.014399999999942</v>
      </c>
      <c r="D448" s="306">
        <f t="shared" ca="1" si="182"/>
        <v>-0.2605574395772482</v>
      </c>
      <c r="E448" s="307">
        <f t="shared" ca="1" si="183"/>
        <v>-6.3769655487075418</v>
      </c>
      <c r="F448" s="304">
        <f t="shared" ca="1" si="184"/>
        <v>6.3822864076067543</v>
      </c>
      <c r="G448" s="306">
        <f t="shared" ca="1" si="185"/>
        <v>3.9134439475326048</v>
      </c>
      <c r="H448" s="307">
        <f t="shared" ca="1" si="186"/>
        <v>-51.563461491363064</v>
      </c>
      <c r="I448" s="304">
        <f t="shared" ca="1" si="187"/>
        <v>51.711754993441879</v>
      </c>
      <c r="J448" s="306">
        <f t="shared" ca="1" si="188"/>
        <v>56.288824373840264</v>
      </c>
      <c r="K448" s="307">
        <f t="shared" ca="1" si="189"/>
        <v>-0.74853830166405688</v>
      </c>
      <c r="L448" s="304">
        <f t="shared" ca="1" si="174"/>
        <v>56.293801248255498</v>
      </c>
      <c r="M448" s="306">
        <f t="shared" ca="1" si="190"/>
        <v>-1.4950458693231126</v>
      </c>
      <c r="N448" s="304">
        <f t="shared" ca="1" si="191"/>
        <v>-85.659818490681545</v>
      </c>
      <c r="P448" s="310">
        <f t="shared" ca="1" si="192"/>
        <v>23</v>
      </c>
      <c r="Q448" s="304">
        <f t="shared" ca="1" si="193"/>
        <v>0</v>
      </c>
      <c r="R448" s="306">
        <f t="shared" ca="1" si="194"/>
        <v>0</v>
      </c>
      <c r="S448" s="307">
        <f t="shared" ca="1" si="195"/>
        <v>2.0843000000000003</v>
      </c>
      <c r="T448" s="304">
        <f t="shared" ca="1" si="175"/>
        <v>20.446983000000003</v>
      </c>
      <c r="U448" s="311">
        <f t="shared" ca="1" si="176"/>
        <v>0</v>
      </c>
      <c r="V448" s="306">
        <f t="shared" ca="1" si="177"/>
        <v>1.2250916993739787</v>
      </c>
      <c r="W448" s="304">
        <f t="shared" ca="1" si="178"/>
        <v>7.1762328483166069</v>
      </c>
      <c r="Y448" s="314" t="str">
        <f t="shared" ca="1" si="196"/>
        <v/>
      </c>
      <c r="Z448" s="315" t="str">
        <f t="shared" ca="1" si="197"/>
        <v/>
      </c>
      <c r="AA448" s="316" t="str">
        <f t="shared" ca="1" si="198"/>
        <v/>
      </c>
      <c r="AC448" s="310" t="e">
        <f t="shared" ca="1" si="199"/>
        <v>#N/A</v>
      </c>
      <c r="AD448" s="323" t="e">
        <f t="shared" ca="1" si="200"/>
        <v>#N/A</v>
      </c>
      <c r="AE448" s="324">
        <f t="shared" ca="1" si="179"/>
        <v>-0.74853830166405688</v>
      </c>
      <c r="AG448" s="306">
        <f t="shared" ca="1" si="201"/>
        <v>6.3389588207063507</v>
      </c>
      <c r="AH448" s="304">
        <f t="shared" ca="1" si="202"/>
        <v>-3.4429080329105459</v>
      </c>
    </row>
    <row r="449" spans="1:34" x14ac:dyDescent="0.2">
      <c r="A449" s="347">
        <f t="shared" ca="1" si="180"/>
        <v>1E-4</v>
      </c>
      <c r="B449" s="304">
        <f t="shared" ca="1" si="181"/>
        <v>12.014499999999941</v>
      </c>
      <c r="D449" s="306">
        <f t="shared" ca="1" si="182"/>
        <v>-0.26055903314519058</v>
      </c>
      <c r="E449" s="307">
        <f t="shared" ca="1" si="183"/>
        <v>-6.3768792368216527</v>
      </c>
      <c r="F449" s="304">
        <f t="shared" ca="1" si="184"/>
        <v>6.3822002327379757</v>
      </c>
      <c r="G449" s="306">
        <f t="shared" ca="1" si="185"/>
        <v>3.9134178916292903</v>
      </c>
      <c r="H449" s="307">
        <f t="shared" ca="1" si="186"/>
        <v>-51.56409917928675</v>
      </c>
      <c r="I449" s="304">
        <f t="shared" ca="1" si="187"/>
        <v>51.712388880865333</v>
      </c>
      <c r="J449" s="306">
        <f t="shared" ca="1" si="188"/>
        <v>56.288824373840264</v>
      </c>
      <c r="K449" s="307">
        <f t="shared" ca="1" si="189"/>
        <v>-0.75369467969758941</v>
      </c>
      <c r="L449" s="304">
        <f t="shared" ca="1" si="174"/>
        <v>56.293870048693918</v>
      </c>
      <c r="M449" s="306">
        <f t="shared" ca="1" si="190"/>
        <v>-1.4950473049588058</v>
      </c>
      <c r="N449" s="304">
        <f t="shared" ca="1" si="191"/>
        <v>-85.659900746547677</v>
      </c>
      <c r="P449" s="310">
        <f t="shared" ca="1" si="192"/>
        <v>23</v>
      </c>
      <c r="Q449" s="304">
        <f t="shared" ca="1" si="193"/>
        <v>0</v>
      </c>
      <c r="R449" s="306">
        <f t="shared" ca="1" si="194"/>
        <v>0</v>
      </c>
      <c r="S449" s="307">
        <f t="shared" ca="1" si="195"/>
        <v>2.0843000000000003</v>
      </c>
      <c r="T449" s="304">
        <f t="shared" ca="1" si="175"/>
        <v>20.446983000000003</v>
      </c>
      <c r="U449" s="311">
        <f t="shared" ca="1" si="176"/>
        <v>0</v>
      </c>
      <c r="V449" s="306">
        <f t="shared" ca="1" si="177"/>
        <v>1.2250923310777351</v>
      </c>
      <c r="W449" s="304">
        <f t="shared" ca="1" si="178"/>
        <v>7.1764124836610472</v>
      </c>
      <c r="Y449" s="314" t="str">
        <f t="shared" ca="1" si="196"/>
        <v/>
      </c>
      <c r="Z449" s="315" t="str">
        <f t="shared" ca="1" si="197"/>
        <v/>
      </c>
      <c r="AA449" s="316" t="str">
        <f t="shared" ca="1" si="198"/>
        <v/>
      </c>
      <c r="AC449" s="310" t="e">
        <f t="shared" ca="1" si="199"/>
        <v>#N/A</v>
      </c>
      <c r="AD449" s="323" t="e">
        <f t="shared" ca="1" si="200"/>
        <v>#N/A</v>
      </c>
      <c r="AE449" s="324">
        <f t="shared" ca="1" si="179"/>
        <v>-0.75369467969758941</v>
      </c>
      <c r="AG449" s="306">
        <f t="shared" ca="1" si="201"/>
        <v>6.3388737016034371</v>
      </c>
      <c r="AH449" s="304">
        <f t="shared" ca="1" si="202"/>
        <v>-3.4429942178748769</v>
      </c>
    </row>
    <row r="450" spans="1:34" x14ac:dyDescent="0.2">
      <c r="A450" s="347">
        <f t="shared" ca="1" si="180"/>
        <v>1E-4</v>
      </c>
      <c r="B450" s="304">
        <f t="shared" ca="1" si="181"/>
        <v>12.014599999999941</v>
      </c>
      <c r="D450" s="306">
        <f t="shared" ca="1" si="182"/>
        <v>-0.26056062662033791</v>
      </c>
      <c r="E450" s="307">
        <f t="shared" ca="1" si="183"/>
        <v>-6.3767929249246347</v>
      </c>
      <c r="F450" s="304">
        <f t="shared" ca="1" si="184"/>
        <v>6.3821140578583879</v>
      </c>
      <c r="G450" s="306">
        <f t="shared" ca="1" si="185"/>
        <v>3.9133918355666282</v>
      </c>
      <c r="H450" s="307">
        <f t="shared" ca="1" si="186"/>
        <v>-51.564736858579245</v>
      </c>
      <c r="I450" s="304">
        <f t="shared" ca="1" si="187"/>
        <v>51.713022759776869</v>
      </c>
      <c r="J450" s="306">
        <f t="shared" ca="1" si="188"/>
        <v>56.288824373840264</v>
      </c>
      <c r="K450" s="307">
        <f t="shared" ca="1" si="189"/>
        <v>-0.75885112149948275</v>
      </c>
      <c r="L450" s="304">
        <f t="shared" ca="1" si="174"/>
        <v>56.293939322218648</v>
      </c>
      <c r="M450" s="306">
        <f t="shared" ca="1" si="190"/>
        <v>-1.4950487405497455</v>
      </c>
      <c r="N450" s="304">
        <f t="shared" ca="1" si="191"/>
        <v>-85.659982999849632</v>
      </c>
      <c r="P450" s="310">
        <f t="shared" ca="1" si="192"/>
        <v>23</v>
      </c>
      <c r="Q450" s="304">
        <f t="shared" ca="1" si="193"/>
        <v>0</v>
      </c>
      <c r="R450" s="306">
        <f t="shared" ca="1" si="194"/>
        <v>0</v>
      </c>
      <c r="S450" s="307">
        <f t="shared" ca="1" si="195"/>
        <v>2.0843000000000003</v>
      </c>
      <c r="T450" s="304">
        <f t="shared" ca="1" si="175"/>
        <v>20.446983000000003</v>
      </c>
      <c r="U450" s="311">
        <f t="shared" ca="1" si="176"/>
        <v>0</v>
      </c>
      <c r="V450" s="306">
        <f t="shared" ca="1" si="177"/>
        <v>1.2250929627896296</v>
      </c>
      <c r="W450" s="304">
        <f t="shared" ca="1" si="178"/>
        <v>7.1765921190286948</v>
      </c>
      <c r="Y450" s="314" t="str">
        <f t="shared" ca="1" si="196"/>
        <v/>
      </c>
      <c r="Z450" s="315" t="str">
        <f t="shared" ca="1" si="197"/>
        <v/>
      </c>
      <c r="AA450" s="316" t="str">
        <f t="shared" ca="1" si="198"/>
        <v/>
      </c>
      <c r="AC450" s="310" t="e">
        <f t="shared" ca="1" si="199"/>
        <v>#N/A</v>
      </c>
      <c r="AD450" s="323" t="e">
        <f t="shared" ca="1" si="200"/>
        <v>#N/A</v>
      </c>
      <c r="AE450" s="324">
        <f t="shared" ca="1" si="179"/>
        <v>-0.75885112149948275</v>
      </c>
      <c r="AG450" s="306">
        <f t="shared" ca="1" si="201"/>
        <v>6.3387885824359662</v>
      </c>
      <c r="AH450" s="304">
        <f t="shared" ca="1" si="202"/>
        <v>-3.4430804028503799</v>
      </c>
    </row>
    <row r="451" spans="1:34" x14ac:dyDescent="0.2">
      <c r="A451" s="347">
        <f t="shared" ca="1" si="180"/>
        <v>1E-4</v>
      </c>
      <c r="B451" s="304">
        <f t="shared" ca="1" si="181"/>
        <v>12.014699999999941</v>
      </c>
      <c r="D451" s="306">
        <f t="shared" ca="1" si="182"/>
        <v>-0.26056222000269191</v>
      </c>
      <c r="E451" s="307">
        <f t="shared" ca="1" si="183"/>
        <v>-6.3767066130165233</v>
      </c>
      <c r="F451" s="304">
        <f t="shared" ca="1" si="184"/>
        <v>6.3820278829680301</v>
      </c>
      <c r="G451" s="306">
        <f t="shared" ca="1" si="185"/>
        <v>3.9133657793446277</v>
      </c>
      <c r="H451" s="307">
        <f t="shared" ca="1" si="186"/>
        <v>-51.565374529240543</v>
      </c>
      <c r="I451" s="304">
        <f t="shared" ca="1" si="187"/>
        <v>51.713656630176473</v>
      </c>
      <c r="J451" s="306">
        <f t="shared" ca="1" si="188"/>
        <v>56.288824373840264</v>
      </c>
      <c r="K451" s="307">
        <f t="shared" ca="1" si="189"/>
        <v>-0.76400762706887371</v>
      </c>
      <c r="L451" s="304">
        <f t="shared" ca="1" si="174"/>
        <v>56.294009068845448</v>
      </c>
      <c r="M451" s="306">
        <f t="shared" ca="1" si="190"/>
        <v>-1.4950501760959338</v>
      </c>
      <c r="N451" s="304">
        <f t="shared" ca="1" si="191"/>
        <v>-85.660065250587522</v>
      </c>
      <c r="P451" s="310">
        <f t="shared" ca="1" si="192"/>
        <v>23</v>
      </c>
      <c r="Q451" s="304">
        <f t="shared" ca="1" si="193"/>
        <v>0</v>
      </c>
      <c r="R451" s="306">
        <f t="shared" ca="1" si="194"/>
        <v>0</v>
      </c>
      <c r="S451" s="307">
        <f t="shared" ca="1" si="195"/>
        <v>2.0843000000000003</v>
      </c>
      <c r="T451" s="304">
        <f t="shared" ca="1" si="175"/>
        <v>20.446983000000003</v>
      </c>
      <c r="U451" s="311">
        <f t="shared" ca="1" si="176"/>
        <v>0</v>
      </c>
      <c r="V451" s="306">
        <f t="shared" ca="1" si="177"/>
        <v>1.2250935945096622</v>
      </c>
      <c r="W451" s="304">
        <f t="shared" ca="1" si="178"/>
        <v>7.1767717544194554</v>
      </c>
      <c r="Y451" s="314" t="str">
        <f t="shared" ca="1" si="196"/>
        <v/>
      </c>
      <c r="Z451" s="315" t="str">
        <f t="shared" ca="1" si="197"/>
        <v/>
      </c>
      <c r="AA451" s="316" t="str">
        <f t="shared" ca="1" si="198"/>
        <v/>
      </c>
      <c r="AC451" s="310" t="e">
        <f t="shared" ca="1" si="199"/>
        <v>#N/A</v>
      </c>
      <c r="AD451" s="323" t="e">
        <f t="shared" ca="1" si="200"/>
        <v>#N/A</v>
      </c>
      <c r="AE451" s="324">
        <f t="shared" ca="1" si="179"/>
        <v>-0.76400762706887371</v>
      </c>
      <c r="AG451" s="306">
        <f t="shared" ca="1" si="201"/>
        <v>6.3387034632039718</v>
      </c>
      <c r="AH451" s="304">
        <f t="shared" ca="1" si="202"/>
        <v>-3.4431665878370166</v>
      </c>
    </row>
    <row r="452" spans="1:34" x14ac:dyDescent="0.2">
      <c r="A452" s="347">
        <f t="shared" ca="1" si="180"/>
        <v>1E-4</v>
      </c>
      <c r="B452" s="304">
        <f t="shared" ca="1" si="181"/>
        <v>12.014799999999941</v>
      </c>
      <c r="D452" s="306">
        <f t="shared" ca="1" si="182"/>
        <v>-0.26056381329225309</v>
      </c>
      <c r="E452" s="307">
        <f t="shared" ca="1" si="183"/>
        <v>-6.3766203010973665</v>
      </c>
      <c r="F452" s="304">
        <f t="shared" ca="1" si="184"/>
        <v>6.3819417080669476</v>
      </c>
      <c r="G452" s="306">
        <f t="shared" ca="1" si="185"/>
        <v>3.9133397229632987</v>
      </c>
      <c r="H452" s="307">
        <f t="shared" ca="1" si="186"/>
        <v>-51.566012191270651</v>
      </c>
      <c r="I452" s="304">
        <f t="shared" ca="1" si="187"/>
        <v>51.714290492064144</v>
      </c>
      <c r="J452" s="306">
        <f t="shared" ca="1" si="188"/>
        <v>56.288824373840264</v>
      </c>
      <c r="K452" s="307">
        <f t="shared" ca="1" si="189"/>
        <v>-0.7691641964048993</v>
      </c>
      <c r="L452" s="304">
        <f t="shared" ref="L452:L515" ca="1" si="203">SQRT(pos_x^2+pos_z^2)</f>
        <v>56.294079288590069</v>
      </c>
      <c r="M452" s="306">
        <f t="shared" ca="1" si="190"/>
        <v>-1.4950516115973731</v>
      </c>
      <c r="N452" s="304">
        <f t="shared" ca="1" si="191"/>
        <v>-85.660147498761475</v>
      </c>
      <c r="P452" s="310">
        <f t="shared" ca="1" si="192"/>
        <v>23</v>
      </c>
      <c r="Q452" s="304">
        <f t="shared" ca="1" si="193"/>
        <v>0</v>
      </c>
      <c r="R452" s="306">
        <f t="shared" ca="1" si="194"/>
        <v>0</v>
      </c>
      <c r="S452" s="307">
        <f t="shared" ca="1" si="195"/>
        <v>2.0843000000000003</v>
      </c>
      <c r="T452" s="304">
        <f t="shared" ref="T452:T515" ca="1" si="204">m*g</f>
        <v>20.446983000000003</v>
      </c>
      <c r="U452" s="311">
        <f t="shared" ref="U452:U515" ca="1" si="205">IF(pos_xz&lt;L_rampe,Poids*COS(Beta),0)</f>
        <v>0</v>
      </c>
      <c r="V452" s="306">
        <f t="shared" ref="V452:V515" ca="1" si="206">Rho_moyen*(20000-Alt_rampe-pos_z)/(20000+Alt_rampe+pos_z)</f>
        <v>1.2250942262378319</v>
      </c>
      <c r="W452" s="304">
        <f t="shared" ref="W452:W515" ca="1" si="207">1/2*Rho*Sref*Cx*vit_xz^2</f>
        <v>7.1769513898332438</v>
      </c>
      <c r="Y452" s="314" t="str">
        <f t="shared" ca="1" si="196"/>
        <v/>
      </c>
      <c r="Z452" s="315" t="str">
        <f t="shared" ca="1" si="197"/>
        <v/>
      </c>
      <c r="AA452" s="316" t="str">
        <f t="shared" ca="1" si="198"/>
        <v/>
      </c>
      <c r="AC452" s="310" t="e">
        <f t="shared" ca="1" si="199"/>
        <v>#N/A</v>
      </c>
      <c r="AD452" s="323" t="e">
        <f t="shared" ca="1" si="200"/>
        <v>#N/A</v>
      </c>
      <c r="AE452" s="324">
        <f t="shared" ref="AE452:AE515" ca="1" si="208">IF(t&lt;T_para, pos_z, NA())</f>
        <v>-0.7691641964048993</v>
      </c>
      <c r="AG452" s="306">
        <f t="shared" ca="1" si="201"/>
        <v>6.338618343907509</v>
      </c>
      <c r="AH452" s="304">
        <f t="shared" ca="1" si="202"/>
        <v>-3.4432527728347426</v>
      </c>
    </row>
    <row r="453" spans="1:34" x14ac:dyDescent="0.2">
      <c r="A453" s="347">
        <f t="shared" ref="A453:A516" ca="1" si="209">IF(B452+0.01&lt;=T_ini+ROUNDUP(Temps_fin_propu,0), 0.01, IF(K452&gt;0, 0.1, 0.0001))</f>
        <v>1E-4</v>
      </c>
      <c r="B453" s="304">
        <f t="shared" ref="B453:B516" ca="1" si="210">B452+pas</f>
        <v>12.01489999999994</v>
      </c>
      <c r="D453" s="306">
        <f t="shared" ref="D453:D516" ca="1" si="211">IF(AND(L452&lt;L_rampe,Poussee&lt;Poids*SIN(M452)),0,(-W452+Poussee)/m*COS(M452)-U452/m*SIN(M452))</f>
        <v>-0.26056540648902232</v>
      </c>
      <c r="E453" s="307">
        <f t="shared" ref="E453:E516" ca="1" si="212">IF(AND(L452&lt;L_rampe,Poussee&lt;Poids*SIN(M452)),0,(-W452+Poussee)/m*SIN(M452)+U452/m*COS(M452)-Poids/m)</f>
        <v>-6.3765339891672017</v>
      </c>
      <c r="F453" s="304">
        <f t="shared" ref="F453:F516" ca="1" si="213">SQRT(acc_x^2+acc_z^2)</f>
        <v>6.3818555331551794</v>
      </c>
      <c r="G453" s="306">
        <f t="shared" ref="G453:G516" ca="1" si="214">G452+acc_x*pas</f>
        <v>3.91331366642265</v>
      </c>
      <c r="H453" s="307">
        <f t="shared" ref="H453:H516" ca="1" si="215">H452+acc_z*pas</f>
        <v>-51.56664984466957</v>
      </c>
      <c r="I453" s="304">
        <f t="shared" ref="I453:I516" ca="1" si="216">SQRT(vit_x^2+vit_z^2)</f>
        <v>51.714924345439883</v>
      </c>
      <c r="J453" s="306">
        <f t="shared" ref="J453:J516" ca="1" si="217">J452+0.5*(vit_x+G452)*pas*(K452&gt;=0)</f>
        <v>56.288824373840264</v>
      </c>
      <c r="K453" s="307">
        <f t="shared" ref="K453:K516" ca="1" si="218">K452+0.5*(vit_z+H452)*pas</f>
        <v>-0.77432082950669634</v>
      </c>
      <c r="L453" s="304">
        <f t="shared" ca="1" si="203"/>
        <v>56.294149981468252</v>
      </c>
      <c r="M453" s="306">
        <f t="shared" ref="M453:M516" ca="1" si="219">IF(AND(L452&gt;L_rampe,G453&gt;0),ATAN2(G453,H453),$M$4)</f>
        <v>-1.4950530470540653</v>
      </c>
      <c r="N453" s="304">
        <f t="shared" ref="N453:N516" ca="1" si="220">DEGREES(Beta)</f>
        <v>-85.66022974437162</v>
      </c>
      <c r="P453" s="310">
        <f t="shared" ref="P453:P516" ca="1" si="221">MATCH(t-pas/2-T_ini,CdP_t)</f>
        <v>23</v>
      </c>
      <c r="Q453" s="304">
        <f t="shared" ref="Q453:Q516" ca="1" si="222">(INDEX(CdP,2,i_P+1)-INDEX(CdP,2,i_P+0))/(INDEX(CdP,1,i_P+1)-INDEX(CdP,1,i_P+0))*(t-pas/2-T_ini-INDEX(CdP,1,i_P+0))+INDEX(CdP,2,i_P+0)</f>
        <v>0</v>
      </c>
      <c r="R453" s="306">
        <f t="shared" ref="R453:R516" ca="1" si="223">Poussee/(g*ISP)</f>
        <v>0</v>
      </c>
      <c r="S453" s="307">
        <f t="shared" ref="S453:S516" ca="1" si="224">S452-Débit*pas</f>
        <v>2.0843000000000003</v>
      </c>
      <c r="T453" s="304">
        <f t="shared" ca="1" si="204"/>
        <v>20.446983000000003</v>
      </c>
      <c r="U453" s="311">
        <f t="shared" ca="1" si="205"/>
        <v>0</v>
      </c>
      <c r="V453" s="306">
        <f t="shared" ca="1" si="206"/>
        <v>1.2250948579741399</v>
      </c>
      <c r="W453" s="304">
        <f t="shared" ca="1" si="207"/>
        <v>7.1771310252699827</v>
      </c>
      <c r="Y453" s="314" t="str">
        <f t="shared" ref="Y453:Y516" ca="1" si="225">IF(AND(pos_z&lt;=0,K452&gt;0),"Impact balistique","") &amp; IF(AND(H454&lt;0,vit_z&gt;=0),"Apogée","") &amp; IF(AND(Poussee=0,Q452&gt;0),"Fin de propulsion","") &amp; IF(AND(L454&gt;L_rampe,pos_xz&lt;=L_rampe),"Sortie de rampe","")</f>
        <v/>
      </c>
      <c r="Z453" s="315" t="str">
        <f t="shared" ref="Z453:Z516" ca="1" si="226">IF(ABS(t-T_para)&lt;pas/2,"Para","")</f>
        <v/>
      </c>
      <c r="AA453" s="316" t="str">
        <f t="shared" ref="AA453:AA516" ca="1" si="227">IF(ABS(t-T_satellite)&lt;pas/2,"Satellite","")</f>
        <v/>
      </c>
      <c r="AC453" s="310" t="e">
        <f t="shared" ref="AC453:AC516" ca="1" si="228">IF(ABS(t-ROUND(t,0))&lt;0.001,t,NA())</f>
        <v>#N/A</v>
      </c>
      <c r="AD453" s="323" t="e">
        <f t="shared" ref="AD453:AD516" ca="1" si="229">IF(ABS(t-ROUND(t,0))&lt;0.001,pos_x,NA())</f>
        <v>#N/A</v>
      </c>
      <c r="AE453" s="324">
        <f t="shared" ca="1" si="208"/>
        <v>-0.77432082950669634</v>
      </c>
      <c r="AG453" s="306">
        <f t="shared" ref="AG453:AG516" ca="1" si="230">IF(AND(L452&lt;L_rampe,Poussee&lt;Poids*SIN(M452)),0,(-W452+Poussee)/m-Poids*SIN(M452)/m)</f>
        <v>6.3385332245466213</v>
      </c>
      <c r="AH453" s="304">
        <f t="shared" ref="AH453:AH516" ca="1" si="231">IF(AND(L452&lt;L_rampe,Poussee&lt;Poids*SIN(M452)), g*SIN(M452), (-W452+Poussee)/m)</f>
        <v>-3.4433389578435172</v>
      </c>
    </row>
    <row r="454" spans="1:34" x14ac:dyDescent="0.2">
      <c r="A454" s="347">
        <f t="shared" ca="1" si="209"/>
        <v>1E-4</v>
      </c>
      <c r="B454" s="304">
        <f t="shared" ca="1" si="210"/>
        <v>12.01499999999994</v>
      </c>
      <c r="D454" s="306">
        <f t="shared" ca="1" si="211"/>
        <v>-0.26056699959300139</v>
      </c>
      <c r="E454" s="307">
        <f t="shared" ca="1" si="212"/>
        <v>-6.3764476772260696</v>
      </c>
      <c r="F454" s="304">
        <f t="shared" ca="1" si="213"/>
        <v>6.3817693582327655</v>
      </c>
      <c r="G454" s="306">
        <f t="shared" ca="1" si="214"/>
        <v>3.9132876097226905</v>
      </c>
      <c r="H454" s="307">
        <f t="shared" ca="1" si="215"/>
        <v>-51.567287489437291</v>
      </c>
      <c r="I454" s="304">
        <f t="shared" ca="1" si="216"/>
        <v>51.715558190303668</v>
      </c>
      <c r="J454" s="306">
        <f t="shared" ca="1" si="217"/>
        <v>56.288824373840264</v>
      </c>
      <c r="K454" s="307">
        <f t="shared" ca="1" si="218"/>
        <v>-0.77947752637340173</v>
      </c>
      <c r="L454" s="304">
        <f t="shared" ca="1" si="203"/>
        <v>56.294221147495726</v>
      </c>
      <c r="M454" s="306">
        <f t="shared" ca="1" si="219"/>
        <v>-1.4950544824660128</v>
      </c>
      <c r="N454" s="304">
        <f t="shared" ca="1" si="220"/>
        <v>-85.660311987418069</v>
      </c>
      <c r="P454" s="310">
        <f t="shared" ca="1" si="221"/>
        <v>23</v>
      </c>
      <c r="Q454" s="304">
        <f t="shared" ca="1" si="222"/>
        <v>0</v>
      </c>
      <c r="R454" s="306">
        <f t="shared" ca="1" si="223"/>
        <v>0</v>
      </c>
      <c r="S454" s="307">
        <f t="shared" ca="1" si="224"/>
        <v>2.0843000000000003</v>
      </c>
      <c r="T454" s="304">
        <f t="shared" ca="1" si="204"/>
        <v>20.446983000000003</v>
      </c>
      <c r="U454" s="311">
        <f t="shared" ca="1" si="205"/>
        <v>0</v>
      </c>
      <c r="V454" s="306">
        <f t="shared" ca="1" si="206"/>
        <v>1.2250954897185851</v>
      </c>
      <c r="W454" s="304">
        <f t="shared" ca="1" si="207"/>
        <v>7.1773106607295762</v>
      </c>
      <c r="Y454" s="314" t="str">
        <f t="shared" ca="1" si="225"/>
        <v/>
      </c>
      <c r="Z454" s="315" t="str">
        <f t="shared" ca="1" si="226"/>
        <v/>
      </c>
      <c r="AA454" s="316" t="str">
        <f t="shared" ca="1" si="227"/>
        <v/>
      </c>
      <c r="AC454" s="310" t="e">
        <f t="shared" ca="1" si="228"/>
        <v>#N/A</v>
      </c>
      <c r="AD454" s="323" t="e">
        <f t="shared" ca="1" si="229"/>
        <v>#N/A</v>
      </c>
      <c r="AE454" s="324">
        <f t="shared" ca="1" si="208"/>
        <v>-0.77947752637340173</v>
      </c>
      <c r="AG454" s="306">
        <f t="shared" ca="1" si="230"/>
        <v>6.3384481051213495</v>
      </c>
      <c r="AH454" s="304">
        <f t="shared" ca="1" si="231"/>
        <v>-3.4434251428633025</v>
      </c>
    </row>
    <row r="455" spans="1:34" x14ac:dyDescent="0.2">
      <c r="A455" s="347">
        <f t="shared" ca="1" si="209"/>
        <v>1E-4</v>
      </c>
      <c r="B455" s="304">
        <f t="shared" ca="1" si="210"/>
        <v>12.01509999999994</v>
      </c>
      <c r="D455" s="306">
        <f t="shared" ca="1" si="211"/>
        <v>-0.26056859260418991</v>
      </c>
      <c r="E455" s="307">
        <f t="shared" ca="1" si="212"/>
        <v>-6.3763613652740139</v>
      </c>
      <c r="F455" s="304">
        <f t="shared" ca="1" si="213"/>
        <v>6.3816831832997485</v>
      </c>
      <c r="G455" s="306">
        <f t="shared" ca="1" si="214"/>
        <v>3.91326155286343</v>
      </c>
      <c r="H455" s="307">
        <f t="shared" ca="1" si="215"/>
        <v>-51.567925125573815</v>
      </c>
      <c r="I455" s="304">
        <f t="shared" ca="1" si="216"/>
        <v>51.716192026655506</v>
      </c>
      <c r="J455" s="306">
        <f t="shared" ca="1" si="217"/>
        <v>56.288824373840264</v>
      </c>
      <c r="K455" s="307">
        <f t="shared" ca="1" si="218"/>
        <v>-0.78463428700415228</v>
      </c>
      <c r="L455" s="304">
        <f t="shared" ca="1" si="203"/>
        <v>56.29429278668821</v>
      </c>
      <c r="M455" s="306">
        <f t="shared" ca="1" si="219"/>
        <v>-1.4950559178332175</v>
      </c>
      <c r="N455" s="304">
        <f t="shared" ca="1" si="220"/>
        <v>-85.660394227900952</v>
      </c>
      <c r="P455" s="310">
        <f t="shared" ca="1" si="221"/>
        <v>23</v>
      </c>
      <c r="Q455" s="304">
        <f t="shared" ca="1" si="222"/>
        <v>0</v>
      </c>
      <c r="R455" s="306">
        <f t="shared" ca="1" si="223"/>
        <v>0</v>
      </c>
      <c r="S455" s="307">
        <f t="shared" ca="1" si="224"/>
        <v>2.0843000000000003</v>
      </c>
      <c r="T455" s="304">
        <f t="shared" ca="1" si="204"/>
        <v>20.446983000000003</v>
      </c>
      <c r="U455" s="311">
        <f t="shared" ca="1" si="205"/>
        <v>0</v>
      </c>
      <c r="V455" s="306">
        <f t="shared" ca="1" si="206"/>
        <v>1.225096121471168</v>
      </c>
      <c r="W455" s="304">
        <f t="shared" ca="1" si="207"/>
        <v>7.1774902962119462</v>
      </c>
      <c r="Y455" s="314" t="str">
        <f t="shared" ca="1" si="225"/>
        <v/>
      </c>
      <c r="Z455" s="315" t="str">
        <f t="shared" ca="1" si="226"/>
        <v/>
      </c>
      <c r="AA455" s="316" t="str">
        <f t="shared" ca="1" si="227"/>
        <v/>
      </c>
      <c r="AC455" s="310" t="e">
        <f t="shared" ca="1" si="228"/>
        <v>#N/A</v>
      </c>
      <c r="AD455" s="323" t="e">
        <f t="shared" ca="1" si="229"/>
        <v>#N/A</v>
      </c>
      <c r="AE455" s="324">
        <f t="shared" ca="1" si="208"/>
        <v>-0.78463428700415228</v>
      </c>
      <c r="AG455" s="306">
        <f t="shared" ca="1" si="230"/>
        <v>6.3383629856317389</v>
      </c>
      <c r="AH455" s="304">
        <f t="shared" ca="1" si="231"/>
        <v>-3.4435113278940532</v>
      </c>
    </row>
    <row r="456" spans="1:34" x14ac:dyDescent="0.2">
      <c r="A456" s="347">
        <f t="shared" ca="1" si="209"/>
        <v>1E-4</v>
      </c>
      <c r="B456" s="304">
        <f t="shared" ca="1" si="210"/>
        <v>12.01519999999994</v>
      </c>
      <c r="D456" s="306">
        <f t="shared" ca="1" si="211"/>
        <v>-0.26057018552259054</v>
      </c>
      <c r="E456" s="307">
        <f t="shared" ca="1" si="212"/>
        <v>-6.3762750533110726</v>
      </c>
      <c r="F456" s="304">
        <f t="shared" ca="1" si="213"/>
        <v>6.3815970083561684</v>
      </c>
      <c r="G456" s="306">
        <f t="shared" ca="1" si="214"/>
        <v>3.9132354958448778</v>
      </c>
      <c r="H456" s="307">
        <f t="shared" ca="1" si="215"/>
        <v>-51.568562753079149</v>
      </c>
      <c r="I456" s="304">
        <f t="shared" ca="1" si="216"/>
        <v>51.716825854495383</v>
      </c>
      <c r="J456" s="306">
        <f t="shared" ca="1" si="217"/>
        <v>56.288824373840264</v>
      </c>
      <c r="K456" s="307">
        <f t="shared" ca="1" si="218"/>
        <v>-0.78979111139808489</v>
      </c>
      <c r="L456" s="304">
        <f t="shared" ca="1" si="203"/>
        <v>56.294364899061414</v>
      </c>
      <c r="M456" s="306">
        <f t="shared" ca="1" si="219"/>
        <v>-1.4950573531556819</v>
      </c>
      <c r="N456" s="304">
        <f t="shared" ca="1" si="220"/>
        <v>-85.660476465820395</v>
      </c>
      <c r="P456" s="310">
        <f t="shared" ca="1" si="221"/>
        <v>23</v>
      </c>
      <c r="Q456" s="304">
        <f t="shared" ca="1" si="222"/>
        <v>0</v>
      </c>
      <c r="R456" s="306">
        <f t="shared" ca="1" si="223"/>
        <v>0</v>
      </c>
      <c r="S456" s="307">
        <f t="shared" ca="1" si="224"/>
        <v>2.0843000000000003</v>
      </c>
      <c r="T456" s="304">
        <f t="shared" ca="1" si="204"/>
        <v>20.446983000000003</v>
      </c>
      <c r="U456" s="311">
        <f t="shared" ca="1" si="205"/>
        <v>0</v>
      </c>
      <c r="V456" s="306">
        <f t="shared" ca="1" si="206"/>
        <v>1.2250967532318884</v>
      </c>
      <c r="W456" s="304">
        <f t="shared" ca="1" si="207"/>
        <v>7.1776699317170021</v>
      </c>
      <c r="Y456" s="314" t="str">
        <f t="shared" ca="1" si="225"/>
        <v/>
      </c>
      <c r="Z456" s="315" t="str">
        <f t="shared" ca="1" si="226"/>
        <v/>
      </c>
      <c r="AA456" s="316" t="str">
        <f t="shared" ca="1" si="227"/>
        <v/>
      </c>
      <c r="AC456" s="310" t="e">
        <f t="shared" ca="1" si="228"/>
        <v>#N/A</v>
      </c>
      <c r="AD456" s="323" t="e">
        <f t="shared" ca="1" si="229"/>
        <v>#N/A</v>
      </c>
      <c r="AE456" s="324">
        <f t="shared" ca="1" si="208"/>
        <v>-0.78979111139808489</v>
      </c>
      <c r="AG456" s="306">
        <f t="shared" ca="1" si="230"/>
        <v>6.3382778660778349</v>
      </c>
      <c r="AH456" s="304">
        <f t="shared" ca="1" si="231"/>
        <v>-3.4435975129357317</v>
      </c>
    </row>
    <row r="457" spans="1:34" x14ac:dyDescent="0.2">
      <c r="A457" s="347">
        <f t="shared" ca="1" si="209"/>
        <v>1E-4</v>
      </c>
      <c r="B457" s="304">
        <f t="shared" ca="1" si="210"/>
        <v>12.015299999999939</v>
      </c>
      <c r="D457" s="306">
        <f t="shared" ca="1" si="211"/>
        <v>-0.26057177834820222</v>
      </c>
      <c r="E457" s="307">
        <f t="shared" ca="1" si="212"/>
        <v>-6.3761887413372902</v>
      </c>
      <c r="F457" s="304">
        <f t="shared" ca="1" si="213"/>
        <v>6.3815108334020687</v>
      </c>
      <c r="G457" s="306">
        <f t="shared" ca="1" si="214"/>
        <v>3.9132094386670428</v>
      </c>
      <c r="H457" s="307">
        <f t="shared" ca="1" si="215"/>
        <v>-51.569200371953286</v>
      </c>
      <c r="I457" s="304">
        <f t="shared" ca="1" si="216"/>
        <v>51.717459673823306</v>
      </c>
      <c r="J457" s="306">
        <f t="shared" ca="1" si="217"/>
        <v>56.288824373840264</v>
      </c>
      <c r="K457" s="307">
        <f t="shared" ca="1" si="218"/>
        <v>-0.79494799955433648</v>
      </c>
      <c r="L457" s="304">
        <f t="shared" ca="1" si="203"/>
        <v>56.294437484631018</v>
      </c>
      <c r="M457" s="306">
        <f t="shared" ca="1" si="219"/>
        <v>-1.4950587884334079</v>
      </c>
      <c r="N457" s="304">
        <f t="shared" ca="1" si="220"/>
        <v>-85.660558701176527</v>
      </c>
      <c r="P457" s="310">
        <f t="shared" ca="1" si="221"/>
        <v>23</v>
      </c>
      <c r="Q457" s="304">
        <f t="shared" ca="1" si="222"/>
        <v>0</v>
      </c>
      <c r="R457" s="306">
        <f t="shared" ca="1" si="223"/>
        <v>0</v>
      </c>
      <c r="S457" s="307">
        <f t="shared" ca="1" si="224"/>
        <v>2.0843000000000003</v>
      </c>
      <c r="T457" s="304">
        <f t="shared" ca="1" si="204"/>
        <v>20.446983000000003</v>
      </c>
      <c r="U457" s="311">
        <f t="shared" ca="1" si="205"/>
        <v>0</v>
      </c>
      <c r="V457" s="306">
        <f t="shared" ca="1" si="206"/>
        <v>1.2250973850007461</v>
      </c>
      <c r="W457" s="304">
        <f t="shared" ca="1" si="207"/>
        <v>7.1778495672446621</v>
      </c>
      <c r="Y457" s="314" t="str">
        <f t="shared" ca="1" si="225"/>
        <v/>
      </c>
      <c r="Z457" s="315" t="str">
        <f t="shared" ca="1" si="226"/>
        <v/>
      </c>
      <c r="AA457" s="316" t="str">
        <f t="shared" ca="1" si="227"/>
        <v/>
      </c>
      <c r="AC457" s="310" t="e">
        <f t="shared" ca="1" si="228"/>
        <v>#N/A</v>
      </c>
      <c r="AD457" s="323" t="e">
        <f t="shared" ca="1" si="229"/>
        <v>#N/A</v>
      </c>
      <c r="AE457" s="324">
        <f t="shared" ca="1" si="208"/>
        <v>-0.79494799955433648</v>
      </c>
      <c r="AG457" s="306">
        <f t="shared" ca="1" si="230"/>
        <v>6.3381927464596819</v>
      </c>
      <c r="AH457" s="304">
        <f t="shared" ca="1" si="231"/>
        <v>-3.4436836979882939</v>
      </c>
    </row>
    <row r="458" spans="1:34" x14ac:dyDescent="0.2">
      <c r="A458" s="347">
        <f t="shared" ca="1" si="209"/>
        <v>1E-4</v>
      </c>
      <c r="B458" s="304">
        <f t="shared" ca="1" si="210"/>
        <v>12.015399999999939</v>
      </c>
      <c r="D458" s="306">
        <f t="shared" ca="1" si="211"/>
        <v>-0.26057337108102746</v>
      </c>
      <c r="E458" s="307">
        <f t="shared" ca="1" si="212"/>
        <v>-6.3761024293527049</v>
      </c>
      <c r="F458" s="304">
        <f t="shared" ca="1" si="213"/>
        <v>6.3814246584374867</v>
      </c>
      <c r="G458" s="306">
        <f t="shared" ca="1" si="214"/>
        <v>3.9131833813299348</v>
      </c>
      <c r="H458" s="307">
        <f t="shared" ca="1" si="215"/>
        <v>-51.569837982196219</v>
      </c>
      <c r="I458" s="304">
        <f t="shared" ca="1" si="216"/>
        <v>51.718093484639247</v>
      </c>
      <c r="J458" s="306">
        <f t="shared" ca="1" si="217"/>
        <v>56.288824373840264</v>
      </c>
      <c r="K458" s="307">
        <f t="shared" ca="1" si="218"/>
        <v>-0.80010495147204397</v>
      </c>
      <c r="L458" s="304">
        <f t="shared" ca="1" si="203"/>
        <v>56.294510543412699</v>
      </c>
      <c r="M458" s="306">
        <f t="shared" ca="1" si="219"/>
        <v>-1.4950602236663979</v>
      </c>
      <c r="N458" s="304">
        <f t="shared" ca="1" si="220"/>
        <v>-85.660640933969475</v>
      </c>
      <c r="P458" s="310">
        <f t="shared" ca="1" si="221"/>
        <v>23</v>
      </c>
      <c r="Q458" s="304">
        <f t="shared" ca="1" si="222"/>
        <v>0</v>
      </c>
      <c r="R458" s="306">
        <f t="shared" ca="1" si="223"/>
        <v>0</v>
      </c>
      <c r="S458" s="307">
        <f t="shared" ca="1" si="224"/>
        <v>2.0843000000000003</v>
      </c>
      <c r="T458" s="304">
        <f t="shared" ca="1" si="204"/>
        <v>20.446983000000003</v>
      </c>
      <c r="U458" s="311">
        <f t="shared" ca="1" si="205"/>
        <v>0</v>
      </c>
      <c r="V458" s="306">
        <f t="shared" ca="1" si="206"/>
        <v>1.2250980167777408</v>
      </c>
      <c r="W458" s="304">
        <f t="shared" ca="1" si="207"/>
        <v>7.1780292027948329</v>
      </c>
      <c r="Y458" s="314" t="str">
        <f t="shared" ca="1" si="225"/>
        <v/>
      </c>
      <c r="Z458" s="315" t="str">
        <f t="shared" ca="1" si="226"/>
        <v/>
      </c>
      <c r="AA458" s="316" t="str">
        <f t="shared" ca="1" si="227"/>
        <v/>
      </c>
      <c r="AC458" s="310" t="e">
        <f t="shared" ca="1" si="228"/>
        <v>#N/A</v>
      </c>
      <c r="AD458" s="323" t="e">
        <f t="shared" ca="1" si="229"/>
        <v>#N/A</v>
      </c>
      <c r="AE458" s="324">
        <f t="shared" ca="1" si="208"/>
        <v>-0.80010495147204397</v>
      </c>
      <c r="AG458" s="306">
        <f t="shared" ca="1" si="230"/>
        <v>6.3381076267773242</v>
      </c>
      <c r="AH458" s="304">
        <f t="shared" ca="1" si="231"/>
        <v>-3.4437698830517012</v>
      </c>
    </row>
    <row r="459" spans="1:34" x14ac:dyDescent="0.2">
      <c r="A459" s="347">
        <f t="shared" ca="1" si="209"/>
        <v>1E-4</v>
      </c>
      <c r="B459" s="304">
        <f t="shared" ca="1" si="210"/>
        <v>12.015499999999939</v>
      </c>
      <c r="D459" s="306">
        <f t="shared" ca="1" si="211"/>
        <v>-0.26057496372106603</v>
      </c>
      <c r="E459" s="307">
        <f t="shared" ca="1" si="212"/>
        <v>-6.3760161173573611</v>
      </c>
      <c r="F459" s="304">
        <f t="shared" ca="1" si="213"/>
        <v>6.3813384834624678</v>
      </c>
      <c r="G459" s="306">
        <f t="shared" ca="1" si="214"/>
        <v>3.9131573238335626</v>
      </c>
      <c r="H459" s="307">
        <f t="shared" ca="1" si="215"/>
        <v>-51.570475583807955</v>
      </c>
      <c r="I459" s="304">
        <f t="shared" ca="1" si="216"/>
        <v>51.718727286943214</v>
      </c>
      <c r="J459" s="306">
        <f t="shared" ca="1" si="217"/>
        <v>56.288824373840264</v>
      </c>
      <c r="K459" s="307">
        <f t="shared" ca="1" si="218"/>
        <v>-0.80526196715034415</v>
      </c>
      <c r="L459" s="304">
        <f t="shared" ca="1" si="203"/>
        <v>56.294584075422151</v>
      </c>
      <c r="M459" s="306">
        <f t="shared" ca="1" si="219"/>
        <v>-1.4950616588546541</v>
      </c>
      <c r="N459" s="304">
        <f t="shared" ca="1" si="220"/>
        <v>-85.660723164199368</v>
      </c>
      <c r="P459" s="310">
        <f t="shared" ca="1" si="221"/>
        <v>23</v>
      </c>
      <c r="Q459" s="304">
        <f t="shared" ca="1" si="222"/>
        <v>0</v>
      </c>
      <c r="R459" s="306">
        <f t="shared" ca="1" si="223"/>
        <v>0</v>
      </c>
      <c r="S459" s="307">
        <f t="shared" ca="1" si="224"/>
        <v>2.0843000000000003</v>
      </c>
      <c r="T459" s="304">
        <f t="shared" ca="1" si="204"/>
        <v>20.446983000000003</v>
      </c>
      <c r="U459" s="311">
        <f t="shared" ca="1" si="205"/>
        <v>0</v>
      </c>
      <c r="V459" s="306">
        <f t="shared" ca="1" si="206"/>
        <v>1.225098648562873</v>
      </c>
      <c r="W459" s="304">
        <f t="shared" ca="1" si="207"/>
        <v>7.178208838367433</v>
      </c>
      <c r="Y459" s="314" t="str">
        <f t="shared" ca="1" si="225"/>
        <v/>
      </c>
      <c r="Z459" s="315" t="str">
        <f t="shared" ca="1" si="226"/>
        <v/>
      </c>
      <c r="AA459" s="316" t="str">
        <f t="shared" ca="1" si="227"/>
        <v/>
      </c>
      <c r="AC459" s="310" t="e">
        <f t="shared" ca="1" si="228"/>
        <v>#N/A</v>
      </c>
      <c r="AD459" s="323" t="e">
        <f t="shared" ca="1" si="229"/>
        <v>#N/A</v>
      </c>
      <c r="AE459" s="324">
        <f t="shared" ca="1" si="208"/>
        <v>-0.80526196715034415</v>
      </c>
      <c r="AG459" s="306">
        <f t="shared" ca="1" si="230"/>
        <v>6.3380225070308107</v>
      </c>
      <c r="AH459" s="304">
        <f t="shared" ca="1" si="231"/>
        <v>-3.4438560681259092</v>
      </c>
    </row>
    <row r="460" spans="1:34" x14ac:dyDescent="0.2">
      <c r="A460" s="347">
        <f t="shared" ca="1" si="209"/>
        <v>1E-4</v>
      </c>
      <c r="B460" s="304">
        <f t="shared" ca="1" si="210"/>
        <v>12.015599999999939</v>
      </c>
      <c r="D460" s="306">
        <f t="shared" ca="1" si="211"/>
        <v>-0.26057655626831877</v>
      </c>
      <c r="E460" s="307">
        <f t="shared" ca="1" si="212"/>
        <v>-6.3759298053513005</v>
      </c>
      <c r="F460" s="304">
        <f t="shared" ca="1" si="213"/>
        <v>6.3812523084770545</v>
      </c>
      <c r="G460" s="306">
        <f t="shared" ca="1" si="214"/>
        <v>3.9131312661779356</v>
      </c>
      <c r="H460" s="307">
        <f t="shared" ca="1" si="215"/>
        <v>-51.571113176788494</v>
      </c>
      <c r="I460" s="304">
        <f t="shared" ca="1" si="216"/>
        <v>51.719361080735204</v>
      </c>
      <c r="J460" s="306">
        <f t="shared" ca="1" si="217"/>
        <v>56.288824373840264</v>
      </c>
      <c r="K460" s="307">
        <f t="shared" ca="1" si="218"/>
        <v>-0.81041904658837394</v>
      </c>
      <c r="L460" s="304">
        <f t="shared" ca="1" si="203"/>
        <v>56.294658080674999</v>
      </c>
      <c r="M460" s="306">
        <f t="shared" ca="1" si="219"/>
        <v>-1.4950630939981784</v>
      </c>
      <c r="N460" s="304">
        <f t="shared" ca="1" si="220"/>
        <v>-85.660805391866305</v>
      </c>
      <c r="P460" s="310">
        <f t="shared" ca="1" si="221"/>
        <v>23</v>
      </c>
      <c r="Q460" s="304">
        <f t="shared" ca="1" si="222"/>
        <v>0</v>
      </c>
      <c r="R460" s="306">
        <f t="shared" ca="1" si="223"/>
        <v>0</v>
      </c>
      <c r="S460" s="307">
        <f t="shared" ca="1" si="224"/>
        <v>2.0843000000000003</v>
      </c>
      <c r="T460" s="304">
        <f t="shared" ca="1" si="204"/>
        <v>20.446983000000003</v>
      </c>
      <c r="U460" s="311">
        <f t="shared" ca="1" si="205"/>
        <v>0</v>
      </c>
      <c r="V460" s="306">
        <f t="shared" ca="1" si="206"/>
        <v>1.2250992803561418</v>
      </c>
      <c r="W460" s="304">
        <f t="shared" ca="1" si="207"/>
        <v>7.1783884739623787</v>
      </c>
      <c r="Y460" s="314" t="str">
        <f t="shared" ca="1" si="225"/>
        <v/>
      </c>
      <c r="Z460" s="315" t="str">
        <f t="shared" ca="1" si="226"/>
        <v/>
      </c>
      <c r="AA460" s="316" t="str">
        <f t="shared" ca="1" si="227"/>
        <v/>
      </c>
      <c r="AC460" s="310" t="e">
        <f t="shared" ca="1" si="228"/>
        <v>#N/A</v>
      </c>
      <c r="AD460" s="323" t="e">
        <f t="shared" ca="1" si="229"/>
        <v>#N/A</v>
      </c>
      <c r="AE460" s="324">
        <f t="shared" ca="1" si="208"/>
        <v>-0.81041904658837394</v>
      </c>
      <c r="AG460" s="306">
        <f t="shared" ca="1" si="230"/>
        <v>6.3379373872201796</v>
      </c>
      <c r="AH460" s="304">
        <f t="shared" ca="1" si="231"/>
        <v>-3.4439422532108774</v>
      </c>
    </row>
    <row r="461" spans="1:34" x14ac:dyDescent="0.2">
      <c r="A461" s="347">
        <f t="shared" ca="1" si="209"/>
        <v>1E-4</v>
      </c>
      <c r="B461" s="304">
        <f t="shared" ca="1" si="210"/>
        <v>12.015699999999939</v>
      </c>
      <c r="D461" s="306">
        <f t="shared" ca="1" si="211"/>
        <v>-0.26057814872278812</v>
      </c>
      <c r="E461" s="307">
        <f t="shared" ca="1" si="212"/>
        <v>-6.3758434933345605</v>
      </c>
      <c r="F461" s="304">
        <f t="shared" ca="1" si="213"/>
        <v>6.3811661334812815</v>
      </c>
      <c r="G461" s="306">
        <f t="shared" ca="1" si="214"/>
        <v>3.9131052083630635</v>
      </c>
      <c r="H461" s="307">
        <f t="shared" ca="1" si="215"/>
        <v>-51.571750761137828</v>
      </c>
      <c r="I461" s="304">
        <f t="shared" ca="1" si="216"/>
        <v>51.719994866015192</v>
      </c>
      <c r="J461" s="306">
        <f t="shared" ca="1" si="217"/>
        <v>56.288824373840264</v>
      </c>
      <c r="K461" s="307">
        <f t="shared" ca="1" si="218"/>
        <v>-0.81557618978527024</v>
      </c>
      <c r="L461" s="304">
        <f t="shared" ca="1" si="203"/>
        <v>56.294732559186912</v>
      </c>
      <c r="M461" s="306">
        <f t="shared" ca="1" si="219"/>
        <v>-1.4950645290969731</v>
      </c>
      <c r="N461" s="304">
        <f t="shared" ca="1" si="220"/>
        <v>-85.660887616970413</v>
      </c>
      <c r="P461" s="310">
        <f t="shared" ca="1" si="221"/>
        <v>23</v>
      </c>
      <c r="Q461" s="304">
        <f t="shared" ca="1" si="222"/>
        <v>0</v>
      </c>
      <c r="R461" s="306">
        <f t="shared" ca="1" si="223"/>
        <v>0</v>
      </c>
      <c r="S461" s="307">
        <f t="shared" ca="1" si="224"/>
        <v>2.0843000000000003</v>
      </c>
      <c r="T461" s="304">
        <f t="shared" ca="1" si="204"/>
        <v>20.446983000000003</v>
      </c>
      <c r="U461" s="311">
        <f t="shared" ca="1" si="205"/>
        <v>0</v>
      </c>
      <c r="V461" s="306">
        <f t="shared" ca="1" si="206"/>
        <v>1.2250999121575479</v>
      </c>
      <c r="W461" s="304">
        <f t="shared" ca="1" si="207"/>
        <v>7.1785681095795777</v>
      </c>
      <c r="Y461" s="314" t="str">
        <f t="shared" ca="1" si="225"/>
        <v/>
      </c>
      <c r="Z461" s="315" t="str">
        <f t="shared" ca="1" si="226"/>
        <v/>
      </c>
      <c r="AA461" s="316" t="str">
        <f t="shared" ca="1" si="227"/>
        <v/>
      </c>
      <c r="AC461" s="310" t="e">
        <f t="shared" ca="1" si="228"/>
        <v>#N/A</v>
      </c>
      <c r="AD461" s="323" t="e">
        <f t="shared" ca="1" si="229"/>
        <v>#N/A</v>
      </c>
      <c r="AE461" s="324">
        <f t="shared" ca="1" si="208"/>
        <v>-0.81557618978527024</v>
      </c>
      <c r="AG461" s="306">
        <f t="shared" ca="1" si="230"/>
        <v>6.3378522673454807</v>
      </c>
      <c r="AH461" s="304">
        <f t="shared" ca="1" si="231"/>
        <v>-3.4440284383065669</v>
      </c>
    </row>
    <row r="462" spans="1:34" x14ac:dyDescent="0.2">
      <c r="A462" s="347">
        <f t="shared" ca="1" si="209"/>
        <v>1E-4</v>
      </c>
      <c r="B462" s="304">
        <f t="shared" ca="1" si="210"/>
        <v>12.015799999999938</v>
      </c>
      <c r="D462" s="306">
        <f t="shared" ca="1" si="211"/>
        <v>-0.26057974108447379</v>
      </c>
      <c r="E462" s="307">
        <f t="shared" ca="1" si="212"/>
        <v>-6.3757571813071872</v>
      </c>
      <c r="F462" s="304">
        <f t="shared" ca="1" si="213"/>
        <v>6.3810799584751967</v>
      </c>
      <c r="G462" s="306">
        <f t="shared" ca="1" si="214"/>
        <v>3.9130791503889553</v>
      </c>
      <c r="H462" s="307">
        <f t="shared" ca="1" si="215"/>
        <v>-51.572388336855958</v>
      </c>
      <c r="I462" s="304">
        <f t="shared" ca="1" si="216"/>
        <v>51.72062864278319</v>
      </c>
      <c r="J462" s="306">
        <f t="shared" ca="1" si="217"/>
        <v>56.288824373840264</v>
      </c>
      <c r="K462" s="307">
        <f t="shared" ca="1" si="218"/>
        <v>-0.82073339674016998</v>
      </c>
      <c r="L462" s="304">
        <f t="shared" ca="1" si="203"/>
        <v>56.294807510973499</v>
      </c>
      <c r="M462" s="306">
        <f t="shared" ca="1" si="219"/>
        <v>-1.4950659641510404</v>
      </c>
      <c r="N462" s="304">
        <f t="shared" ca="1" si="220"/>
        <v>-85.66096983951185</v>
      </c>
      <c r="P462" s="310">
        <f t="shared" ca="1" si="221"/>
        <v>23</v>
      </c>
      <c r="Q462" s="304">
        <f t="shared" ca="1" si="222"/>
        <v>0</v>
      </c>
      <c r="R462" s="306">
        <f t="shared" ca="1" si="223"/>
        <v>0</v>
      </c>
      <c r="S462" s="307">
        <f t="shared" ca="1" si="224"/>
        <v>2.0843000000000003</v>
      </c>
      <c r="T462" s="304">
        <f t="shared" ca="1" si="204"/>
        <v>20.446983000000003</v>
      </c>
      <c r="U462" s="311">
        <f t="shared" ca="1" si="205"/>
        <v>0</v>
      </c>
      <c r="V462" s="306">
        <f t="shared" ca="1" si="206"/>
        <v>1.2251005439670903</v>
      </c>
      <c r="W462" s="304">
        <f t="shared" ca="1" si="207"/>
        <v>7.1787477452189474</v>
      </c>
      <c r="Y462" s="314" t="str">
        <f t="shared" ca="1" si="225"/>
        <v/>
      </c>
      <c r="Z462" s="315" t="str">
        <f t="shared" ca="1" si="226"/>
        <v/>
      </c>
      <c r="AA462" s="316" t="str">
        <f t="shared" ca="1" si="227"/>
        <v/>
      </c>
      <c r="AC462" s="310" t="e">
        <f t="shared" ca="1" si="228"/>
        <v>#N/A</v>
      </c>
      <c r="AD462" s="323" t="e">
        <f t="shared" ca="1" si="229"/>
        <v>#N/A</v>
      </c>
      <c r="AE462" s="324">
        <f t="shared" ca="1" si="208"/>
        <v>-0.82073339674016998</v>
      </c>
      <c r="AG462" s="306">
        <f t="shared" ca="1" si="230"/>
        <v>6.3377671474067583</v>
      </c>
      <c r="AH462" s="304">
        <f t="shared" ca="1" si="231"/>
        <v>-3.4441146234129332</v>
      </c>
    </row>
    <row r="463" spans="1:34" x14ac:dyDescent="0.2">
      <c r="A463" s="347">
        <f t="shared" ca="1" si="209"/>
        <v>1E-4</v>
      </c>
      <c r="B463" s="304">
        <f t="shared" ca="1" si="210"/>
        <v>12.015899999999938</v>
      </c>
      <c r="D463" s="306">
        <f t="shared" ca="1" si="211"/>
        <v>-0.2605813333533768</v>
      </c>
      <c r="E463" s="307">
        <f t="shared" ca="1" si="212"/>
        <v>-6.3756708692692197</v>
      </c>
      <c r="F463" s="304">
        <f t="shared" ca="1" si="213"/>
        <v>6.3809937834588384</v>
      </c>
      <c r="G463" s="306">
        <f t="shared" ca="1" si="214"/>
        <v>3.9130530922556201</v>
      </c>
      <c r="H463" s="307">
        <f t="shared" ca="1" si="215"/>
        <v>-51.573025903942884</v>
      </c>
      <c r="I463" s="304">
        <f t="shared" ca="1" si="216"/>
        <v>51.721262411039184</v>
      </c>
      <c r="J463" s="306">
        <f t="shared" ca="1" si="217"/>
        <v>56.288824373840264</v>
      </c>
      <c r="K463" s="307">
        <f t="shared" ca="1" si="218"/>
        <v>-0.82589066745220996</v>
      </c>
      <c r="L463" s="304">
        <f t="shared" ca="1" si="203"/>
        <v>56.294882936050399</v>
      </c>
      <c r="M463" s="306">
        <f t="shared" ca="1" si="219"/>
        <v>-1.4950673991603827</v>
      </c>
      <c r="N463" s="304">
        <f t="shared" ca="1" si="220"/>
        <v>-85.661052059490729</v>
      </c>
      <c r="P463" s="310">
        <f t="shared" ca="1" si="221"/>
        <v>23</v>
      </c>
      <c r="Q463" s="304">
        <f t="shared" ca="1" si="222"/>
        <v>0</v>
      </c>
      <c r="R463" s="306">
        <f t="shared" ca="1" si="223"/>
        <v>0</v>
      </c>
      <c r="S463" s="307">
        <f t="shared" ca="1" si="224"/>
        <v>2.0843000000000003</v>
      </c>
      <c r="T463" s="304">
        <f t="shared" ca="1" si="204"/>
        <v>20.446983000000003</v>
      </c>
      <c r="U463" s="311">
        <f t="shared" ca="1" si="205"/>
        <v>0</v>
      </c>
      <c r="V463" s="306">
        <f t="shared" ca="1" si="206"/>
        <v>1.2251011757847698</v>
      </c>
      <c r="W463" s="304">
        <f t="shared" ca="1" si="207"/>
        <v>7.1789273808804044</v>
      </c>
      <c r="Y463" s="314" t="str">
        <f t="shared" ca="1" si="225"/>
        <v/>
      </c>
      <c r="Z463" s="315" t="str">
        <f t="shared" ca="1" si="226"/>
        <v/>
      </c>
      <c r="AA463" s="316" t="str">
        <f t="shared" ca="1" si="227"/>
        <v/>
      </c>
      <c r="AC463" s="310" t="e">
        <f t="shared" ca="1" si="228"/>
        <v>#N/A</v>
      </c>
      <c r="AD463" s="323" t="e">
        <f t="shared" ca="1" si="229"/>
        <v>#N/A</v>
      </c>
      <c r="AE463" s="324">
        <f t="shared" ca="1" si="208"/>
        <v>-0.82589066745220996</v>
      </c>
      <c r="AG463" s="306">
        <f t="shared" ca="1" si="230"/>
        <v>6.3376820274040568</v>
      </c>
      <c r="AH463" s="304">
        <f t="shared" ca="1" si="231"/>
        <v>-3.4442008085299363</v>
      </c>
    </row>
    <row r="464" spans="1:34" x14ac:dyDescent="0.2">
      <c r="A464" s="347">
        <f t="shared" ca="1" si="209"/>
        <v>1E-4</v>
      </c>
      <c r="B464" s="304">
        <f t="shared" ca="1" si="210"/>
        <v>12.015999999999938</v>
      </c>
      <c r="D464" s="306">
        <f t="shared" ca="1" si="211"/>
        <v>-0.2605829255294978</v>
      </c>
      <c r="E464" s="307">
        <f t="shared" ca="1" si="212"/>
        <v>-6.3755845572206971</v>
      </c>
      <c r="F464" s="304">
        <f t="shared" ca="1" si="213"/>
        <v>6.3809076084322474</v>
      </c>
      <c r="G464" s="306">
        <f t="shared" ca="1" si="214"/>
        <v>3.9130270339630671</v>
      </c>
      <c r="H464" s="307">
        <f t="shared" ca="1" si="215"/>
        <v>-51.573663462398606</v>
      </c>
      <c r="I464" s="304">
        <f t="shared" ca="1" si="216"/>
        <v>51.721896170783168</v>
      </c>
      <c r="J464" s="306">
        <f t="shared" ca="1" si="217"/>
        <v>56.288824373840264</v>
      </c>
      <c r="K464" s="307">
        <f t="shared" ca="1" si="218"/>
        <v>-0.83104800192052708</v>
      </c>
      <c r="L464" s="304">
        <f t="shared" ca="1" si="203"/>
        <v>56.294958834433217</v>
      </c>
      <c r="M464" s="306">
        <f t="shared" ca="1" si="219"/>
        <v>-1.4950688341250018</v>
      </c>
      <c r="N464" s="304">
        <f t="shared" ca="1" si="220"/>
        <v>-85.661134276907148</v>
      </c>
      <c r="P464" s="310">
        <f t="shared" ca="1" si="221"/>
        <v>23</v>
      </c>
      <c r="Q464" s="304">
        <f t="shared" ca="1" si="222"/>
        <v>0</v>
      </c>
      <c r="R464" s="306">
        <f t="shared" ca="1" si="223"/>
        <v>0</v>
      </c>
      <c r="S464" s="307">
        <f t="shared" ca="1" si="224"/>
        <v>2.0843000000000003</v>
      </c>
      <c r="T464" s="304">
        <f t="shared" ca="1" si="204"/>
        <v>20.446983000000003</v>
      </c>
      <c r="U464" s="311">
        <f t="shared" ca="1" si="205"/>
        <v>0</v>
      </c>
      <c r="V464" s="306">
        <f t="shared" ca="1" si="206"/>
        <v>1.225101807610586</v>
      </c>
      <c r="W464" s="304">
        <f t="shared" ca="1" si="207"/>
        <v>7.1791070165638571</v>
      </c>
      <c r="Y464" s="314" t="str">
        <f t="shared" ca="1" si="225"/>
        <v/>
      </c>
      <c r="Z464" s="315" t="str">
        <f t="shared" ca="1" si="226"/>
        <v/>
      </c>
      <c r="AA464" s="316" t="str">
        <f t="shared" ca="1" si="227"/>
        <v/>
      </c>
      <c r="AC464" s="310" t="e">
        <f t="shared" ca="1" si="228"/>
        <v>#N/A</v>
      </c>
      <c r="AD464" s="323" t="e">
        <f t="shared" ca="1" si="229"/>
        <v>#N/A</v>
      </c>
      <c r="AE464" s="324">
        <f t="shared" ca="1" si="208"/>
        <v>-0.83104800192052708</v>
      </c>
      <c r="AG464" s="306">
        <f t="shared" ca="1" si="230"/>
        <v>6.3375969073374172</v>
      </c>
      <c r="AH464" s="304">
        <f t="shared" ca="1" si="231"/>
        <v>-3.4442869936575367</v>
      </c>
    </row>
    <row r="465" spans="1:34" x14ac:dyDescent="0.2">
      <c r="A465" s="347">
        <f t="shared" ca="1" si="209"/>
        <v>1E-4</v>
      </c>
      <c r="B465" s="304">
        <f t="shared" ca="1" si="210"/>
        <v>12.016099999999938</v>
      </c>
      <c r="D465" s="306">
        <f t="shared" ca="1" si="211"/>
        <v>-0.26058451761283824</v>
      </c>
      <c r="E465" s="307">
        <f t="shared" ca="1" si="212"/>
        <v>-6.3754982451616637</v>
      </c>
      <c r="F465" s="304">
        <f t="shared" ca="1" si="213"/>
        <v>6.3808214333954654</v>
      </c>
      <c r="G465" s="306">
        <f t="shared" ca="1" si="214"/>
        <v>3.9130009755113058</v>
      </c>
      <c r="H465" s="307">
        <f t="shared" ca="1" si="215"/>
        <v>-51.574301012223124</v>
      </c>
      <c r="I465" s="304">
        <f t="shared" ca="1" si="216"/>
        <v>51.722529922015141</v>
      </c>
      <c r="J465" s="306">
        <f t="shared" ca="1" si="217"/>
        <v>56.288824373840264</v>
      </c>
      <c r="K465" s="307">
        <f t="shared" ca="1" si="218"/>
        <v>-0.83620540014425815</v>
      </c>
      <c r="L465" s="304">
        <f t="shared" ca="1" si="203"/>
        <v>56.295035206137534</v>
      </c>
      <c r="M465" s="306">
        <f t="shared" ca="1" si="219"/>
        <v>-1.4950702690449</v>
      </c>
      <c r="N465" s="304">
        <f t="shared" ca="1" si="220"/>
        <v>-85.661216491761266</v>
      </c>
      <c r="P465" s="310">
        <f t="shared" ca="1" si="221"/>
        <v>23</v>
      </c>
      <c r="Q465" s="304">
        <f t="shared" ca="1" si="222"/>
        <v>0</v>
      </c>
      <c r="R465" s="306">
        <f t="shared" ca="1" si="223"/>
        <v>0</v>
      </c>
      <c r="S465" s="307">
        <f t="shared" ca="1" si="224"/>
        <v>2.0843000000000003</v>
      </c>
      <c r="T465" s="304">
        <f t="shared" ca="1" si="204"/>
        <v>20.446983000000003</v>
      </c>
      <c r="U465" s="311">
        <f t="shared" ca="1" si="205"/>
        <v>0</v>
      </c>
      <c r="V465" s="306">
        <f t="shared" ca="1" si="206"/>
        <v>1.2251024394445387</v>
      </c>
      <c r="W465" s="304">
        <f t="shared" ca="1" si="207"/>
        <v>7.1792866522692265</v>
      </c>
      <c r="Y465" s="314" t="str">
        <f t="shared" ca="1" si="225"/>
        <v/>
      </c>
      <c r="Z465" s="315" t="str">
        <f t="shared" ca="1" si="226"/>
        <v/>
      </c>
      <c r="AA465" s="316" t="str">
        <f t="shared" ca="1" si="227"/>
        <v/>
      </c>
      <c r="AC465" s="310" t="e">
        <f t="shared" ca="1" si="228"/>
        <v>#N/A</v>
      </c>
      <c r="AD465" s="323" t="e">
        <f t="shared" ca="1" si="229"/>
        <v>#N/A</v>
      </c>
      <c r="AE465" s="324">
        <f t="shared" ca="1" si="208"/>
        <v>-0.83620540014425815</v>
      </c>
      <c r="AG465" s="306">
        <f t="shared" ca="1" si="230"/>
        <v>6.3375117872068909</v>
      </c>
      <c r="AH465" s="304">
        <f t="shared" ca="1" si="231"/>
        <v>-3.4443731787956899</v>
      </c>
    </row>
    <row r="466" spans="1:34" x14ac:dyDescent="0.2">
      <c r="A466" s="347">
        <f t="shared" ca="1" si="209"/>
        <v>1E-4</v>
      </c>
      <c r="B466" s="304">
        <f t="shared" ca="1" si="210"/>
        <v>12.016199999999937</v>
      </c>
      <c r="D466" s="306">
        <f t="shared" ca="1" si="211"/>
        <v>-0.26058610960339906</v>
      </c>
      <c r="E466" s="307">
        <f t="shared" ca="1" si="212"/>
        <v>-6.3754119330921597</v>
      </c>
      <c r="F466" s="304">
        <f t="shared" ca="1" si="213"/>
        <v>6.3807352583485342</v>
      </c>
      <c r="G466" s="306">
        <f t="shared" ca="1" si="214"/>
        <v>3.9129749169003456</v>
      </c>
      <c r="H466" s="307">
        <f t="shared" ca="1" si="215"/>
        <v>-51.57493855341643</v>
      </c>
      <c r="I466" s="304">
        <f t="shared" ca="1" si="216"/>
        <v>51.723163664735083</v>
      </c>
      <c r="J466" s="306">
        <f t="shared" ca="1" si="217"/>
        <v>56.288824373840264</v>
      </c>
      <c r="K466" s="307">
        <f t="shared" ca="1" si="218"/>
        <v>-0.84136286212254008</v>
      </c>
      <c r="L466" s="304">
        <f t="shared" ca="1" si="203"/>
        <v>56.295112051178947</v>
      </c>
      <c r="M466" s="306">
        <f t="shared" ca="1" si="219"/>
        <v>-1.4950717039200796</v>
      </c>
      <c r="N466" s="304">
        <f t="shared" ca="1" si="220"/>
        <v>-85.661298704053181</v>
      </c>
      <c r="P466" s="310">
        <f t="shared" ca="1" si="221"/>
        <v>23</v>
      </c>
      <c r="Q466" s="304">
        <f t="shared" ca="1" si="222"/>
        <v>0</v>
      </c>
      <c r="R466" s="306">
        <f t="shared" ca="1" si="223"/>
        <v>0</v>
      </c>
      <c r="S466" s="307">
        <f t="shared" ca="1" si="224"/>
        <v>2.0843000000000003</v>
      </c>
      <c r="T466" s="304">
        <f t="shared" ca="1" si="204"/>
        <v>20.446983000000003</v>
      </c>
      <c r="U466" s="311">
        <f t="shared" ca="1" si="205"/>
        <v>0</v>
      </c>
      <c r="V466" s="306">
        <f t="shared" ca="1" si="206"/>
        <v>1.225103071286628</v>
      </c>
      <c r="W466" s="304">
        <f t="shared" ca="1" si="207"/>
        <v>7.1794662879964202</v>
      </c>
      <c r="Y466" s="314" t="str">
        <f t="shared" ca="1" si="225"/>
        <v/>
      </c>
      <c r="Z466" s="315" t="str">
        <f t="shared" ca="1" si="226"/>
        <v/>
      </c>
      <c r="AA466" s="316" t="str">
        <f t="shared" ca="1" si="227"/>
        <v/>
      </c>
      <c r="AC466" s="310" t="e">
        <f t="shared" ca="1" si="228"/>
        <v>#N/A</v>
      </c>
      <c r="AD466" s="323" t="e">
        <f t="shared" ca="1" si="229"/>
        <v>#N/A</v>
      </c>
      <c r="AE466" s="324">
        <f t="shared" ca="1" si="208"/>
        <v>-0.84136286212254008</v>
      </c>
      <c r="AG466" s="306">
        <f t="shared" ca="1" si="230"/>
        <v>6.3374266670125188</v>
      </c>
      <c r="AH466" s="304">
        <f t="shared" ca="1" si="231"/>
        <v>-3.4444593639443579</v>
      </c>
    </row>
    <row r="467" spans="1:34" x14ac:dyDescent="0.2">
      <c r="A467" s="347">
        <f t="shared" ca="1" si="209"/>
        <v>1E-4</v>
      </c>
      <c r="B467" s="304">
        <f t="shared" ca="1" si="210"/>
        <v>12.016299999999937</v>
      </c>
      <c r="D467" s="306">
        <f t="shared" ca="1" si="211"/>
        <v>-0.26058770150118082</v>
      </c>
      <c r="E467" s="307">
        <f t="shared" ca="1" si="212"/>
        <v>-6.3753256210122276</v>
      </c>
      <c r="F467" s="304">
        <f t="shared" ca="1" si="213"/>
        <v>6.3806490832914964</v>
      </c>
      <c r="G467" s="306">
        <f t="shared" ca="1" si="214"/>
        <v>3.9129488581301954</v>
      </c>
      <c r="H467" s="307">
        <f t="shared" ca="1" si="215"/>
        <v>-51.575576085978533</v>
      </c>
      <c r="I467" s="304">
        <f t="shared" ca="1" si="216"/>
        <v>51.723797398942999</v>
      </c>
      <c r="J467" s="306">
        <f t="shared" ca="1" si="217"/>
        <v>56.288824373840264</v>
      </c>
      <c r="K467" s="307">
        <f t="shared" ca="1" si="218"/>
        <v>-0.84652038785450978</v>
      </c>
      <c r="L467" s="304">
        <f t="shared" ca="1" si="203"/>
        <v>56.295189369573023</v>
      </c>
      <c r="M467" s="306">
        <f t="shared" ca="1" si="219"/>
        <v>-1.4950731387505427</v>
      </c>
      <c r="N467" s="304">
        <f t="shared" ca="1" si="220"/>
        <v>-85.661380913783034</v>
      </c>
      <c r="P467" s="310">
        <f t="shared" ca="1" si="221"/>
        <v>23</v>
      </c>
      <c r="Q467" s="304">
        <f t="shared" ca="1" si="222"/>
        <v>0</v>
      </c>
      <c r="R467" s="306">
        <f t="shared" ca="1" si="223"/>
        <v>0</v>
      </c>
      <c r="S467" s="307">
        <f t="shared" ca="1" si="224"/>
        <v>2.0843000000000003</v>
      </c>
      <c r="T467" s="304">
        <f t="shared" ca="1" si="204"/>
        <v>20.446983000000003</v>
      </c>
      <c r="U467" s="311">
        <f t="shared" ca="1" si="205"/>
        <v>0</v>
      </c>
      <c r="V467" s="306">
        <f t="shared" ca="1" si="206"/>
        <v>1.2251037031368532</v>
      </c>
      <c r="W467" s="304">
        <f t="shared" ca="1" si="207"/>
        <v>7.1796459237453529</v>
      </c>
      <c r="Y467" s="314" t="str">
        <f t="shared" ca="1" si="225"/>
        <v/>
      </c>
      <c r="Z467" s="315" t="str">
        <f t="shared" ca="1" si="226"/>
        <v/>
      </c>
      <c r="AA467" s="316" t="str">
        <f t="shared" ca="1" si="227"/>
        <v/>
      </c>
      <c r="AC467" s="310" t="e">
        <f t="shared" ca="1" si="228"/>
        <v>#N/A</v>
      </c>
      <c r="AD467" s="323" t="e">
        <f t="shared" ca="1" si="229"/>
        <v>#N/A</v>
      </c>
      <c r="AE467" s="324">
        <f t="shared" ca="1" si="208"/>
        <v>-0.84652038785450978</v>
      </c>
      <c r="AG467" s="306">
        <f t="shared" ca="1" si="230"/>
        <v>6.3373415467543435</v>
      </c>
      <c r="AH467" s="304">
        <f t="shared" ca="1" si="231"/>
        <v>-3.4445455491034971</v>
      </c>
    </row>
    <row r="468" spans="1:34" x14ac:dyDescent="0.2">
      <c r="A468" s="347">
        <f t="shared" ca="1" si="209"/>
        <v>1E-4</v>
      </c>
      <c r="B468" s="304">
        <f t="shared" ca="1" si="210"/>
        <v>12.016399999999937</v>
      </c>
      <c r="D468" s="306">
        <f t="shared" ca="1" si="211"/>
        <v>-0.2605892933061843</v>
      </c>
      <c r="E468" s="307">
        <f t="shared" ca="1" si="212"/>
        <v>-6.3752393089219082</v>
      </c>
      <c r="F468" s="304">
        <f t="shared" ca="1" si="213"/>
        <v>6.380562908224392</v>
      </c>
      <c r="G468" s="306">
        <f t="shared" ca="1" si="214"/>
        <v>3.9129227992008646</v>
      </c>
      <c r="H468" s="307">
        <f t="shared" ca="1" si="215"/>
        <v>-51.576213609909423</v>
      </c>
      <c r="I468" s="304">
        <f t="shared" ca="1" si="216"/>
        <v>51.724431124638883</v>
      </c>
      <c r="J468" s="306">
        <f t="shared" ca="1" si="217"/>
        <v>56.288824373840264</v>
      </c>
      <c r="K468" s="307">
        <f t="shared" ca="1" si="218"/>
        <v>-0.85167797733930417</v>
      </c>
      <c r="L468" s="304">
        <f t="shared" ca="1" si="203"/>
        <v>56.295267161335317</v>
      </c>
      <c r="M468" s="306">
        <f t="shared" ca="1" si="219"/>
        <v>-1.4950745735362914</v>
      </c>
      <c r="N468" s="304">
        <f t="shared" ca="1" si="220"/>
        <v>-85.661463120950927</v>
      </c>
      <c r="P468" s="310">
        <f t="shared" ca="1" si="221"/>
        <v>23</v>
      </c>
      <c r="Q468" s="304">
        <f t="shared" ca="1" si="222"/>
        <v>0</v>
      </c>
      <c r="R468" s="306">
        <f t="shared" ca="1" si="223"/>
        <v>0</v>
      </c>
      <c r="S468" s="307">
        <f t="shared" ca="1" si="224"/>
        <v>2.0843000000000003</v>
      </c>
      <c r="T468" s="304">
        <f t="shared" ca="1" si="204"/>
        <v>20.446983000000003</v>
      </c>
      <c r="U468" s="311">
        <f t="shared" ca="1" si="205"/>
        <v>0</v>
      </c>
      <c r="V468" s="306">
        <f t="shared" ca="1" si="206"/>
        <v>1.2251043349952149</v>
      </c>
      <c r="W468" s="304">
        <f t="shared" ca="1" si="207"/>
        <v>7.179825559515943</v>
      </c>
      <c r="Y468" s="314" t="str">
        <f t="shared" ca="1" si="225"/>
        <v/>
      </c>
      <c r="Z468" s="315" t="str">
        <f t="shared" ca="1" si="226"/>
        <v/>
      </c>
      <c r="AA468" s="316" t="str">
        <f t="shared" ca="1" si="227"/>
        <v/>
      </c>
      <c r="AC468" s="310" t="e">
        <f t="shared" ca="1" si="228"/>
        <v>#N/A</v>
      </c>
      <c r="AD468" s="323" t="e">
        <f t="shared" ca="1" si="229"/>
        <v>#N/A</v>
      </c>
      <c r="AE468" s="324">
        <f t="shared" ca="1" si="208"/>
        <v>-0.85167797733930417</v>
      </c>
      <c r="AG468" s="306">
        <f t="shared" ca="1" si="230"/>
        <v>6.3372564264324112</v>
      </c>
      <c r="AH468" s="304">
        <f t="shared" ca="1" si="231"/>
        <v>-3.4446317342730661</v>
      </c>
    </row>
    <row r="469" spans="1:34" x14ac:dyDescent="0.2">
      <c r="A469" s="347">
        <f t="shared" ca="1" si="209"/>
        <v>1E-4</v>
      </c>
      <c r="B469" s="304">
        <f t="shared" ca="1" si="210"/>
        <v>12.016499999999937</v>
      </c>
      <c r="D469" s="306">
        <f t="shared" ca="1" si="211"/>
        <v>-0.26059088501841121</v>
      </c>
      <c r="E469" s="307">
        <f t="shared" ca="1" si="212"/>
        <v>-6.3751529968212406</v>
      </c>
      <c r="F469" s="304">
        <f t="shared" ca="1" si="213"/>
        <v>6.3804767331472592</v>
      </c>
      <c r="G469" s="306">
        <f t="shared" ca="1" si="214"/>
        <v>3.9128967401123629</v>
      </c>
      <c r="H469" s="307">
        <f t="shared" ca="1" si="215"/>
        <v>-51.576851125209103</v>
      </c>
      <c r="I469" s="304">
        <f t="shared" ca="1" si="216"/>
        <v>51.725064841822729</v>
      </c>
      <c r="J469" s="306">
        <f t="shared" ca="1" si="217"/>
        <v>56.288824373840264</v>
      </c>
      <c r="K469" s="307">
        <f t="shared" ca="1" si="218"/>
        <v>-0.85683563057606005</v>
      </c>
      <c r="L469" s="304">
        <f t="shared" ca="1" si="203"/>
        <v>56.295345426481383</v>
      </c>
      <c r="M469" s="306">
        <f t="shared" ca="1" si="219"/>
        <v>-1.4950760082773278</v>
      </c>
      <c r="N469" s="304">
        <f t="shared" ca="1" si="220"/>
        <v>-85.661545325557015</v>
      </c>
      <c r="P469" s="310">
        <f t="shared" ca="1" si="221"/>
        <v>23</v>
      </c>
      <c r="Q469" s="304">
        <f t="shared" ca="1" si="222"/>
        <v>0</v>
      </c>
      <c r="R469" s="306">
        <f t="shared" ca="1" si="223"/>
        <v>0</v>
      </c>
      <c r="S469" s="307">
        <f t="shared" ca="1" si="224"/>
        <v>2.0843000000000003</v>
      </c>
      <c r="T469" s="304">
        <f t="shared" ca="1" si="204"/>
        <v>20.446983000000003</v>
      </c>
      <c r="U469" s="311">
        <f t="shared" ca="1" si="205"/>
        <v>0</v>
      </c>
      <c r="V469" s="306">
        <f t="shared" ca="1" si="206"/>
        <v>1.2251049668617131</v>
      </c>
      <c r="W469" s="304">
        <f t="shared" ca="1" si="207"/>
        <v>7.1800051953081034</v>
      </c>
      <c r="Y469" s="314" t="str">
        <f t="shared" ca="1" si="225"/>
        <v/>
      </c>
      <c r="Z469" s="315" t="str">
        <f t="shared" ca="1" si="226"/>
        <v/>
      </c>
      <c r="AA469" s="316" t="str">
        <f t="shared" ca="1" si="227"/>
        <v/>
      </c>
      <c r="AC469" s="310" t="e">
        <f t="shared" ca="1" si="228"/>
        <v>#N/A</v>
      </c>
      <c r="AD469" s="323" t="e">
        <f t="shared" ca="1" si="229"/>
        <v>#N/A</v>
      </c>
      <c r="AE469" s="324">
        <f t="shared" ca="1" si="208"/>
        <v>-0.85683563057606005</v>
      </c>
      <c r="AG469" s="306">
        <f t="shared" ca="1" si="230"/>
        <v>6.3371713060467698</v>
      </c>
      <c r="AH469" s="304">
        <f t="shared" ca="1" si="231"/>
        <v>-3.444717919453026</v>
      </c>
    </row>
    <row r="470" spans="1:34" x14ac:dyDescent="0.2">
      <c r="A470" s="347">
        <f t="shared" ca="1" si="209"/>
        <v>1E-4</v>
      </c>
      <c r="B470" s="304">
        <f t="shared" ca="1" si="210"/>
        <v>12.016599999999936</v>
      </c>
      <c r="D470" s="306">
        <f t="shared" ca="1" si="211"/>
        <v>-0.26059247663786222</v>
      </c>
      <c r="E470" s="307">
        <f t="shared" ca="1" si="212"/>
        <v>-6.3750666847102675</v>
      </c>
      <c r="F470" s="304">
        <f t="shared" ca="1" si="213"/>
        <v>6.3803905580601423</v>
      </c>
      <c r="G470" s="306">
        <f t="shared" ca="1" si="214"/>
        <v>3.9128706808646991</v>
      </c>
      <c r="H470" s="307">
        <f t="shared" ca="1" si="215"/>
        <v>-51.577488631877571</v>
      </c>
      <c r="I470" s="304">
        <f t="shared" ca="1" si="216"/>
        <v>51.725698550494521</v>
      </c>
      <c r="J470" s="306">
        <f t="shared" ca="1" si="217"/>
        <v>56.288824373840264</v>
      </c>
      <c r="K470" s="307">
        <f t="shared" ca="1" si="218"/>
        <v>-0.86199334756391444</v>
      </c>
      <c r="L470" s="304">
        <f t="shared" ca="1" si="203"/>
        <v>56.295424165026752</v>
      </c>
      <c r="M470" s="306">
        <f t="shared" ca="1" si="219"/>
        <v>-1.4950774429736544</v>
      </c>
      <c r="N470" s="304">
        <f t="shared" ca="1" si="220"/>
        <v>-85.661627527601411</v>
      </c>
      <c r="P470" s="310">
        <f t="shared" ca="1" si="221"/>
        <v>23</v>
      </c>
      <c r="Q470" s="304">
        <f t="shared" ca="1" si="222"/>
        <v>0</v>
      </c>
      <c r="R470" s="306">
        <f t="shared" ca="1" si="223"/>
        <v>0</v>
      </c>
      <c r="S470" s="307">
        <f t="shared" ca="1" si="224"/>
        <v>2.0843000000000003</v>
      </c>
      <c r="T470" s="304">
        <f t="shared" ca="1" si="204"/>
        <v>20.446983000000003</v>
      </c>
      <c r="U470" s="311">
        <f t="shared" ca="1" si="205"/>
        <v>0</v>
      </c>
      <c r="V470" s="306">
        <f t="shared" ca="1" si="206"/>
        <v>1.2251055987363471</v>
      </c>
      <c r="W470" s="304">
        <f t="shared" ca="1" si="207"/>
        <v>7.1801848311217435</v>
      </c>
      <c r="Y470" s="314" t="str">
        <f t="shared" ca="1" si="225"/>
        <v/>
      </c>
      <c r="Z470" s="315" t="str">
        <f t="shared" ca="1" si="226"/>
        <v/>
      </c>
      <c r="AA470" s="316" t="str">
        <f t="shared" ca="1" si="227"/>
        <v/>
      </c>
      <c r="AC470" s="310" t="e">
        <f t="shared" ca="1" si="228"/>
        <v>#N/A</v>
      </c>
      <c r="AD470" s="323" t="e">
        <f t="shared" ca="1" si="229"/>
        <v>#N/A</v>
      </c>
      <c r="AE470" s="324">
        <f t="shared" ca="1" si="208"/>
        <v>-0.86199334756391444</v>
      </c>
      <c r="AG470" s="306">
        <f t="shared" ca="1" si="230"/>
        <v>6.3370861855974603</v>
      </c>
      <c r="AH470" s="304">
        <f t="shared" ca="1" si="231"/>
        <v>-3.4448041046433349</v>
      </c>
    </row>
    <row r="471" spans="1:34" x14ac:dyDescent="0.2">
      <c r="A471" s="347">
        <f t="shared" ca="1" si="209"/>
        <v>1E-4</v>
      </c>
      <c r="B471" s="304">
        <f t="shared" ca="1" si="210"/>
        <v>12.016699999999936</v>
      </c>
      <c r="D471" s="306">
        <f t="shared" ca="1" si="211"/>
        <v>-0.26059406816453712</v>
      </c>
      <c r="E471" s="307">
        <f t="shared" ca="1" si="212"/>
        <v>-6.3749803725890324</v>
      </c>
      <c r="F471" s="304">
        <f t="shared" ca="1" si="213"/>
        <v>6.3803043829630841</v>
      </c>
      <c r="G471" s="306">
        <f t="shared" ca="1" si="214"/>
        <v>3.9128446214578827</v>
      </c>
      <c r="H471" s="307">
        <f t="shared" ca="1" si="215"/>
        <v>-51.578126129914828</v>
      </c>
      <c r="I471" s="304">
        <f t="shared" ca="1" si="216"/>
        <v>51.726332250654259</v>
      </c>
      <c r="J471" s="306">
        <f t="shared" ca="1" si="217"/>
        <v>56.288824373840264</v>
      </c>
      <c r="K471" s="307">
        <f t="shared" ca="1" si="218"/>
        <v>-0.86715112830200403</v>
      </c>
      <c r="L471" s="304">
        <f t="shared" ca="1" si="203"/>
        <v>56.29550337698695</v>
      </c>
      <c r="M471" s="306">
        <f t="shared" ca="1" si="219"/>
        <v>-1.495078877625273</v>
      </c>
      <c r="N471" s="304">
        <f t="shared" ca="1" si="220"/>
        <v>-85.661709727084229</v>
      </c>
      <c r="P471" s="310">
        <f t="shared" ca="1" si="221"/>
        <v>23</v>
      </c>
      <c r="Q471" s="304">
        <f t="shared" ca="1" si="222"/>
        <v>0</v>
      </c>
      <c r="R471" s="306">
        <f t="shared" ca="1" si="223"/>
        <v>0</v>
      </c>
      <c r="S471" s="307">
        <f t="shared" ca="1" si="224"/>
        <v>2.0843000000000003</v>
      </c>
      <c r="T471" s="304">
        <f t="shared" ca="1" si="204"/>
        <v>20.446983000000003</v>
      </c>
      <c r="U471" s="311">
        <f t="shared" ca="1" si="205"/>
        <v>0</v>
      </c>
      <c r="V471" s="306">
        <f t="shared" ca="1" si="206"/>
        <v>1.2251062306191174</v>
      </c>
      <c r="W471" s="304">
        <f t="shared" ca="1" si="207"/>
        <v>7.1803644669567834</v>
      </c>
      <c r="Y471" s="314" t="str">
        <f t="shared" ca="1" si="225"/>
        <v/>
      </c>
      <c r="Z471" s="315" t="str">
        <f t="shared" ca="1" si="226"/>
        <v/>
      </c>
      <c r="AA471" s="316" t="str">
        <f t="shared" ca="1" si="227"/>
        <v/>
      </c>
      <c r="AC471" s="310" t="e">
        <f t="shared" ca="1" si="228"/>
        <v>#N/A</v>
      </c>
      <c r="AD471" s="323" t="e">
        <f t="shared" ca="1" si="229"/>
        <v>#N/A</v>
      </c>
      <c r="AE471" s="324">
        <f t="shared" ca="1" si="208"/>
        <v>-0.86715112830200403</v>
      </c>
      <c r="AG471" s="306">
        <f t="shared" ca="1" si="230"/>
        <v>6.3370010650845323</v>
      </c>
      <c r="AH471" s="304">
        <f t="shared" ca="1" si="231"/>
        <v>-3.4448902898439488</v>
      </c>
    </row>
    <row r="472" spans="1:34" x14ac:dyDescent="0.2">
      <c r="A472" s="347">
        <f t="shared" ca="1" si="209"/>
        <v>1E-4</v>
      </c>
      <c r="B472" s="304">
        <f t="shared" ca="1" si="210"/>
        <v>12.016799999999936</v>
      </c>
      <c r="D472" s="306">
        <f t="shared" ca="1" si="211"/>
        <v>-0.26059565959843856</v>
      </c>
      <c r="E472" s="307">
        <f t="shared" ca="1" si="212"/>
        <v>-6.3748940604575743</v>
      </c>
      <c r="F472" s="304">
        <f t="shared" ca="1" si="213"/>
        <v>6.3802182078561236</v>
      </c>
      <c r="G472" s="306">
        <f t="shared" ca="1" si="214"/>
        <v>3.9128185618919229</v>
      </c>
      <c r="H472" s="307">
        <f t="shared" ca="1" si="215"/>
        <v>-51.578763619320874</v>
      </c>
      <c r="I472" s="304">
        <f t="shared" ca="1" si="216"/>
        <v>51.726965942301931</v>
      </c>
      <c r="J472" s="306">
        <f t="shared" ca="1" si="217"/>
        <v>56.288824373840264</v>
      </c>
      <c r="K472" s="307">
        <f t="shared" ca="1" si="218"/>
        <v>-0.87230897278946584</v>
      </c>
      <c r="L472" s="304">
        <f t="shared" ca="1" si="203"/>
        <v>56.295583062377489</v>
      </c>
      <c r="M472" s="306">
        <f t="shared" ca="1" si="219"/>
        <v>-1.4950803122321861</v>
      </c>
      <c r="N472" s="304">
        <f t="shared" ca="1" si="220"/>
        <v>-85.661791924005612</v>
      </c>
      <c r="P472" s="310">
        <f t="shared" ca="1" si="221"/>
        <v>23</v>
      </c>
      <c r="Q472" s="304">
        <f t="shared" ca="1" si="222"/>
        <v>0</v>
      </c>
      <c r="R472" s="306">
        <f t="shared" ca="1" si="223"/>
        <v>0</v>
      </c>
      <c r="S472" s="307">
        <f t="shared" ca="1" si="224"/>
        <v>2.0843000000000003</v>
      </c>
      <c r="T472" s="304">
        <f t="shared" ca="1" si="204"/>
        <v>20.446983000000003</v>
      </c>
      <c r="U472" s="311">
        <f t="shared" ca="1" si="205"/>
        <v>0</v>
      </c>
      <c r="V472" s="306">
        <f t="shared" ca="1" si="206"/>
        <v>1.2251068625100232</v>
      </c>
      <c r="W472" s="304">
        <f t="shared" ca="1" si="207"/>
        <v>7.1805441028131289</v>
      </c>
      <c r="Y472" s="314" t="str">
        <f t="shared" ca="1" si="225"/>
        <v/>
      </c>
      <c r="Z472" s="315" t="str">
        <f t="shared" ca="1" si="226"/>
        <v/>
      </c>
      <c r="AA472" s="316" t="str">
        <f t="shared" ca="1" si="227"/>
        <v/>
      </c>
      <c r="AC472" s="310" t="e">
        <f t="shared" ca="1" si="228"/>
        <v>#N/A</v>
      </c>
      <c r="AD472" s="323" t="e">
        <f t="shared" ca="1" si="229"/>
        <v>#N/A</v>
      </c>
      <c r="AE472" s="324">
        <f t="shared" ca="1" si="208"/>
        <v>-0.87230897278946584</v>
      </c>
      <c r="AG472" s="306">
        <f t="shared" ca="1" si="230"/>
        <v>6.3369159445080232</v>
      </c>
      <c r="AH472" s="304">
        <f t="shared" ca="1" si="231"/>
        <v>-3.4449764750548302</v>
      </c>
    </row>
    <row r="473" spans="1:34" x14ac:dyDescent="0.2">
      <c r="A473" s="347">
        <f t="shared" ca="1" si="209"/>
        <v>1E-4</v>
      </c>
      <c r="B473" s="304">
        <f t="shared" ca="1" si="210"/>
        <v>12.016899999999936</v>
      </c>
      <c r="D473" s="306">
        <f t="shared" ca="1" si="211"/>
        <v>-0.26059725093956604</v>
      </c>
      <c r="E473" s="307">
        <f t="shared" ca="1" si="212"/>
        <v>-6.374807748315936</v>
      </c>
      <c r="F473" s="304">
        <f t="shared" ca="1" si="213"/>
        <v>6.3801320327393034</v>
      </c>
      <c r="G473" s="306">
        <f t="shared" ca="1" si="214"/>
        <v>3.9127925021668291</v>
      </c>
      <c r="H473" s="307">
        <f t="shared" ca="1" si="215"/>
        <v>-51.579401100095708</v>
      </c>
      <c r="I473" s="304">
        <f t="shared" ca="1" si="216"/>
        <v>51.727599625437549</v>
      </c>
      <c r="J473" s="306">
        <f t="shared" ca="1" si="217"/>
        <v>56.288824373840264</v>
      </c>
      <c r="K473" s="307">
        <f t="shared" ca="1" si="218"/>
        <v>-0.87746688102543668</v>
      </c>
      <c r="L473" s="304">
        <f t="shared" ca="1" si="203"/>
        <v>56.295663221213857</v>
      </c>
      <c r="M473" s="306">
        <f t="shared" ca="1" si="219"/>
        <v>-1.4950817467943958</v>
      </c>
      <c r="N473" s="304">
        <f t="shared" ca="1" si="220"/>
        <v>-85.661874118365674</v>
      </c>
      <c r="P473" s="310">
        <f t="shared" ca="1" si="221"/>
        <v>23</v>
      </c>
      <c r="Q473" s="304">
        <f t="shared" ca="1" si="222"/>
        <v>0</v>
      </c>
      <c r="R473" s="306">
        <f t="shared" ca="1" si="223"/>
        <v>0</v>
      </c>
      <c r="S473" s="307">
        <f t="shared" ca="1" si="224"/>
        <v>2.0843000000000003</v>
      </c>
      <c r="T473" s="304">
        <f t="shared" ca="1" si="204"/>
        <v>20.446983000000003</v>
      </c>
      <c r="U473" s="311">
        <f t="shared" ca="1" si="205"/>
        <v>0</v>
      </c>
      <c r="V473" s="306">
        <f t="shared" ca="1" si="206"/>
        <v>1.225107494409065</v>
      </c>
      <c r="W473" s="304">
        <f t="shared" ca="1" si="207"/>
        <v>7.1807237386907046</v>
      </c>
      <c r="Y473" s="314" t="str">
        <f t="shared" ca="1" si="225"/>
        <v/>
      </c>
      <c r="Z473" s="315" t="str">
        <f t="shared" ca="1" si="226"/>
        <v/>
      </c>
      <c r="AA473" s="316" t="str">
        <f t="shared" ca="1" si="227"/>
        <v/>
      </c>
      <c r="AC473" s="310" t="e">
        <f t="shared" ca="1" si="228"/>
        <v>#N/A</v>
      </c>
      <c r="AD473" s="323" t="e">
        <f t="shared" ca="1" si="229"/>
        <v>#N/A</v>
      </c>
      <c r="AE473" s="324">
        <f t="shared" ca="1" si="208"/>
        <v>-0.87746688102543668</v>
      </c>
      <c r="AG473" s="306">
        <f t="shared" ca="1" si="230"/>
        <v>6.3368308238679862</v>
      </c>
      <c r="AH473" s="304">
        <f t="shared" ca="1" si="231"/>
        <v>-3.4450626602759336</v>
      </c>
    </row>
    <row r="474" spans="1:34" x14ac:dyDescent="0.2">
      <c r="A474" s="347">
        <f t="shared" ca="1" si="209"/>
        <v>1E-4</v>
      </c>
      <c r="B474" s="304">
        <f t="shared" ca="1" si="210"/>
        <v>12.016999999999936</v>
      </c>
      <c r="D474" s="306">
        <f t="shared" ca="1" si="211"/>
        <v>-0.26059884218792084</v>
      </c>
      <c r="E474" s="307">
        <f t="shared" ca="1" si="212"/>
        <v>-6.3747214361641564</v>
      </c>
      <c r="F474" s="304">
        <f t="shared" ca="1" si="213"/>
        <v>6.3800458576126626</v>
      </c>
      <c r="G474" s="306">
        <f t="shared" ca="1" si="214"/>
        <v>3.9127664422826101</v>
      </c>
      <c r="H474" s="307">
        <f t="shared" ca="1" si="215"/>
        <v>-51.580038572239324</v>
      </c>
      <c r="I474" s="304">
        <f t="shared" ca="1" si="216"/>
        <v>51.728233300061092</v>
      </c>
      <c r="J474" s="306">
        <f t="shared" ca="1" si="217"/>
        <v>56.288824373840264</v>
      </c>
      <c r="K474" s="307">
        <f t="shared" ca="1" si="218"/>
        <v>-0.88262485300905347</v>
      </c>
      <c r="L474" s="304">
        <f t="shared" ca="1" si="203"/>
        <v>56.295743853511553</v>
      </c>
      <c r="M474" s="306">
        <f t="shared" ca="1" si="219"/>
        <v>-1.4950831813119039</v>
      </c>
      <c r="N474" s="304">
        <f t="shared" ca="1" si="220"/>
        <v>-85.661956310164527</v>
      </c>
      <c r="P474" s="310">
        <f t="shared" ca="1" si="221"/>
        <v>23</v>
      </c>
      <c r="Q474" s="304">
        <f t="shared" ca="1" si="222"/>
        <v>0</v>
      </c>
      <c r="R474" s="306">
        <f t="shared" ca="1" si="223"/>
        <v>0</v>
      </c>
      <c r="S474" s="307">
        <f t="shared" ca="1" si="224"/>
        <v>2.0843000000000003</v>
      </c>
      <c r="T474" s="304">
        <f t="shared" ca="1" si="204"/>
        <v>20.446983000000003</v>
      </c>
      <c r="U474" s="311">
        <f t="shared" ca="1" si="205"/>
        <v>0</v>
      </c>
      <c r="V474" s="306">
        <f t="shared" ca="1" si="206"/>
        <v>1.2251081263162424</v>
      </c>
      <c r="W474" s="304">
        <f t="shared" ca="1" si="207"/>
        <v>7.1809033745894189</v>
      </c>
      <c r="Y474" s="314" t="str">
        <f t="shared" ca="1" si="225"/>
        <v/>
      </c>
      <c r="Z474" s="315" t="str">
        <f t="shared" ca="1" si="226"/>
        <v/>
      </c>
      <c r="AA474" s="316" t="str">
        <f t="shared" ca="1" si="227"/>
        <v/>
      </c>
      <c r="AC474" s="310" t="e">
        <f t="shared" ca="1" si="228"/>
        <v>#N/A</v>
      </c>
      <c r="AD474" s="323" t="e">
        <f t="shared" ca="1" si="229"/>
        <v>#N/A</v>
      </c>
      <c r="AE474" s="324">
        <f t="shared" ca="1" si="208"/>
        <v>-0.88262485300905347</v>
      </c>
      <c r="AG474" s="306">
        <f t="shared" ca="1" si="230"/>
        <v>6.336745703164457</v>
      </c>
      <c r="AH474" s="304">
        <f t="shared" ca="1" si="231"/>
        <v>-3.4451488455072226</v>
      </c>
    </row>
    <row r="475" spans="1:34" x14ac:dyDescent="0.2">
      <c r="A475" s="347">
        <f t="shared" ca="1" si="209"/>
        <v>1E-4</v>
      </c>
      <c r="B475" s="304">
        <f t="shared" ca="1" si="210"/>
        <v>12.017099999999935</v>
      </c>
      <c r="D475" s="306">
        <f t="shared" ca="1" si="211"/>
        <v>-0.26060043334350497</v>
      </c>
      <c r="E475" s="307">
        <f t="shared" ca="1" si="212"/>
        <v>-6.3746351240022774</v>
      </c>
      <c r="F475" s="304">
        <f t="shared" ca="1" si="213"/>
        <v>6.3799596824762421</v>
      </c>
      <c r="G475" s="306">
        <f t="shared" ca="1" si="214"/>
        <v>3.9127403822392757</v>
      </c>
      <c r="H475" s="307">
        <f t="shared" ca="1" si="215"/>
        <v>-51.580676035751722</v>
      </c>
      <c r="I475" s="304">
        <f t="shared" ca="1" si="216"/>
        <v>51.728866966172554</v>
      </c>
      <c r="J475" s="306">
        <f t="shared" ca="1" si="217"/>
        <v>56.288824373840264</v>
      </c>
      <c r="K475" s="307">
        <f t="shared" ca="1" si="218"/>
        <v>-0.88778288873945299</v>
      </c>
      <c r="L475" s="304">
        <f t="shared" ca="1" si="203"/>
        <v>56.295824959286037</v>
      </c>
      <c r="M475" s="306">
        <f t="shared" ca="1" si="219"/>
        <v>-1.4950846157847131</v>
      </c>
      <c r="N475" s="304">
        <f t="shared" ca="1" si="220"/>
        <v>-85.662038499402314</v>
      </c>
      <c r="P475" s="310">
        <f t="shared" ca="1" si="221"/>
        <v>23</v>
      </c>
      <c r="Q475" s="304">
        <f t="shared" ca="1" si="222"/>
        <v>0</v>
      </c>
      <c r="R475" s="306">
        <f t="shared" ca="1" si="223"/>
        <v>0</v>
      </c>
      <c r="S475" s="307">
        <f t="shared" ca="1" si="224"/>
        <v>2.0843000000000003</v>
      </c>
      <c r="T475" s="304">
        <f t="shared" ca="1" si="204"/>
        <v>20.446983000000003</v>
      </c>
      <c r="U475" s="311">
        <f t="shared" ca="1" si="205"/>
        <v>0</v>
      </c>
      <c r="V475" s="306">
        <f t="shared" ca="1" si="206"/>
        <v>1.2251087582315554</v>
      </c>
      <c r="W475" s="304">
        <f t="shared" ca="1" si="207"/>
        <v>7.1810830105091839</v>
      </c>
      <c r="Y475" s="314" t="str">
        <f t="shared" ca="1" si="225"/>
        <v/>
      </c>
      <c r="Z475" s="315" t="str">
        <f t="shared" ca="1" si="226"/>
        <v/>
      </c>
      <c r="AA475" s="316" t="str">
        <f t="shared" ca="1" si="227"/>
        <v/>
      </c>
      <c r="AC475" s="310" t="e">
        <f t="shared" ca="1" si="228"/>
        <v>#N/A</v>
      </c>
      <c r="AD475" s="323" t="e">
        <f t="shared" ca="1" si="229"/>
        <v>#N/A</v>
      </c>
      <c r="AE475" s="324">
        <f t="shared" ca="1" si="208"/>
        <v>-0.88778288873945299</v>
      </c>
      <c r="AG475" s="306">
        <f t="shared" ca="1" si="230"/>
        <v>6.3366605823974886</v>
      </c>
      <c r="AH475" s="304">
        <f t="shared" ca="1" si="231"/>
        <v>-3.4452350307486532</v>
      </c>
    </row>
    <row r="476" spans="1:34" x14ac:dyDescent="0.2">
      <c r="A476" s="347">
        <f t="shared" ca="1" si="209"/>
        <v>1E-4</v>
      </c>
      <c r="B476" s="304">
        <f t="shared" ca="1" si="210"/>
        <v>12.017199999999935</v>
      </c>
      <c r="D476" s="306">
        <f t="shared" ca="1" si="211"/>
        <v>-0.26060202440631758</v>
      </c>
      <c r="E476" s="307">
        <f t="shared" ca="1" si="212"/>
        <v>-6.3745488118303424</v>
      </c>
      <c r="F476" s="304">
        <f t="shared" ca="1" si="213"/>
        <v>6.3798735073300863</v>
      </c>
      <c r="G476" s="306">
        <f t="shared" ca="1" si="214"/>
        <v>3.9127143220368352</v>
      </c>
      <c r="H476" s="307">
        <f t="shared" ca="1" si="215"/>
        <v>-51.581313490632908</v>
      </c>
      <c r="I476" s="304">
        <f t="shared" ca="1" si="216"/>
        <v>51.729500623771933</v>
      </c>
      <c r="J476" s="306">
        <f t="shared" ca="1" si="217"/>
        <v>56.288824373840264</v>
      </c>
      <c r="K476" s="307">
        <f t="shared" ca="1" si="218"/>
        <v>-0.89294098821577217</v>
      </c>
      <c r="L476" s="304">
        <f t="shared" ca="1" si="203"/>
        <v>56.295906538552778</v>
      </c>
      <c r="M476" s="306">
        <f t="shared" ca="1" si="219"/>
        <v>-1.4950860502128254</v>
      </c>
      <c r="N476" s="304">
        <f t="shared" ca="1" si="220"/>
        <v>-85.662120686079163</v>
      </c>
      <c r="P476" s="310">
        <f t="shared" ca="1" si="221"/>
        <v>23</v>
      </c>
      <c r="Q476" s="304">
        <f t="shared" ca="1" si="222"/>
        <v>0</v>
      </c>
      <c r="R476" s="306">
        <f t="shared" ca="1" si="223"/>
        <v>0</v>
      </c>
      <c r="S476" s="307">
        <f t="shared" ca="1" si="224"/>
        <v>2.0843000000000003</v>
      </c>
      <c r="T476" s="304">
        <f t="shared" ca="1" si="204"/>
        <v>20.446983000000003</v>
      </c>
      <c r="U476" s="311">
        <f t="shared" ca="1" si="205"/>
        <v>0</v>
      </c>
      <c r="V476" s="306">
        <f t="shared" ca="1" si="206"/>
        <v>1.2251093901550041</v>
      </c>
      <c r="W476" s="304">
        <f t="shared" ca="1" si="207"/>
        <v>7.1812626464499196</v>
      </c>
      <c r="Y476" s="314" t="str">
        <f t="shared" ca="1" si="225"/>
        <v/>
      </c>
      <c r="Z476" s="315" t="str">
        <f t="shared" ca="1" si="226"/>
        <v/>
      </c>
      <c r="AA476" s="316" t="str">
        <f t="shared" ca="1" si="227"/>
        <v/>
      </c>
      <c r="AC476" s="310" t="e">
        <f t="shared" ca="1" si="228"/>
        <v>#N/A</v>
      </c>
      <c r="AD476" s="323" t="e">
        <f t="shared" ca="1" si="229"/>
        <v>#N/A</v>
      </c>
      <c r="AE476" s="324">
        <f t="shared" ca="1" si="208"/>
        <v>-0.89294098821577217</v>
      </c>
      <c r="AG476" s="306">
        <f t="shared" ca="1" si="230"/>
        <v>6.3365754615671213</v>
      </c>
      <c r="AH476" s="304">
        <f t="shared" ca="1" si="231"/>
        <v>-3.4453212160001838</v>
      </c>
    </row>
    <row r="477" spans="1:34" x14ac:dyDescent="0.2">
      <c r="A477" s="347">
        <f t="shared" ca="1" si="209"/>
        <v>1E-4</v>
      </c>
      <c r="B477" s="304">
        <f t="shared" ca="1" si="210"/>
        <v>12.017299999999935</v>
      </c>
      <c r="D477" s="306">
        <f t="shared" ca="1" si="211"/>
        <v>-0.26060361537636045</v>
      </c>
      <c r="E477" s="307">
        <f t="shared" ca="1" si="212"/>
        <v>-6.3744624996483896</v>
      </c>
      <c r="F477" s="304">
        <f t="shared" ca="1" si="213"/>
        <v>6.3797873321742333</v>
      </c>
      <c r="G477" s="306">
        <f t="shared" ca="1" si="214"/>
        <v>3.9126882616752976</v>
      </c>
      <c r="H477" s="307">
        <f t="shared" ca="1" si="215"/>
        <v>-51.581950936882876</v>
      </c>
      <c r="I477" s="304">
        <f t="shared" ca="1" si="216"/>
        <v>51.730134272859218</v>
      </c>
      <c r="J477" s="306">
        <f t="shared" ca="1" si="217"/>
        <v>56.288824373840264</v>
      </c>
      <c r="K477" s="307">
        <f t="shared" ca="1" si="218"/>
        <v>-0.89809915143714791</v>
      </c>
      <c r="L477" s="304">
        <f t="shared" ca="1" si="203"/>
        <v>56.295988591327237</v>
      </c>
      <c r="M477" s="306">
        <f t="shared" ca="1" si="219"/>
        <v>-1.4950874845962427</v>
      </c>
      <c r="N477" s="304">
        <f t="shared" ca="1" si="220"/>
        <v>-85.662202870195188</v>
      </c>
      <c r="P477" s="310">
        <f t="shared" ca="1" si="221"/>
        <v>23</v>
      </c>
      <c r="Q477" s="304">
        <f t="shared" ca="1" si="222"/>
        <v>0</v>
      </c>
      <c r="R477" s="306">
        <f t="shared" ca="1" si="223"/>
        <v>0</v>
      </c>
      <c r="S477" s="307">
        <f t="shared" ca="1" si="224"/>
        <v>2.0843000000000003</v>
      </c>
      <c r="T477" s="304">
        <f t="shared" ca="1" si="204"/>
        <v>20.446983000000003</v>
      </c>
      <c r="U477" s="311">
        <f t="shared" ca="1" si="205"/>
        <v>0</v>
      </c>
      <c r="V477" s="306">
        <f t="shared" ca="1" si="206"/>
        <v>1.2251100220865883</v>
      </c>
      <c r="W477" s="304">
        <f t="shared" ca="1" si="207"/>
        <v>7.1814422824115338</v>
      </c>
      <c r="Y477" s="314" t="str">
        <f t="shared" ca="1" si="225"/>
        <v/>
      </c>
      <c r="Z477" s="315" t="str">
        <f t="shared" ca="1" si="226"/>
        <v/>
      </c>
      <c r="AA477" s="316" t="str">
        <f t="shared" ca="1" si="227"/>
        <v/>
      </c>
      <c r="AC477" s="310" t="e">
        <f t="shared" ca="1" si="228"/>
        <v>#N/A</v>
      </c>
      <c r="AD477" s="323" t="e">
        <f t="shared" ca="1" si="229"/>
        <v>#N/A</v>
      </c>
      <c r="AE477" s="324">
        <f t="shared" ca="1" si="208"/>
        <v>-0.89809915143714791</v>
      </c>
      <c r="AG477" s="306">
        <f t="shared" ca="1" si="230"/>
        <v>6.3364903406733983</v>
      </c>
      <c r="AH477" s="304">
        <f t="shared" ca="1" si="231"/>
        <v>-3.4454074012617757</v>
      </c>
    </row>
    <row r="478" spans="1:34" x14ac:dyDescent="0.2">
      <c r="A478" s="347">
        <f t="shared" ca="1" si="209"/>
        <v>1E-4</v>
      </c>
      <c r="B478" s="304">
        <f t="shared" ca="1" si="210"/>
        <v>12.017399999999935</v>
      </c>
      <c r="D478" s="306">
        <f t="shared" ca="1" si="211"/>
        <v>-0.26060520625363481</v>
      </c>
      <c r="E478" s="307">
        <f t="shared" ca="1" si="212"/>
        <v>-6.3743761874564644</v>
      </c>
      <c r="F478" s="304">
        <f t="shared" ca="1" si="213"/>
        <v>6.3797011570087285</v>
      </c>
      <c r="G478" s="306">
        <f t="shared" ca="1" si="214"/>
        <v>3.9126622011546721</v>
      </c>
      <c r="H478" s="307">
        <f t="shared" ca="1" si="215"/>
        <v>-51.582588374501618</v>
      </c>
      <c r="I478" s="304">
        <f t="shared" ca="1" si="216"/>
        <v>51.730767913434406</v>
      </c>
      <c r="J478" s="306">
        <f t="shared" ca="1" si="217"/>
        <v>56.288824373840264</v>
      </c>
      <c r="K478" s="307">
        <f t="shared" ca="1" si="218"/>
        <v>-0.90325737840271714</v>
      </c>
      <c r="L478" s="304">
        <f t="shared" ca="1" si="203"/>
        <v>56.296071117624834</v>
      </c>
      <c r="M478" s="306">
        <f t="shared" ca="1" si="219"/>
        <v>-1.4950889189349676</v>
      </c>
      <c r="N478" s="304">
        <f t="shared" ca="1" si="220"/>
        <v>-85.662285051750516</v>
      </c>
      <c r="P478" s="310">
        <f t="shared" ca="1" si="221"/>
        <v>23</v>
      </c>
      <c r="Q478" s="304">
        <f t="shared" ca="1" si="222"/>
        <v>0</v>
      </c>
      <c r="R478" s="306">
        <f t="shared" ca="1" si="223"/>
        <v>0</v>
      </c>
      <c r="S478" s="307">
        <f t="shared" ca="1" si="224"/>
        <v>2.0843000000000003</v>
      </c>
      <c r="T478" s="304">
        <f t="shared" ca="1" si="204"/>
        <v>20.446983000000003</v>
      </c>
      <c r="U478" s="311">
        <f t="shared" ca="1" si="205"/>
        <v>0</v>
      </c>
      <c r="V478" s="306">
        <f t="shared" ca="1" si="206"/>
        <v>1.2251106540263077</v>
      </c>
      <c r="W478" s="304">
        <f t="shared" ca="1" si="207"/>
        <v>7.1816219183939429</v>
      </c>
      <c r="Y478" s="314" t="str">
        <f t="shared" ca="1" si="225"/>
        <v/>
      </c>
      <c r="Z478" s="315" t="str">
        <f t="shared" ca="1" si="226"/>
        <v/>
      </c>
      <c r="AA478" s="316" t="str">
        <f t="shared" ca="1" si="227"/>
        <v/>
      </c>
      <c r="AC478" s="310" t="e">
        <f t="shared" ca="1" si="228"/>
        <v>#N/A</v>
      </c>
      <c r="AD478" s="323" t="e">
        <f t="shared" ca="1" si="229"/>
        <v>#N/A</v>
      </c>
      <c r="AE478" s="324">
        <f t="shared" ca="1" si="208"/>
        <v>-0.90325737840271714</v>
      </c>
      <c r="AG478" s="306">
        <f t="shared" ca="1" si="230"/>
        <v>6.3364052197163687</v>
      </c>
      <c r="AH478" s="304">
        <f t="shared" ca="1" si="231"/>
        <v>-3.4454935865333844</v>
      </c>
    </row>
    <row r="479" spans="1:34" x14ac:dyDescent="0.2">
      <c r="A479" s="347">
        <f t="shared" ca="1" si="209"/>
        <v>1E-4</v>
      </c>
      <c r="B479" s="304">
        <f t="shared" ca="1" si="210"/>
        <v>12.017499999999934</v>
      </c>
      <c r="D479" s="306">
        <f t="shared" ca="1" si="211"/>
        <v>-0.26060679703814082</v>
      </c>
      <c r="E479" s="307">
        <f t="shared" ca="1" si="212"/>
        <v>-6.3742898752546049</v>
      </c>
      <c r="F479" s="304">
        <f t="shared" ca="1" si="213"/>
        <v>6.3796149818336092</v>
      </c>
      <c r="G479" s="306">
        <f t="shared" ca="1" si="214"/>
        <v>3.9126361404749681</v>
      </c>
      <c r="H479" s="307">
        <f t="shared" ca="1" si="215"/>
        <v>-51.583225803489142</v>
      </c>
      <c r="I479" s="304">
        <f t="shared" ca="1" si="216"/>
        <v>51.731401545497476</v>
      </c>
      <c r="J479" s="306">
        <f t="shared" ca="1" si="217"/>
        <v>56.288824373840264</v>
      </c>
      <c r="K479" s="307">
        <f t="shared" ca="1" si="218"/>
        <v>-0.90841566911161664</v>
      </c>
      <c r="L479" s="304">
        <f t="shared" ca="1" si="203"/>
        <v>56.296154117461008</v>
      </c>
      <c r="M479" s="306">
        <f t="shared" ca="1" si="219"/>
        <v>-1.4950903532290021</v>
      </c>
      <c r="N479" s="304">
        <f t="shared" ca="1" si="220"/>
        <v>-85.662367230745275</v>
      </c>
      <c r="P479" s="310">
        <f t="shared" ca="1" si="221"/>
        <v>23</v>
      </c>
      <c r="Q479" s="304">
        <f t="shared" ca="1" si="222"/>
        <v>0</v>
      </c>
      <c r="R479" s="306">
        <f t="shared" ca="1" si="223"/>
        <v>0</v>
      </c>
      <c r="S479" s="307">
        <f t="shared" ca="1" si="224"/>
        <v>2.0843000000000003</v>
      </c>
      <c r="T479" s="304">
        <f t="shared" ca="1" si="204"/>
        <v>20.446983000000003</v>
      </c>
      <c r="U479" s="311">
        <f t="shared" ca="1" si="205"/>
        <v>0</v>
      </c>
      <c r="V479" s="306">
        <f t="shared" ca="1" si="206"/>
        <v>1.2251112859741626</v>
      </c>
      <c r="W479" s="304">
        <f t="shared" ca="1" si="207"/>
        <v>7.1818015543970608</v>
      </c>
      <c r="Y479" s="314" t="str">
        <f t="shared" ca="1" si="225"/>
        <v/>
      </c>
      <c r="Z479" s="315" t="str">
        <f t="shared" ca="1" si="226"/>
        <v/>
      </c>
      <c r="AA479" s="316" t="str">
        <f t="shared" ca="1" si="227"/>
        <v/>
      </c>
      <c r="AC479" s="310" t="e">
        <f t="shared" ca="1" si="228"/>
        <v>#N/A</v>
      </c>
      <c r="AD479" s="323" t="e">
        <f t="shared" ca="1" si="229"/>
        <v>#N/A</v>
      </c>
      <c r="AE479" s="324">
        <f t="shared" ca="1" si="208"/>
        <v>-0.90841566911161664</v>
      </c>
      <c r="AG479" s="306">
        <f t="shared" ca="1" si="230"/>
        <v>6.3363200986960742</v>
      </c>
      <c r="AH479" s="304">
        <f t="shared" ca="1" si="231"/>
        <v>-3.4455797718149701</v>
      </c>
    </row>
    <row r="480" spans="1:34" x14ac:dyDescent="0.2">
      <c r="A480" s="347">
        <f t="shared" ca="1" si="209"/>
        <v>1E-4</v>
      </c>
      <c r="B480" s="304">
        <f t="shared" ca="1" si="210"/>
        <v>12.017599999999934</v>
      </c>
      <c r="D480" s="306">
        <f t="shared" ca="1" si="211"/>
        <v>-0.26060838772987993</v>
      </c>
      <c r="E480" s="307">
        <f t="shared" ca="1" si="212"/>
        <v>-6.3742035630428537</v>
      </c>
      <c r="F480" s="304">
        <f t="shared" ca="1" si="213"/>
        <v>6.3795288066489189</v>
      </c>
      <c r="G480" s="306">
        <f t="shared" ca="1" si="214"/>
        <v>3.9126100796361953</v>
      </c>
      <c r="H480" s="307">
        <f t="shared" ca="1" si="215"/>
        <v>-51.583863223845448</v>
      </c>
      <c r="I480" s="304">
        <f t="shared" ca="1" si="216"/>
        <v>51.732035169048451</v>
      </c>
      <c r="J480" s="306">
        <f t="shared" ca="1" si="217"/>
        <v>56.288824373840264</v>
      </c>
      <c r="K480" s="307">
        <f t="shared" ca="1" si="218"/>
        <v>-0.91357402356298334</v>
      </c>
      <c r="L480" s="304">
        <f t="shared" ca="1" si="203"/>
        <v>56.296237590851156</v>
      </c>
      <c r="M480" s="306">
        <f t="shared" ca="1" si="219"/>
        <v>-1.495091787478348</v>
      </c>
      <c r="N480" s="304">
        <f t="shared" ca="1" si="220"/>
        <v>-85.662449407179565</v>
      </c>
      <c r="P480" s="310">
        <f t="shared" ca="1" si="221"/>
        <v>23</v>
      </c>
      <c r="Q480" s="304">
        <f t="shared" ca="1" si="222"/>
        <v>0</v>
      </c>
      <c r="R480" s="306">
        <f t="shared" ca="1" si="223"/>
        <v>0</v>
      </c>
      <c r="S480" s="307">
        <f t="shared" ca="1" si="224"/>
        <v>2.0843000000000003</v>
      </c>
      <c r="T480" s="304">
        <f t="shared" ca="1" si="204"/>
        <v>20.446983000000003</v>
      </c>
      <c r="U480" s="311">
        <f t="shared" ca="1" si="205"/>
        <v>0</v>
      </c>
      <c r="V480" s="306">
        <f t="shared" ca="1" si="206"/>
        <v>1.225111917930152</v>
      </c>
      <c r="W480" s="304">
        <f t="shared" ca="1" si="207"/>
        <v>7.1819811904207986</v>
      </c>
      <c r="Y480" s="314" t="str">
        <f t="shared" ca="1" si="225"/>
        <v/>
      </c>
      <c r="Z480" s="315" t="str">
        <f t="shared" ca="1" si="226"/>
        <v/>
      </c>
      <c r="AA480" s="316" t="str">
        <f t="shared" ca="1" si="227"/>
        <v/>
      </c>
      <c r="AC480" s="310" t="e">
        <f t="shared" ca="1" si="228"/>
        <v>#N/A</v>
      </c>
      <c r="AD480" s="323" t="e">
        <f t="shared" ca="1" si="229"/>
        <v>#N/A</v>
      </c>
      <c r="AE480" s="324">
        <f t="shared" ca="1" si="208"/>
        <v>-0.91357402356298334</v>
      </c>
      <c r="AG480" s="306">
        <f t="shared" ca="1" si="230"/>
        <v>6.3362349776125608</v>
      </c>
      <c r="AH480" s="304">
        <f t="shared" ca="1" si="231"/>
        <v>-3.4456659571064914</v>
      </c>
    </row>
    <row r="481" spans="1:34" x14ac:dyDescent="0.2">
      <c r="A481" s="347">
        <f t="shared" ca="1" si="209"/>
        <v>1E-4</v>
      </c>
      <c r="B481" s="304">
        <f t="shared" ca="1" si="210"/>
        <v>12.017699999999934</v>
      </c>
      <c r="D481" s="306">
        <f t="shared" ca="1" si="211"/>
        <v>-0.26060997832885346</v>
      </c>
      <c r="E481" s="307">
        <f t="shared" ca="1" si="212"/>
        <v>-6.3741172508212536</v>
      </c>
      <c r="F481" s="304">
        <f t="shared" ca="1" si="213"/>
        <v>6.3794426314546993</v>
      </c>
      <c r="G481" s="306">
        <f t="shared" ca="1" si="214"/>
        <v>3.9125840186383622</v>
      </c>
      <c r="H481" s="307">
        <f t="shared" ca="1" si="215"/>
        <v>-51.584500635570528</v>
      </c>
      <c r="I481" s="304">
        <f t="shared" ca="1" si="216"/>
        <v>51.732668784087302</v>
      </c>
      <c r="J481" s="306">
        <f t="shared" ca="1" si="217"/>
        <v>56.288824373840264</v>
      </c>
      <c r="K481" s="307">
        <f t="shared" ca="1" si="218"/>
        <v>-0.91873244175595414</v>
      </c>
      <c r="L481" s="304">
        <f t="shared" ca="1" si="203"/>
        <v>56.296321537810698</v>
      </c>
      <c r="M481" s="306">
        <f t="shared" ca="1" si="219"/>
        <v>-1.4950932216830082</v>
      </c>
      <c r="N481" s="304">
        <f t="shared" ca="1" si="220"/>
        <v>-85.662531581053543</v>
      </c>
      <c r="P481" s="310">
        <f t="shared" ca="1" si="221"/>
        <v>23</v>
      </c>
      <c r="Q481" s="304">
        <f t="shared" ca="1" si="222"/>
        <v>0</v>
      </c>
      <c r="R481" s="306">
        <f t="shared" ca="1" si="223"/>
        <v>0</v>
      </c>
      <c r="S481" s="307">
        <f t="shared" ca="1" si="224"/>
        <v>2.0843000000000003</v>
      </c>
      <c r="T481" s="304">
        <f t="shared" ca="1" si="204"/>
        <v>20.446983000000003</v>
      </c>
      <c r="U481" s="311">
        <f t="shared" ca="1" si="205"/>
        <v>0</v>
      </c>
      <c r="V481" s="306">
        <f t="shared" ca="1" si="206"/>
        <v>1.225112549894277</v>
      </c>
      <c r="W481" s="304">
        <f t="shared" ca="1" si="207"/>
        <v>7.1821608264650774</v>
      </c>
      <c r="Y481" s="314" t="str">
        <f t="shared" ca="1" si="225"/>
        <v/>
      </c>
      <c r="Z481" s="315" t="str">
        <f t="shared" ca="1" si="226"/>
        <v/>
      </c>
      <c r="AA481" s="316" t="str">
        <f t="shared" ca="1" si="227"/>
        <v/>
      </c>
      <c r="AC481" s="310" t="e">
        <f t="shared" ca="1" si="228"/>
        <v>#N/A</v>
      </c>
      <c r="AD481" s="323" t="e">
        <f t="shared" ca="1" si="229"/>
        <v>#N/A</v>
      </c>
      <c r="AE481" s="324">
        <f t="shared" ca="1" si="208"/>
        <v>-0.91873244175595414</v>
      </c>
      <c r="AG481" s="306">
        <f t="shared" ca="1" si="230"/>
        <v>6.3361498564658776</v>
      </c>
      <c r="AH481" s="304">
        <f t="shared" ca="1" si="231"/>
        <v>-3.4457521424079056</v>
      </c>
    </row>
    <row r="482" spans="1:34" x14ac:dyDescent="0.2">
      <c r="A482" s="347">
        <f t="shared" ca="1" si="209"/>
        <v>1E-4</v>
      </c>
      <c r="B482" s="304">
        <f t="shared" ca="1" si="210"/>
        <v>12.017799999999934</v>
      </c>
      <c r="D482" s="306">
        <f t="shared" ca="1" si="211"/>
        <v>-0.26061156883506109</v>
      </c>
      <c r="E482" s="307">
        <f t="shared" ca="1" si="212"/>
        <v>-6.3740309385898417</v>
      </c>
      <c r="F482" s="304">
        <f t="shared" ca="1" si="213"/>
        <v>6.3793564562509886</v>
      </c>
      <c r="G482" s="306">
        <f t="shared" ca="1" si="214"/>
        <v>3.9125579574814786</v>
      </c>
      <c r="H482" s="307">
        <f t="shared" ca="1" si="215"/>
        <v>-51.58513803866439</v>
      </c>
      <c r="I482" s="304">
        <f t="shared" ca="1" si="216"/>
        <v>51.733302390614035</v>
      </c>
      <c r="J482" s="306">
        <f t="shared" ca="1" si="217"/>
        <v>56.288824373840264</v>
      </c>
      <c r="K482" s="307">
        <f t="shared" ca="1" si="218"/>
        <v>-0.92389092368966586</v>
      </c>
      <c r="L482" s="304">
        <f t="shared" ca="1" si="203"/>
        <v>56.296405958355017</v>
      </c>
      <c r="M482" s="306">
        <f t="shared" ca="1" si="219"/>
        <v>-1.4950946558429843</v>
      </c>
      <c r="N482" s="304">
        <f t="shared" ca="1" si="220"/>
        <v>-85.662613752367321</v>
      </c>
      <c r="P482" s="310">
        <f t="shared" ca="1" si="221"/>
        <v>23</v>
      </c>
      <c r="Q482" s="304">
        <f t="shared" ca="1" si="222"/>
        <v>0</v>
      </c>
      <c r="R482" s="306">
        <f t="shared" ca="1" si="223"/>
        <v>0</v>
      </c>
      <c r="S482" s="307">
        <f t="shared" ca="1" si="224"/>
        <v>2.0843000000000003</v>
      </c>
      <c r="T482" s="304">
        <f t="shared" ca="1" si="204"/>
        <v>20.446983000000003</v>
      </c>
      <c r="U482" s="311">
        <f t="shared" ca="1" si="205"/>
        <v>0</v>
      </c>
      <c r="V482" s="306">
        <f t="shared" ca="1" si="206"/>
        <v>1.2251131818665368</v>
      </c>
      <c r="W482" s="304">
        <f t="shared" ca="1" si="207"/>
        <v>7.18234046252981</v>
      </c>
      <c r="Y482" s="314" t="str">
        <f t="shared" ca="1" si="225"/>
        <v/>
      </c>
      <c r="Z482" s="315" t="str">
        <f t="shared" ca="1" si="226"/>
        <v/>
      </c>
      <c r="AA482" s="316" t="str">
        <f t="shared" ca="1" si="227"/>
        <v/>
      </c>
      <c r="AC482" s="310" t="e">
        <f t="shared" ca="1" si="228"/>
        <v>#N/A</v>
      </c>
      <c r="AD482" s="323" t="e">
        <f t="shared" ca="1" si="229"/>
        <v>#N/A</v>
      </c>
      <c r="AE482" s="324">
        <f t="shared" ca="1" si="208"/>
        <v>-0.92389092368966586</v>
      </c>
      <c r="AG482" s="306">
        <f t="shared" ca="1" si="230"/>
        <v>6.3360647352560608</v>
      </c>
      <c r="AH482" s="304">
        <f t="shared" ca="1" si="231"/>
        <v>-3.4458383277191751</v>
      </c>
    </row>
    <row r="483" spans="1:34" x14ac:dyDescent="0.2">
      <c r="A483" s="347">
        <f t="shared" ca="1" si="209"/>
        <v>1E-4</v>
      </c>
      <c r="B483" s="304">
        <f t="shared" ca="1" si="210"/>
        <v>12.017899999999933</v>
      </c>
      <c r="D483" s="306">
        <f t="shared" ca="1" si="211"/>
        <v>-0.26061315924850492</v>
      </c>
      <c r="E483" s="307">
        <f t="shared" ca="1" si="212"/>
        <v>-6.3739446263486599</v>
      </c>
      <c r="F483" s="304">
        <f t="shared" ca="1" si="213"/>
        <v>6.3792702810378277</v>
      </c>
      <c r="G483" s="306">
        <f t="shared" ca="1" si="214"/>
        <v>3.9125318961655537</v>
      </c>
      <c r="H483" s="307">
        <f t="shared" ca="1" si="215"/>
        <v>-51.585775433127026</v>
      </c>
      <c r="I483" s="304">
        <f t="shared" ca="1" si="216"/>
        <v>51.73393598862863</v>
      </c>
      <c r="J483" s="306">
        <f t="shared" ca="1" si="217"/>
        <v>56.288824373840264</v>
      </c>
      <c r="K483" s="307">
        <f t="shared" ca="1" si="218"/>
        <v>-0.92904946936325539</v>
      </c>
      <c r="L483" s="304">
        <f t="shared" ca="1" si="203"/>
        <v>56.296490852499481</v>
      </c>
      <c r="M483" s="306">
        <f t="shared" ca="1" si="219"/>
        <v>-1.4950960899582788</v>
      </c>
      <c r="N483" s="304">
        <f t="shared" ca="1" si="220"/>
        <v>-85.662695921121042</v>
      </c>
      <c r="P483" s="310">
        <f t="shared" ca="1" si="221"/>
        <v>23</v>
      </c>
      <c r="Q483" s="304">
        <f t="shared" ca="1" si="222"/>
        <v>0</v>
      </c>
      <c r="R483" s="306">
        <f t="shared" ca="1" si="223"/>
        <v>0</v>
      </c>
      <c r="S483" s="307">
        <f t="shared" ca="1" si="224"/>
        <v>2.0843000000000003</v>
      </c>
      <c r="T483" s="304">
        <f t="shared" ca="1" si="204"/>
        <v>20.446983000000003</v>
      </c>
      <c r="U483" s="311">
        <f t="shared" ca="1" si="205"/>
        <v>0</v>
      </c>
      <c r="V483" s="306">
        <f t="shared" ca="1" si="206"/>
        <v>1.2251138138469317</v>
      </c>
      <c r="W483" s="304">
        <f t="shared" ca="1" si="207"/>
        <v>7.1825200986149031</v>
      </c>
      <c r="Y483" s="314" t="str">
        <f t="shared" ca="1" si="225"/>
        <v/>
      </c>
      <c r="Z483" s="315" t="str">
        <f t="shared" ca="1" si="226"/>
        <v/>
      </c>
      <c r="AA483" s="316" t="str">
        <f t="shared" ca="1" si="227"/>
        <v/>
      </c>
      <c r="AC483" s="310" t="e">
        <f t="shared" ca="1" si="228"/>
        <v>#N/A</v>
      </c>
      <c r="AD483" s="323" t="e">
        <f t="shared" ca="1" si="229"/>
        <v>#N/A</v>
      </c>
      <c r="AE483" s="324">
        <f t="shared" ca="1" si="208"/>
        <v>-0.92904946936325539</v>
      </c>
      <c r="AG483" s="306">
        <f t="shared" ca="1" si="230"/>
        <v>6.3359796139831559</v>
      </c>
      <c r="AH483" s="304">
        <f t="shared" ca="1" si="231"/>
        <v>-3.4459245130402576</v>
      </c>
    </row>
    <row r="484" spans="1:34" x14ac:dyDescent="0.2">
      <c r="A484" s="347">
        <f t="shared" ca="1" si="209"/>
        <v>1E-4</v>
      </c>
      <c r="B484" s="304">
        <f t="shared" ca="1" si="210"/>
        <v>12.017999999999933</v>
      </c>
      <c r="D484" s="306">
        <f t="shared" ca="1" si="211"/>
        <v>-0.26061474956918468</v>
      </c>
      <c r="E484" s="307">
        <f t="shared" ca="1" si="212"/>
        <v>-6.3738583140977543</v>
      </c>
      <c r="F484" s="304">
        <f t="shared" ca="1" si="213"/>
        <v>6.3791841058152627</v>
      </c>
      <c r="G484" s="306">
        <f t="shared" ca="1" si="214"/>
        <v>3.912505834690597</v>
      </c>
      <c r="H484" s="307">
        <f t="shared" ca="1" si="215"/>
        <v>-51.586412818958436</v>
      </c>
      <c r="I484" s="304">
        <f t="shared" ca="1" si="216"/>
        <v>51.734569578131094</v>
      </c>
      <c r="J484" s="306">
        <f t="shared" ca="1" si="217"/>
        <v>56.288824373840264</v>
      </c>
      <c r="K484" s="307">
        <f t="shared" ca="1" si="218"/>
        <v>-0.93420807877585965</v>
      </c>
      <c r="L484" s="304">
        <f t="shared" ca="1" si="203"/>
        <v>56.296576220259468</v>
      </c>
      <c r="M484" s="306">
        <f t="shared" ca="1" si="219"/>
        <v>-1.4950975240288935</v>
      </c>
      <c r="N484" s="304">
        <f t="shared" ca="1" si="220"/>
        <v>-85.662778087314777</v>
      </c>
      <c r="P484" s="310">
        <f t="shared" ca="1" si="221"/>
        <v>23</v>
      </c>
      <c r="Q484" s="304">
        <f t="shared" ca="1" si="222"/>
        <v>0</v>
      </c>
      <c r="R484" s="306">
        <f t="shared" ca="1" si="223"/>
        <v>0</v>
      </c>
      <c r="S484" s="307">
        <f t="shared" ca="1" si="224"/>
        <v>2.0843000000000003</v>
      </c>
      <c r="T484" s="304">
        <f t="shared" ca="1" si="204"/>
        <v>20.446983000000003</v>
      </c>
      <c r="U484" s="311">
        <f t="shared" ca="1" si="205"/>
        <v>0</v>
      </c>
      <c r="V484" s="306">
        <f t="shared" ca="1" si="206"/>
        <v>1.2251144458354613</v>
      </c>
      <c r="W484" s="304">
        <f t="shared" ca="1" si="207"/>
        <v>7.1826997347202779</v>
      </c>
      <c r="Y484" s="314" t="str">
        <f t="shared" ca="1" si="225"/>
        <v/>
      </c>
      <c r="Z484" s="315" t="str">
        <f t="shared" ca="1" si="226"/>
        <v/>
      </c>
      <c r="AA484" s="316" t="str">
        <f t="shared" ca="1" si="227"/>
        <v/>
      </c>
      <c r="AC484" s="310" t="e">
        <f t="shared" ca="1" si="228"/>
        <v>#N/A</v>
      </c>
      <c r="AD484" s="323" t="e">
        <f t="shared" ca="1" si="229"/>
        <v>#N/A</v>
      </c>
      <c r="AE484" s="324">
        <f t="shared" ca="1" si="208"/>
        <v>-0.93420807877585965</v>
      </c>
      <c r="AG484" s="306">
        <f t="shared" ca="1" si="230"/>
        <v>6.335894492647216</v>
      </c>
      <c r="AH484" s="304">
        <f t="shared" ca="1" si="231"/>
        <v>-3.4460106983711087</v>
      </c>
    </row>
    <row r="485" spans="1:34" x14ac:dyDescent="0.2">
      <c r="A485" s="347">
        <f t="shared" ca="1" si="209"/>
        <v>1E-4</v>
      </c>
      <c r="B485" s="304">
        <f t="shared" ca="1" si="210"/>
        <v>12.018099999999933</v>
      </c>
      <c r="D485" s="306">
        <f t="shared" ca="1" si="211"/>
        <v>-0.26061633979710291</v>
      </c>
      <c r="E485" s="307">
        <f t="shared" ca="1" si="212"/>
        <v>-6.3737720018371622</v>
      </c>
      <c r="F485" s="304">
        <f t="shared" ca="1" si="213"/>
        <v>6.379097930583332</v>
      </c>
      <c r="G485" s="306">
        <f t="shared" ca="1" si="214"/>
        <v>3.9124797730566172</v>
      </c>
      <c r="H485" s="307">
        <f t="shared" ca="1" si="215"/>
        <v>-51.587050196158621</v>
      </c>
      <c r="I485" s="304">
        <f t="shared" ca="1" si="216"/>
        <v>51.735203159121411</v>
      </c>
      <c r="J485" s="306">
        <f t="shared" ca="1" si="217"/>
        <v>56.288824373840264</v>
      </c>
      <c r="K485" s="307">
        <f t="shared" ca="1" si="218"/>
        <v>-0.93936675192661545</v>
      </c>
      <c r="L485" s="304">
        <f t="shared" ca="1" si="203"/>
        <v>56.296662061650323</v>
      </c>
      <c r="M485" s="306">
        <f t="shared" ca="1" si="219"/>
        <v>-1.4950989580548311</v>
      </c>
      <c r="N485" s="304">
        <f t="shared" ca="1" si="220"/>
        <v>-85.662860250948711</v>
      </c>
      <c r="P485" s="310">
        <f t="shared" ca="1" si="221"/>
        <v>23</v>
      </c>
      <c r="Q485" s="304">
        <f t="shared" ca="1" si="222"/>
        <v>0</v>
      </c>
      <c r="R485" s="306">
        <f t="shared" ca="1" si="223"/>
        <v>0</v>
      </c>
      <c r="S485" s="307">
        <f t="shared" ca="1" si="224"/>
        <v>2.0843000000000003</v>
      </c>
      <c r="T485" s="304">
        <f t="shared" ca="1" si="204"/>
        <v>20.446983000000003</v>
      </c>
      <c r="U485" s="311">
        <f t="shared" ca="1" si="205"/>
        <v>0</v>
      </c>
      <c r="V485" s="306">
        <f t="shared" ca="1" si="206"/>
        <v>1.2251150778321254</v>
      </c>
      <c r="W485" s="304">
        <f t="shared" ca="1" si="207"/>
        <v>7.1828793708458454</v>
      </c>
      <c r="Y485" s="314" t="str">
        <f t="shared" ca="1" si="225"/>
        <v/>
      </c>
      <c r="Z485" s="315" t="str">
        <f t="shared" ca="1" si="226"/>
        <v/>
      </c>
      <c r="AA485" s="316" t="str">
        <f t="shared" ca="1" si="227"/>
        <v/>
      </c>
      <c r="AC485" s="310" t="e">
        <f t="shared" ca="1" si="228"/>
        <v>#N/A</v>
      </c>
      <c r="AD485" s="323" t="e">
        <f t="shared" ca="1" si="229"/>
        <v>#N/A</v>
      </c>
      <c r="AE485" s="324">
        <f t="shared" ca="1" si="208"/>
        <v>-0.93936675192661545</v>
      </c>
      <c r="AG485" s="306">
        <f t="shared" ca="1" si="230"/>
        <v>6.3358093712482777</v>
      </c>
      <c r="AH485" s="304">
        <f t="shared" ca="1" si="231"/>
        <v>-3.4460968837116908</v>
      </c>
    </row>
    <row r="486" spans="1:34" x14ac:dyDescent="0.2">
      <c r="A486" s="347">
        <f t="shared" ca="1" si="209"/>
        <v>1E-4</v>
      </c>
      <c r="B486" s="304">
        <f t="shared" ca="1" si="210"/>
        <v>12.018199999999933</v>
      </c>
      <c r="D486" s="306">
        <f t="shared" ca="1" si="211"/>
        <v>-0.26061792993225874</v>
      </c>
      <c r="E486" s="307">
        <f t="shared" ca="1" si="212"/>
        <v>-6.3736856895669263</v>
      </c>
      <c r="F486" s="304">
        <f t="shared" ca="1" si="213"/>
        <v>6.3790117553420771</v>
      </c>
      <c r="G486" s="306">
        <f t="shared" ca="1" si="214"/>
        <v>3.9124537112636242</v>
      </c>
      <c r="H486" s="307">
        <f t="shared" ca="1" si="215"/>
        <v>-51.587687564727581</v>
      </c>
      <c r="I486" s="304">
        <f t="shared" ca="1" si="216"/>
        <v>51.735836731599591</v>
      </c>
      <c r="J486" s="306">
        <f t="shared" ca="1" si="217"/>
        <v>56.288824373840264</v>
      </c>
      <c r="K486" s="307">
        <f t="shared" ca="1" si="218"/>
        <v>-0.94452548881465981</v>
      </c>
      <c r="L486" s="304">
        <f t="shared" ca="1" si="203"/>
        <v>56.296748376687397</v>
      </c>
      <c r="M486" s="306">
        <f t="shared" ca="1" si="219"/>
        <v>-1.4951003920360932</v>
      </c>
      <c r="N486" s="304">
        <f t="shared" ca="1" si="220"/>
        <v>-85.662942412022943</v>
      </c>
      <c r="P486" s="310">
        <f t="shared" ca="1" si="221"/>
        <v>23</v>
      </c>
      <c r="Q486" s="304">
        <f t="shared" ca="1" si="222"/>
        <v>0</v>
      </c>
      <c r="R486" s="306">
        <f t="shared" ca="1" si="223"/>
        <v>0</v>
      </c>
      <c r="S486" s="307">
        <f t="shared" ca="1" si="224"/>
        <v>2.0843000000000003</v>
      </c>
      <c r="T486" s="304">
        <f t="shared" ca="1" si="204"/>
        <v>20.446983000000003</v>
      </c>
      <c r="U486" s="311">
        <f t="shared" ca="1" si="205"/>
        <v>0</v>
      </c>
      <c r="V486" s="306">
        <f t="shared" ca="1" si="206"/>
        <v>1.2251157098369245</v>
      </c>
      <c r="W486" s="304">
        <f t="shared" ca="1" si="207"/>
        <v>7.183059006991523</v>
      </c>
      <c r="Y486" s="314" t="str">
        <f t="shared" ca="1" si="225"/>
        <v/>
      </c>
      <c r="Z486" s="315" t="str">
        <f t="shared" ca="1" si="226"/>
        <v/>
      </c>
      <c r="AA486" s="316" t="str">
        <f t="shared" ca="1" si="227"/>
        <v/>
      </c>
      <c r="AC486" s="310" t="e">
        <f t="shared" ca="1" si="228"/>
        <v>#N/A</v>
      </c>
      <c r="AD486" s="323" t="e">
        <f t="shared" ca="1" si="229"/>
        <v>#N/A</v>
      </c>
      <c r="AE486" s="324">
        <f t="shared" ca="1" si="208"/>
        <v>-0.94452548881465981</v>
      </c>
      <c r="AG486" s="306">
        <f t="shared" ca="1" si="230"/>
        <v>6.3357242497863879</v>
      </c>
      <c r="AH486" s="304">
        <f t="shared" ca="1" si="231"/>
        <v>-3.4461830690619606</v>
      </c>
    </row>
    <row r="487" spans="1:34" x14ac:dyDescent="0.2">
      <c r="A487" s="347">
        <f t="shared" ca="1" si="209"/>
        <v>1E-4</v>
      </c>
      <c r="B487" s="304">
        <f t="shared" ca="1" si="210"/>
        <v>12.018299999999932</v>
      </c>
      <c r="D487" s="306">
        <f t="shared" ca="1" si="211"/>
        <v>-0.2606195199746546</v>
      </c>
      <c r="E487" s="307">
        <f t="shared" ca="1" si="212"/>
        <v>-6.3735993772870856</v>
      </c>
      <c r="F487" s="304">
        <f t="shared" ca="1" si="213"/>
        <v>6.3789255800915363</v>
      </c>
      <c r="G487" s="306">
        <f t="shared" ca="1" si="214"/>
        <v>3.9124276493116268</v>
      </c>
      <c r="H487" s="307">
        <f t="shared" ca="1" si="215"/>
        <v>-51.588324924665308</v>
      </c>
      <c r="I487" s="304">
        <f t="shared" ca="1" si="216"/>
        <v>51.736470295565603</v>
      </c>
      <c r="J487" s="306">
        <f t="shared" ca="1" si="217"/>
        <v>56.288824373840264</v>
      </c>
      <c r="K487" s="307">
        <f t="shared" ca="1" si="218"/>
        <v>-0.94968428943912941</v>
      </c>
      <c r="L487" s="304">
        <f t="shared" ca="1" si="203"/>
        <v>56.296835165386</v>
      </c>
      <c r="M487" s="306">
        <f t="shared" ca="1" si="219"/>
        <v>-1.4951018259726823</v>
      </c>
      <c r="N487" s="304">
        <f t="shared" ca="1" si="220"/>
        <v>-85.663024570537587</v>
      </c>
      <c r="P487" s="310">
        <f t="shared" ca="1" si="221"/>
        <v>23</v>
      </c>
      <c r="Q487" s="304">
        <f t="shared" ca="1" si="222"/>
        <v>0</v>
      </c>
      <c r="R487" s="306">
        <f t="shared" ca="1" si="223"/>
        <v>0</v>
      </c>
      <c r="S487" s="307">
        <f t="shared" ca="1" si="224"/>
        <v>2.0843000000000003</v>
      </c>
      <c r="T487" s="304">
        <f t="shared" ca="1" si="204"/>
        <v>20.446983000000003</v>
      </c>
      <c r="U487" s="311">
        <f t="shared" ca="1" si="205"/>
        <v>0</v>
      </c>
      <c r="V487" s="306">
        <f t="shared" ca="1" si="206"/>
        <v>1.2251163418498578</v>
      </c>
      <c r="W487" s="304">
        <f t="shared" ca="1" si="207"/>
        <v>7.1832386431572184</v>
      </c>
      <c r="Y487" s="314" t="str">
        <f t="shared" ca="1" si="225"/>
        <v/>
      </c>
      <c r="Z487" s="315" t="str">
        <f t="shared" ca="1" si="226"/>
        <v/>
      </c>
      <c r="AA487" s="316" t="str">
        <f t="shared" ca="1" si="227"/>
        <v/>
      </c>
      <c r="AC487" s="310" t="e">
        <f t="shared" ca="1" si="228"/>
        <v>#N/A</v>
      </c>
      <c r="AD487" s="323" t="e">
        <f t="shared" ca="1" si="229"/>
        <v>#N/A</v>
      </c>
      <c r="AE487" s="324">
        <f t="shared" ca="1" si="208"/>
        <v>-0.94968428943912941</v>
      </c>
      <c r="AG487" s="306">
        <f t="shared" ca="1" si="230"/>
        <v>6.3356391282615956</v>
      </c>
      <c r="AH487" s="304">
        <f t="shared" ca="1" si="231"/>
        <v>-3.4462692544218787</v>
      </c>
    </row>
    <row r="488" spans="1:34" x14ac:dyDescent="0.2">
      <c r="A488" s="347">
        <f t="shared" ca="1" si="209"/>
        <v>1E-4</v>
      </c>
      <c r="B488" s="304">
        <f t="shared" ca="1" si="210"/>
        <v>12.018399999999932</v>
      </c>
      <c r="D488" s="306">
        <f t="shared" ca="1" si="211"/>
        <v>-0.26062110992429094</v>
      </c>
      <c r="E488" s="307">
        <f t="shared" ca="1" si="212"/>
        <v>-6.3735130649976846</v>
      </c>
      <c r="F488" s="304">
        <f t="shared" ca="1" si="213"/>
        <v>6.3788394048317558</v>
      </c>
      <c r="G488" s="306">
        <f t="shared" ca="1" si="214"/>
        <v>3.9124015872006344</v>
      </c>
      <c r="H488" s="307">
        <f t="shared" ca="1" si="215"/>
        <v>-51.588962275971809</v>
      </c>
      <c r="I488" s="304">
        <f t="shared" ca="1" si="216"/>
        <v>51.737103851019462</v>
      </c>
      <c r="J488" s="306">
        <f t="shared" ca="1" si="217"/>
        <v>56.288824373840264</v>
      </c>
      <c r="K488" s="307">
        <f t="shared" ca="1" si="218"/>
        <v>-0.95484315379916129</v>
      </c>
      <c r="L488" s="304">
        <f t="shared" ca="1" si="203"/>
        <v>56.296922427761459</v>
      </c>
      <c r="M488" s="306">
        <f t="shared" ca="1" si="219"/>
        <v>-1.4951032598646006</v>
      </c>
      <c r="N488" s="304">
        <f t="shared" ca="1" si="220"/>
        <v>-85.663106726492785</v>
      </c>
      <c r="P488" s="310">
        <f t="shared" ca="1" si="221"/>
        <v>23</v>
      </c>
      <c r="Q488" s="304">
        <f t="shared" ca="1" si="222"/>
        <v>0</v>
      </c>
      <c r="R488" s="306">
        <f t="shared" ca="1" si="223"/>
        <v>0</v>
      </c>
      <c r="S488" s="307">
        <f t="shared" ca="1" si="224"/>
        <v>2.0843000000000003</v>
      </c>
      <c r="T488" s="304">
        <f t="shared" ca="1" si="204"/>
        <v>20.446983000000003</v>
      </c>
      <c r="U488" s="311">
        <f t="shared" ca="1" si="205"/>
        <v>0</v>
      </c>
      <c r="V488" s="306">
        <f t="shared" ca="1" si="206"/>
        <v>1.2251169738709253</v>
      </c>
      <c r="W488" s="304">
        <f t="shared" ca="1" si="207"/>
        <v>7.1834182793428498</v>
      </c>
      <c r="Y488" s="314" t="str">
        <f t="shared" ca="1" si="225"/>
        <v/>
      </c>
      <c r="Z488" s="315" t="str">
        <f t="shared" ca="1" si="226"/>
        <v/>
      </c>
      <c r="AA488" s="316" t="str">
        <f t="shared" ca="1" si="227"/>
        <v/>
      </c>
      <c r="AC488" s="310" t="e">
        <f t="shared" ca="1" si="228"/>
        <v>#N/A</v>
      </c>
      <c r="AD488" s="323" t="e">
        <f t="shared" ca="1" si="229"/>
        <v>#N/A</v>
      </c>
      <c r="AE488" s="324">
        <f t="shared" ca="1" si="208"/>
        <v>-0.95484315379916129</v>
      </c>
      <c r="AG488" s="306">
        <f t="shared" ca="1" si="230"/>
        <v>6.3355540066739389</v>
      </c>
      <c r="AH488" s="304">
        <f t="shared" ca="1" si="231"/>
        <v>-3.4463554397914011</v>
      </c>
    </row>
    <row r="489" spans="1:34" x14ac:dyDescent="0.2">
      <c r="A489" s="347">
        <f t="shared" ca="1" si="209"/>
        <v>1E-4</v>
      </c>
      <c r="B489" s="304">
        <f t="shared" ca="1" si="210"/>
        <v>12.018499999999932</v>
      </c>
      <c r="D489" s="306">
        <f t="shared" ca="1" si="211"/>
        <v>-0.26062269978116787</v>
      </c>
      <c r="E489" s="307">
        <f t="shared" ca="1" si="212"/>
        <v>-6.3734267526987631</v>
      </c>
      <c r="F489" s="304">
        <f t="shared" ca="1" si="213"/>
        <v>6.3787532295627747</v>
      </c>
      <c r="G489" s="306">
        <f t="shared" ca="1" si="214"/>
        <v>3.9123755249306562</v>
      </c>
      <c r="H489" s="307">
        <f t="shared" ca="1" si="215"/>
        <v>-51.589599618647078</v>
      </c>
      <c r="I489" s="304">
        <f t="shared" ca="1" si="216"/>
        <v>51.737737397961148</v>
      </c>
      <c r="J489" s="306">
        <f t="shared" ca="1" si="217"/>
        <v>56.288824373840264</v>
      </c>
      <c r="K489" s="307">
        <f t="shared" ca="1" si="218"/>
        <v>-0.96000208189389225</v>
      </c>
      <c r="L489" s="304">
        <f t="shared" ca="1" si="203"/>
        <v>56.297010163829079</v>
      </c>
      <c r="M489" s="306">
        <f t="shared" ca="1" si="219"/>
        <v>-1.4951046937118502</v>
      </c>
      <c r="N489" s="304">
        <f t="shared" ca="1" si="220"/>
        <v>-85.663188879888651</v>
      </c>
      <c r="P489" s="310">
        <f t="shared" ca="1" si="221"/>
        <v>23</v>
      </c>
      <c r="Q489" s="304">
        <f t="shared" ca="1" si="222"/>
        <v>0</v>
      </c>
      <c r="R489" s="306">
        <f t="shared" ca="1" si="223"/>
        <v>0</v>
      </c>
      <c r="S489" s="307">
        <f t="shared" ca="1" si="224"/>
        <v>2.0843000000000003</v>
      </c>
      <c r="T489" s="304">
        <f t="shared" ca="1" si="204"/>
        <v>20.446983000000003</v>
      </c>
      <c r="U489" s="311">
        <f t="shared" ca="1" si="205"/>
        <v>0</v>
      </c>
      <c r="V489" s="306">
        <f t="shared" ca="1" si="206"/>
        <v>1.2251176059001274</v>
      </c>
      <c r="W489" s="304">
        <f t="shared" ca="1" si="207"/>
        <v>7.1835979155483312</v>
      </c>
      <c r="Y489" s="314" t="str">
        <f t="shared" ca="1" si="225"/>
        <v/>
      </c>
      <c r="Z489" s="315" t="str">
        <f t="shared" ca="1" si="226"/>
        <v/>
      </c>
      <c r="AA489" s="316" t="str">
        <f t="shared" ca="1" si="227"/>
        <v/>
      </c>
      <c r="AC489" s="310" t="e">
        <f t="shared" ca="1" si="228"/>
        <v>#N/A</v>
      </c>
      <c r="AD489" s="323" t="e">
        <f t="shared" ca="1" si="229"/>
        <v>#N/A</v>
      </c>
      <c r="AE489" s="324">
        <f t="shared" ca="1" si="208"/>
        <v>-0.96000208189389225</v>
      </c>
      <c r="AG489" s="306">
        <f t="shared" ca="1" si="230"/>
        <v>6.3354688850234684</v>
      </c>
      <c r="AH489" s="304">
        <f t="shared" ca="1" si="231"/>
        <v>-3.4464416251704884</v>
      </c>
    </row>
    <row r="490" spans="1:34" x14ac:dyDescent="0.2">
      <c r="A490" s="347">
        <f t="shared" ca="1" si="209"/>
        <v>1E-4</v>
      </c>
      <c r="B490" s="304">
        <f t="shared" ca="1" si="210"/>
        <v>12.018599999999932</v>
      </c>
      <c r="D490" s="306">
        <f t="shared" ca="1" si="211"/>
        <v>-0.26062428954528699</v>
      </c>
      <c r="E490" s="307">
        <f t="shared" ca="1" si="212"/>
        <v>-6.3733404403903631</v>
      </c>
      <c r="F490" s="304">
        <f t="shared" ca="1" si="213"/>
        <v>6.3786670542846338</v>
      </c>
      <c r="G490" s="306">
        <f t="shared" ca="1" si="214"/>
        <v>3.9123494625017017</v>
      </c>
      <c r="H490" s="307">
        <f t="shared" ca="1" si="215"/>
        <v>-51.590236952691114</v>
      </c>
      <c r="I490" s="304">
        <f t="shared" ca="1" si="216"/>
        <v>51.738370936390652</v>
      </c>
      <c r="J490" s="306">
        <f t="shared" ca="1" si="217"/>
        <v>56.288824373840264</v>
      </c>
      <c r="K490" s="307">
        <f t="shared" ca="1" si="218"/>
        <v>-0.96516107372245918</v>
      </c>
      <c r="L490" s="304">
        <f t="shared" ca="1" si="203"/>
        <v>56.29709837360415</v>
      </c>
      <c r="M490" s="306">
        <f t="shared" ca="1" si="219"/>
        <v>-1.4951061275144331</v>
      </c>
      <c r="N490" s="304">
        <f t="shared" ca="1" si="220"/>
        <v>-85.663271030725298</v>
      </c>
      <c r="P490" s="310">
        <f t="shared" ca="1" si="221"/>
        <v>23</v>
      </c>
      <c r="Q490" s="304">
        <f t="shared" ca="1" si="222"/>
        <v>0</v>
      </c>
      <c r="R490" s="306">
        <f t="shared" ca="1" si="223"/>
        <v>0</v>
      </c>
      <c r="S490" s="307">
        <f t="shared" ca="1" si="224"/>
        <v>2.0843000000000003</v>
      </c>
      <c r="T490" s="304">
        <f t="shared" ca="1" si="204"/>
        <v>20.446983000000003</v>
      </c>
      <c r="U490" s="311">
        <f t="shared" ca="1" si="205"/>
        <v>0</v>
      </c>
      <c r="V490" s="306">
        <f t="shared" ca="1" si="206"/>
        <v>1.2251182379374641</v>
      </c>
      <c r="W490" s="304">
        <f t="shared" ca="1" si="207"/>
        <v>7.1837775517735754</v>
      </c>
      <c r="Y490" s="314" t="str">
        <f t="shared" ca="1" si="225"/>
        <v/>
      </c>
      <c r="Z490" s="315" t="str">
        <f t="shared" ca="1" si="226"/>
        <v/>
      </c>
      <c r="AA490" s="316" t="str">
        <f t="shared" ca="1" si="227"/>
        <v/>
      </c>
      <c r="AC490" s="310" t="e">
        <f t="shared" ca="1" si="228"/>
        <v>#N/A</v>
      </c>
      <c r="AD490" s="323" t="e">
        <f t="shared" ca="1" si="229"/>
        <v>#N/A</v>
      </c>
      <c r="AE490" s="324">
        <f t="shared" ca="1" si="208"/>
        <v>-0.96516107372245918</v>
      </c>
      <c r="AG490" s="306">
        <f t="shared" ca="1" si="230"/>
        <v>6.3353837633102259</v>
      </c>
      <c r="AH490" s="304">
        <f t="shared" ca="1" si="231"/>
        <v>-3.4465278105590991</v>
      </c>
    </row>
    <row r="491" spans="1:34" x14ac:dyDescent="0.2">
      <c r="A491" s="347">
        <f t="shared" ca="1" si="209"/>
        <v>1E-4</v>
      </c>
      <c r="B491" s="304">
        <f t="shared" ca="1" si="210"/>
        <v>12.018699999999932</v>
      </c>
      <c r="D491" s="306">
        <f t="shared" ca="1" si="211"/>
        <v>-0.26062587921664976</v>
      </c>
      <c r="E491" s="307">
        <f t="shared" ca="1" si="212"/>
        <v>-6.3732541280725243</v>
      </c>
      <c r="F491" s="304">
        <f t="shared" ca="1" si="213"/>
        <v>6.3785808789973748</v>
      </c>
      <c r="G491" s="306">
        <f t="shared" ca="1" si="214"/>
        <v>3.9123233999137801</v>
      </c>
      <c r="H491" s="307">
        <f t="shared" ca="1" si="215"/>
        <v>-51.590874278103925</v>
      </c>
      <c r="I491" s="304">
        <f t="shared" ca="1" si="216"/>
        <v>51.739004466307989</v>
      </c>
      <c r="J491" s="306">
        <f t="shared" ca="1" si="217"/>
        <v>56.288824373840264</v>
      </c>
      <c r="K491" s="307">
        <f t="shared" ca="1" si="218"/>
        <v>-0.97032012928399891</v>
      </c>
      <c r="L491" s="304">
        <f t="shared" ca="1" si="203"/>
        <v>56.297187057101951</v>
      </c>
      <c r="M491" s="306">
        <f t="shared" ca="1" si="219"/>
        <v>-1.4951075612723517</v>
      </c>
      <c r="N491" s="304">
        <f t="shared" ca="1" si="220"/>
        <v>-85.663353179002883</v>
      </c>
      <c r="P491" s="310">
        <f t="shared" ca="1" si="221"/>
        <v>23</v>
      </c>
      <c r="Q491" s="304">
        <f t="shared" ca="1" si="222"/>
        <v>0</v>
      </c>
      <c r="R491" s="306">
        <f t="shared" ca="1" si="223"/>
        <v>0</v>
      </c>
      <c r="S491" s="307">
        <f t="shared" ca="1" si="224"/>
        <v>2.0843000000000003</v>
      </c>
      <c r="T491" s="304">
        <f t="shared" ca="1" si="204"/>
        <v>20.446983000000003</v>
      </c>
      <c r="U491" s="311">
        <f t="shared" ca="1" si="205"/>
        <v>0</v>
      </c>
      <c r="V491" s="306">
        <f t="shared" ca="1" si="206"/>
        <v>1.2251188699829341</v>
      </c>
      <c r="W491" s="304">
        <f t="shared" ca="1" si="207"/>
        <v>7.1839571880184954</v>
      </c>
      <c r="Y491" s="314" t="str">
        <f t="shared" ca="1" si="225"/>
        <v/>
      </c>
      <c r="Z491" s="315" t="str">
        <f t="shared" ca="1" si="226"/>
        <v/>
      </c>
      <c r="AA491" s="316" t="str">
        <f t="shared" ca="1" si="227"/>
        <v/>
      </c>
      <c r="AC491" s="310" t="e">
        <f t="shared" ca="1" si="228"/>
        <v>#N/A</v>
      </c>
      <c r="AD491" s="323" t="e">
        <f t="shared" ca="1" si="229"/>
        <v>#N/A</v>
      </c>
      <c r="AE491" s="324">
        <f t="shared" ca="1" si="208"/>
        <v>-0.97032012928399891</v>
      </c>
      <c r="AG491" s="306">
        <f t="shared" ca="1" si="230"/>
        <v>6.3352986415342532</v>
      </c>
      <c r="AH491" s="304">
        <f t="shared" ca="1" si="231"/>
        <v>-3.4466139959571915</v>
      </c>
    </row>
    <row r="492" spans="1:34" x14ac:dyDescent="0.2">
      <c r="A492" s="347">
        <f t="shared" ca="1" si="209"/>
        <v>1E-4</v>
      </c>
      <c r="B492" s="304">
        <f t="shared" ca="1" si="210"/>
        <v>12.018799999999931</v>
      </c>
      <c r="D492" s="306">
        <f t="shared" ca="1" si="211"/>
        <v>-0.26062746879525606</v>
      </c>
      <c r="E492" s="307">
        <f t="shared" ca="1" si="212"/>
        <v>-6.3731678157452905</v>
      </c>
      <c r="F492" s="304">
        <f t="shared" ca="1" si="213"/>
        <v>6.3784947037010404</v>
      </c>
      <c r="G492" s="306">
        <f t="shared" ca="1" si="214"/>
        <v>3.9122973371669008</v>
      </c>
      <c r="H492" s="307">
        <f t="shared" ca="1" si="215"/>
        <v>-51.591511594885503</v>
      </c>
      <c r="I492" s="304">
        <f t="shared" ca="1" si="216"/>
        <v>51.739637987713138</v>
      </c>
      <c r="J492" s="306">
        <f t="shared" ca="1" si="217"/>
        <v>56.288824373840264</v>
      </c>
      <c r="K492" s="307">
        <f t="shared" ca="1" si="218"/>
        <v>-0.97547924857764834</v>
      </c>
      <c r="L492" s="304">
        <f t="shared" ca="1" si="203"/>
        <v>56.297276214337757</v>
      </c>
      <c r="M492" s="306">
        <f t="shared" ca="1" si="219"/>
        <v>-1.4951089949856082</v>
      </c>
      <c r="N492" s="304">
        <f t="shared" ca="1" si="220"/>
        <v>-85.663435324721519</v>
      </c>
      <c r="P492" s="310">
        <f t="shared" ca="1" si="221"/>
        <v>23</v>
      </c>
      <c r="Q492" s="304">
        <f t="shared" ca="1" si="222"/>
        <v>0</v>
      </c>
      <c r="R492" s="306">
        <f t="shared" ca="1" si="223"/>
        <v>0</v>
      </c>
      <c r="S492" s="307">
        <f t="shared" ca="1" si="224"/>
        <v>2.0843000000000003</v>
      </c>
      <c r="T492" s="304">
        <f t="shared" ca="1" si="204"/>
        <v>20.446983000000003</v>
      </c>
      <c r="U492" s="311">
        <f t="shared" ca="1" si="205"/>
        <v>0</v>
      </c>
      <c r="V492" s="306">
        <f t="shared" ca="1" si="206"/>
        <v>1.2251195020365386</v>
      </c>
      <c r="W492" s="304">
        <f t="shared" ca="1" si="207"/>
        <v>7.1841368242830121</v>
      </c>
      <c r="Y492" s="314" t="str">
        <f t="shared" ca="1" si="225"/>
        <v/>
      </c>
      <c r="Z492" s="315" t="str">
        <f t="shared" ca="1" si="226"/>
        <v/>
      </c>
      <c r="AA492" s="316" t="str">
        <f t="shared" ca="1" si="227"/>
        <v/>
      </c>
      <c r="AC492" s="310" t="e">
        <f t="shared" ca="1" si="228"/>
        <v>#N/A</v>
      </c>
      <c r="AD492" s="323" t="e">
        <f t="shared" ca="1" si="229"/>
        <v>#N/A</v>
      </c>
      <c r="AE492" s="324">
        <f t="shared" ca="1" si="208"/>
        <v>-0.97547924857764834</v>
      </c>
      <c r="AG492" s="306">
        <f t="shared" ca="1" si="230"/>
        <v>6.3352135196956016</v>
      </c>
      <c r="AH492" s="304">
        <f t="shared" ca="1" si="231"/>
        <v>-3.446700181364724</v>
      </c>
    </row>
    <row r="493" spans="1:34" x14ac:dyDescent="0.2">
      <c r="A493" s="347">
        <f t="shared" ca="1" si="209"/>
        <v>1E-4</v>
      </c>
      <c r="B493" s="304">
        <f t="shared" ca="1" si="210"/>
        <v>12.018899999999931</v>
      </c>
      <c r="D493" s="306">
        <f t="shared" ca="1" si="211"/>
        <v>-0.26062905828110683</v>
      </c>
      <c r="E493" s="307">
        <f t="shared" ca="1" si="212"/>
        <v>-6.3730815034086987</v>
      </c>
      <c r="F493" s="304">
        <f t="shared" ca="1" si="213"/>
        <v>6.3784085283956671</v>
      </c>
      <c r="G493" s="306">
        <f t="shared" ca="1" si="214"/>
        <v>3.9122712742610726</v>
      </c>
      <c r="H493" s="307">
        <f t="shared" ca="1" si="215"/>
        <v>-51.592148903035842</v>
      </c>
      <c r="I493" s="304">
        <f t="shared" ca="1" si="216"/>
        <v>51.740271500606092</v>
      </c>
      <c r="J493" s="306">
        <f t="shared" ca="1" si="217"/>
        <v>56.288824373840264</v>
      </c>
      <c r="K493" s="307">
        <f t="shared" ca="1" si="218"/>
        <v>-0.98063843160254438</v>
      </c>
      <c r="L493" s="304">
        <f t="shared" ca="1" si="203"/>
        <v>56.297365845326809</v>
      </c>
      <c r="M493" s="306">
        <f t="shared" ca="1" si="219"/>
        <v>-1.4951104286542047</v>
      </c>
      <c r="N493" s="304">
        <f t="shared" ca="1" si="220"/>
        <v>-85.66351746788132</v>
      </c>
      <c r="P493" s="310">
        <f t="shared" ca="1" si="221"/>
        <v>23</v>
      </c>
      <c r="Q493" s="304">
        <f t="shared" ca="1" si="222"/>
        <v>0</v>
      </c>
      <c r="R493" s="306">
        <f t="shared" ca="1" si="223"/>
        <v>0</v>
      </c>
      <c r="S493" s="307">
        <f t="shared" ca="1" si="224"/>
        <v>2.0843000000000003</v>
      </c>
      <c r="T493" s="304">
        <f t="shared" ca="1" si="204"/>
        <v>20.446983000000003</v>
      </c>
      <c r="U493" s="311">
        <f t="shared" ca="1" si="205"/>
        <v>0</v>
      </c>
      <c r="V493" s="306">
        <f t="shared" ca="1" si="206"/>
        <v>1.2251201340982771</v>
      </c>
      <c r="W493" s="304">
        <f t="shared" ca="1" si="207"/>
        <v>7.1843164605670333</v>
      </c>
      <c r="Y493" s="314" t="str">
        <f t="shared" ca="1" si="225"/>
        <v/>
      </c>
      <c r="Z493" s="315" t="str">
        <f t="shared" ca="1" si="226"/>
        <v/>
      </c>
      <c r="AA493" s="316" t="str">
        <f t="shared" ca="1" si="227"/>
        <v/>
      </c>
      <c r="AC493" s="310" t="e">
        <f t="shared" ca="1" si="228"/>
        <v>#N/A</v>
      </c>
      <c r="AD493" s="323" t="e">
        <f t="shared" ca="1" si="229"/>
        <v>#N/A</v>
      </c>
      <c r="AE493" s="324">
        <f t="shared" ca="1" si="208"/>
        <v>-0.98063843160254438</v>
      </c>
      <c r="AG493" s="306">
        <f t="shared" ca="1" si="230"/>
        <v>6.3351283977943087</v>
      </c>
      <c r="AH493" s="304">
        <f t="shared" ca="1" si="231"/>
        <v>-3.4467863667816587</v>
      </c>
    </row>
    <row r="494" spans="1:34" x14ac:dyDescent="0.2">
      <c r="A494" s="347">
        <f t="shared" ca="1" si="209"/>
        <v>1E-4</v>
      </c>
      <c r="B494" s="304">
        <f t="shared" ca="1" si="210"/>
        <v>12.018999999999931</v>
      </c>
      <c r="D494" s="306">
        <f t="shared" ca="1" si="211"/>
        <v>-0.26063064767420352</v>
      </c>
      <c r="E494" s="307">
        <f t="shared" ca="1" si="212"/>
        <v>-6.3729951910627944</v>
      </c>
      <c r="F494" s="304">
        <f t="shared" ca="1" si="213"/>
        <v>6.3783223530813009</v>
      </c>
      <c r="G494" s="306">
        <f t="shared" ca="1" si="214"/>
        <v>3.9122452111963053</v>
      </c>
      <c r="H494" s="307">
        <f t="shared" ca="1" si="215"/>
        <v>-51.592786202554947</v>
      </c>
      <c r="I494" s="304">
        <f t="shared" ca="1" si="216"/>
        <v>51.740905004986843</v>
      </c>
      <c r="J494" s="306">
        <f t="shared" ca="1" si="217"/>
        <v>56.288824373840264</v>
      </c>
      <c r="K494" s="307">
        <f t="shared" ca="1" si="218"/>
        <v>-0.98579767835782395</v>
      </c>
      <c r="L494" s="304">
        <f t="shared" ca="1" si="203"/>
        <v>56.29745595008437</v>
      </c>
      <c r="M494" s="306">
        <f t="shared" ca="1" si="219"/>
        <v>-1.4951118622781432</v>
      </c>
      <c r="N494" s="304">
        <f t="shared" ca="1" si="220"/>
        <v>-85.6635996084824</v>
      </c>
      <c r="P494" s="310">
        <f t="shared" ca="1" si="221"/>
        <v>23</v>
      </c>
      <c r="Q494" s="304">
        <f t="shared" ca="1" si="222"/>
        <v>0</v>
      </c>
      <c r="R494" s="306">
        <f t="shared" ca="1" si="223"/>
        <v>0</v>
      </c>
      <c r="S494" s="307">
        <f t="shared" ca="1" si="224"/>
        <v>2.0843000000000003</v>
      </c>
      <c r="T494" s="304">
        <f t="shared" ca="1" si="204"/>
        <v>20.446983000000003</v>
      </c>
      <c r="U494" s="311">
        <f t="shared" ca="1" si="205"/>
        <v>0</v>
      </c>
      <c r="V494" s="306">
        <f t="shared" ca="1" si="206"/>
        <v>1.2251207661681491</v>
      </c>
      <c r="W494" s="304">
        <f t="shared" ca="1" si="207"/>
        <v>7.1844960968704683</v>
      </c>
      <c r="Y494" s="314" t="str">
        <f t="shared" ca="1" si="225"/>
        <v/>
      </c>
      <c r="Z494" s="315" t="str">
        <f t="shared" ca="1" si="226"/>
        <v/>
      </c>
      <c r="AA494" s="316" t="str">
        <f t="shared" ca="1" si="227"/>
        <v/>
      </c>
      <c r="AC494" s="310" t="e">
        <f t="shared" ca="1" si="228"/>
        <v>#N/A</v>
      </c>
      <c r="AD494" s="323" t="e">
        <f t="shared" ca="1" si="229"/>
        <v>#N/A</v>
      </c>
      <c r="AE494" s="324">
        <f t="shared" ca="1" si="208"/>
        <v>-0.98579767835782395</v>
      </c>
      <c r="AG494" s="306">
        <f t="shared" ca="1" si="230"/>
        <v>6.3350432758304258</v>
      </c>
      <c r="AH494" s="304">
        <f t="shared" ca="1" si="231"/>
        <v>-3.4468725522079509</v>
      </c>
    </row>
    <row r="495" spans="1:34" x14ac:dyDescent="0.2">
      <c r="A495" s="347">
        <f t="shared" ca="1" si="209"/>
        <v>1E-4</v>
      </c>
      <c r="B495" s="304">
        <f t="shared" ca="1" si="210"/>
        <v>12.019099999999931</v>
      </c>
      <c r="D495" s="306">
        <f t="shared" ca="1" si="211"/>
        <v>-0.26063223697454735</v>
      </c>
      <c r="E495" s="307">
        <f t="shared" ca="1" si="212"/>
        <v>-6.3729088787076202</v>
      </c>
      <c r="F495" s="304">
        <f t="shared" ca="1" si="213"/>
        <v>6.3782361777579837</v>
      </c>
      <c r="G495" s="306">
        <f t="shared" ca="1" si="214"/>
        <v>3.9122191479726078</v>
      </c>
      <c r="H495" s="307">
        <f t="shared" ca="1" si="215"/>
        <v>-51.59342349344282</v>
      </c>
      <c r="I495" s="304">
        <f t="shared" ca="1" si="216"/>
        <v>51.741538500855398</v>
      </c>
      <c r="J495" s="306">
        <f t="shared" ca="1" si="217"/>
        <v>56.288824373840264</v>
      </c>
      <c r="K495" s="307">
        <f t="shared" ca="1" si="218"/>
        <v>-0.99095698884262384</v>
      </c>
      <c r="L495" s="304">
        <f t="shared" ca="1" si="203"/>
        <v>56.297546528625652</v>
      </c>
      <c r="M495" s="306">
        <f t="shared" ca="1" si="219"/>
        <v>-1.495113295857426</v>
      </c>
      <c r="N495" s="304">
        <f t="shared" ca="1" si="220"/>
        <v>-85.663681746524901</v>
      </c>
      <c r="P495" s="310">
        <f t="shared" ca="1" si="221"/>
        <v>23</v>
      </c>
      <c r="Q495" s="304">
        <f t="shared" ca="1" si="222"/>
        <v>0</v>
      </c>
      <c r="R495" s="306">
        <f t="shared" ca="1" si="223"/>
        <v>0</v>
      </c>
      <c r="S495" s="307">
        <f t="shared" ca="1" si="224"/>
        <v>2.0843000000000003</v>
      </c>
      <c r="T495" s="304">
        <f t="shared" ca="1" si="204"/>
        <v>20.446983000000003</v>
      </c>
      <c r="U495" s="311">
        <f t="shared" ca="1" si="205"/>
        <v>0</v>
      </c>
      <c r="V495" s="306">
        <f t="shared" ca="1" si="206"/>
        <v>1.2251213982461555</v>
      </c>
      <c r="W495" s="304">
        <f t="shared" ca="1" si="207"/>
        <v>7.184675733193246</v>
      </c>
      <c r="Y495" s="314" t="str">
        <f t="shared" ca="1" si="225"/>
        <v/>
      </c>
      <c r="Z495" s="315" t="str">
        <f t="shared" ca="1" si="226"/>
        <v/>
      </c>
      <c r="AA495" s="316" t="str">
        <f t="shared" ca="1" si="227"/>
        <v/>
      </c>
      <c r="AC495" s="310" t="e">
        <f t="shared" ca="1" si="228"/>
        <v>#N/A</v>
      </c>
      <c r="AD495" s="323" t="e">
        <f t="shared" ca="1" si="229"/>
        <v>#N/A</v>
      </c>
      <c r="AE495" s="324">
        <f t="shared" ca="1" si="208"/>
        <v>-0.99095698884262384</v>
      </c>
      <c r="AG495" s="306">
        <f t="shared" ca="1" si="230"/>
        <v>6.3349581538039956</v>
      </c>
      <c r="AH495" s="304">
        <f t="shared" ca="1" si="231"/>
        <v>-3.4469587376435578</v>
      </c>
    </row>
    <row r="496" spans="1:34" x14ac:dyDescent="0.2">
      <c r="A496" s="347">
        <f t="shared" ca="1" si="209"/>
        <v>1E-4</v>
      </c>
      <c r="B496" s="304">
        <f t="shared" ca="1" si="210"/>
        <v>12.01919999999993</v>
      </c>
      <c r="D496" s="306">
        <f t="shared" ca="1" si="211"/>
        <v>-0.26063382618213887</v>
      </c>
      <c r="E496" s="307">
        <f t="shared" ca="1" si="212"/>
        <v>-6.3728225663432099</v>
      </c>
      <c r="F496" s="304">
        <f t="shared" ca="1" si="213"/>
        <v>6.37815000242575</v>
      </c>
      <c r="G496" s="306">
        <f t="shared" ca="1" si="214"/>
        <v>3.9121930845899895</v>
      </c>
      <c r="H496" s="307">
        <f t="shared" ca="1" si="215"/>
        <v>-51.594060775699454</v>
      </c>
      <c r="I496" s="304">
        <f t="shared" ca="1" si="216"/>
        <v>51.74217198821173</v>
      </c>
      <c r="J496" s="306">
        <f t="shared" ca="1" si="217"/>
        <v>56.288824373840264</v>
      </c>
      <c r="K496" s="307">
        <f t="shared" ca="1" si="218"/>
        <v>-0.99611636305608098</v>
      </c>
      <c r="L496" s="304">
        <f t="shared" ca="1" si="203"/>
        <v>56.297637580965883</v>
      </c>
      <c r="M496" s="306">
        <f t="shared" ca="1" si="219"/>
        <v>-1.4951147293920555</v>
      </c>
      <c r="N496" s="304">
        <f t="shared" ca="1" si="220"/>
        <v>-85.663763882008951</v>
      </c>
      <c r="P496" s="310">
        <f t="shared" ca="1" si="221"/>
        <v>23</v>
      </c>
      <c r="Q496" s="304">
        <f t="shared" ca="1" si="222"/>
        <v>0</v>
      </c>
      <c r="R496" s="306">
        <f t="shared" ca="1" si="223"/>
        <v>0</v>
      </c>
      <c r="S496" s="307">
        <f t="shared" ca="1" si="224"/>
        <v>2.0843000000000003</v>
      </c>
      <c r="T496" s="304">
        <f t="shared" ca="1" si="204"/>
        <v>20.446983000000003</v>
      </c>
      <c r="U496" s="311">
        <f t="shared" ca="1" si="205"/>
        <v>0</v>
      </c>
      <c r="V496" s="306">
        <f t="shared" ca="1" si="206"/>
        <v>1.2251220303322952</v>
      </c>
      <c r="W496" s="304">
        <f t="shared" ca="1" si="207"/>
        <v>7.1848553695352662</v>
      </c>
      <c r="Y496" s="314" t="str">
        <f t="shared" ca="1" si="225"/>
        <v/>
      </c>
      <c r="Z496" s="315" t="str">
        <f t="shared" ca="1" si="226"/>
        <v/>
      </c>
      <c r="AA496" s="316" t="str">
        <f t="shared" ca="1" si="227"/>
        <v/>
      </c>
      <c r="AC496" s="310" t="e">
        <f t="shared" ca="1" si="228"/>
        <v>#N/A</v>
      </c>
      <c r="AD496" s="323" t="e">
        <f t="shared" ca="1" si="229"/>
        <v>#N/A</v>
      </c>
      <c r="AE496" s="324">
        <f t="shared" ca="1" si="208"/>
        <v>-0.99611636305608098</v>
      </c>
      <c r="AG496" s="306">
        <f t="shared" ca="1" si="230"/>
        <v>6.334873031715059</v>
      </c>
      <c r="AH496" s="304">
        <f t="shared" ca="1" si="231"/>
        <v>-3.4470449230884448</v>
      </c>
    </row>
    <row r="497" spans="1:34" x14ac:dyDescent="0.2">
      <c r="A497" s="347">
        <f t="shared" ca="1" si="209"/>
        <v>1E-4</v>
      </c>
      <c r="B497" s="304">
        <f t="shared" ca="1" si="210"/>
        <v>12.01929999999993</v>
      </c>
      <c r="D497" s="306">
        <f t="shared" ca="1" si="211"/>
        <v>-0.26063541529697831</v>
      </c>
      <c r="E497" s="307">
        <f t="shared" ca="1" si="212"/>
        <v>-6.3727362539696131</v>
      </c>
      <c r="F497" s="304">
        <f t="shared" ca="1" si="213"/>
        <v>6.3780638270846497</v>
      </c>
      <c r="G497" s="306">
        <f t="shared" ca="1" si="214"/>
        <v>3.9121670210484596</v>
      </c>
      <c r="H497" s="307">
        <f t="shared" ca="1" si="215"/>
        <v>-51.594698049324847</v>
      </c>
      <c r="I497" s="304">
        <f t="shared" ca="1" si="216"/>
        <v>51.742805467055845</v>
      </c>
      <c r="J497" s="306">
        <f t="shared" ca="1" si="217"/>
        <v>56.288824373840264</v>
      </c>
      <c r="K497" s="307">
        <f t="shared" ca="1" si="218"/>
        <v>-1.0012758009973322</v>
      </c>
      <c r="L497" s="304">
        <f t="shared" ca="1" si="203"/>
        <v>56.297729107120269</v>
      </c>
      <c r="M497" s="306">
        <f t="shared" ca="1" si="219"/>
        <v>-1.4951161628820335</v>
      </c>
      <c r="N497" s="304">
        <f t="shared" ca="1" si="220"/>
        <v>-85.663846014934677</v>
      </c>
      <c r="P497" s="310">
        <f t="shared" ca="1" si="221"/>
        <v>23</v>
      </c>
      <c r="Q497" s="304">
        <f t="shared" ca="1" si="222"/>
        <v>0</v>
      </c>
      <c r="R497" s="306">
        <f t="shared" ca="1" si="223"/>
        <v>0</v>
      </c>
      <c r="S497" s="307">
        <f t="shared" ca="1" si="224"/>
        <v>2.0843000000000003</v>
      </c>
      <c r="T497" s="304">
        <f t="shared" ca="1" si="204"/>
        <v>20.446983000000003</v>
      </c>
      <c r="U497" s="311">
        <f t="shared" ca="1" si="205"/>
        <v>0</v>
      </c>
      <c r="V497" s="306">
        <f t="shared" ca="1" si="206"/>
        <v>1.2251226624265683</v>
      </c>
      <c r="W497" s="304">
        <f t="shared" ca="1" si="207"/>
        <v>7.1850350058964469</v>
      </c>
      <c r="Y497" s="314" t="str">
        <f t="shared" ca="1" si="225"/>
        <v/>
      </c>
      <c r="Z497" s="315" t="str">
        <f t="shared" ca="1" si="226"/>
        <v/>
      </c>
      <c r="AA497" s="316" t="str">
        <f t="shared" ca="1" si="227"/>
        <v/>
      </c>
      <c r="AC497" s="310" t="e">
        <f t="shared" ca="1" si="228"/>
        <v>#N/A</v>
      </c>
      <c r="AD497" s="323" t="e">
        <f t="shared" ca="1" si="229"/>
        <v>#N/A</v>
      </c>
      <c r="AE497" s="324">
        <f t="shared" ca="1" si="208"/>
        <v>-1.0012758009973322</v>
      </c>
      <c r="AG497" s="306">
        <f t="shared" ca="1" si="230"/>
        <v>6.3347879095636621</v>
      </c>
      <c r="AH497" s="304">
        <f t="shared" ca="1" si="231"/>
        <v>-3.4471311085425635</v>
      </c>
    </row>
    <row r="498" spans="1:34" x14ac:dyDescent="0.2">
      <c r="A498" s="347">
        <f t="shared" ca="1" si="209"/>
        <v>1E-4</v>
      </c>
      <c r="B498" s="304">
        <f t="shared" ca="1" si="210"/>
        <v>12.01939999999993</v>
      </c>
      <c r="D498" s="306">
        <f t="shared" ca="1" si="211"/>
        <v>-0.26063700431906728</v>
      </c>
      <c r="E498" s="307">
        <f t="shared" ca="1" si="212"/>
        <v>-6.3726499415868672</v>
      </c>
      <c r="F498" s="304">
        <f t="shared" ca="1" si="213"/>
        <v>6.3779776517347191</v>
      </c>
      <c r="G498" s="306">
        <f t="shared" ca="1" si="214"/>
        <v>3.9121409573480275</v>
      </c>
      <c r="H498" s="307">
        <f t="shared" ca="1" si="215"/>
        <v>-51.595335314319009</v>
      </c>
      <c r="I498" s="304">
        <f t="shared" ca="1" si="216"/>
        <v>51.743438937387744</v>
      </c>
      <c r="J498" s="306">
        <f t="shared" ca="1" si="217"/>
        <v>56.288824373840264</v>
      </c>
      <c r="K498" s="307">
        <f t="shared" ca="1" si="218"/>
        <v>-1.0064353026655144</v>
      </c>
      <c r="L498" s="304">
        <f t="shared" ca="1" si="203"/>
        <v>56.297821107104006</v>
      </c>
      <c r="M498" s="306">
        <f t="shared" ca="1" si="219"/>
        <v>-1.4951175963273624</v>
      </c>
      <c r="N498" s="304">
        <f t="shared" ca="1" si="220"/>
        <v>-85.663928145302179</v>
      </c>
      <c r="P498" s="310">
        <f t="shared" ca="1" si="221"/>
        <v>23</v>
      </c>
      <c r="Q498" s="304">
        <f t="shared" ca="1" si="222"/>
        <v>0</v>
      </c>
      <c r="R498" s="306">
        <f t="shared" ca="1" si="223"/>
        <v>0</v>
      </c>
      <c r="S498" s="307">
        <f t="shared" ca="1" si="224"/>
        <v>2.0843000000000003</v>
      </c>
      <c r="T498" s="304">
        <f t="shared" ca="1" si="204"/>
        <v>20.446983000000003</v>
      </c>
      <c r="U498" s="311">
        <f t="shared" ca="1" si="205"/>
        <v>0</v>
      </c>
      <c r="V498" s="306">
        <f t="shared" ca="1" si="206"/>
        <v>1.2251232945289747</v>
      </c>
      <c r="W498" s="304">
        <f t="shared" ca="1" si="207"/>
        <v>7.1852146422767067</v>
      </c>
      <c r="Y498" s="314" t="str">
        <f t="shared" ca="1" si="225"/>
        <v/>
      </c>
      <c r="Z498" s="315" t="str">
        <f t="shared" ca="1" si="226"/>
        <v/>
      </c>
      <c r="AA498" s="316" t="str">
        <f t="shared" ca="1" si="227"/>
        <v/>
      </c>
      <c r="AC498" s="310" t="e">
        <f t="shared" ca="1" si="228"/>
        <v>#N/A</v>
      </c>
      <c r="AD498" s="323" t="e">
        <f t="shared" ca="1" si="229"/>
        <v>#N/A</v>
      </c>
      <c r="AE498" s="324">
        <f t="shared" ca="1" si="208"/>
        <v>-1.0064353026655144</v>
      </c>
      <c r="AG498" s="306">
        <f t="shared" ca="1" si="230"/>
        <v>6.3347027873498565</v>
      </c>
      <c r="AH498" s="304">
        <f t="shared" ca="1" si="231"/>
        <v>-3.4472172940058754</v>
      </c>
    </row>
    <row r="499" spans="1:34" x14ac:dyDescent="0.2">
      <c r="A499" s="347">
        <f t="shared" ca="1" si="209"/>
        <v>1E-4</v>
      </c>
      <c r="B499" s="304">
        <f t="shared" ca="1" si="210"/>
        <v>12.01949999999993</v>
      </c>
      <c r="D499" s="306">
        <f t="shared" ca="1" si="211"/>
        <v>-0.26063859324840671</v>
      </c>
      <c r="E499" s="307">
        <f t="shared" ca="1" si="212"/>
        <v>-6.3725636291950121</v>
      </c>
      <c r="F499" s="304">
        <f t="shared" ca="1" si="213"/>
        <v>6.3778914763759982</v>
      </c>
      <c r="G499" s="306">
        <f t="shared" ca="1" si="214"/>
        <v>3.9121148934887024</v>
      </c>
      <c r="H499" s="307">
        <f t="shared" ca="1" si="215"/>
        <v>-51.59597257068193</v>
      </c>
      <c r="I499" s="304">
        <f t="shared" ca="1" si="216"/>
        <v>51.744072399207411</v>
      </c>
      <c r="J499" s="306">
        <f t="shared" ca="1" si="217"/>
        <v>56.288824373840264</v>
      </c>
      <c r="K499" s="307">
        <f t="shared" ca="1" si="218"/>
        <v>-1.0115948680597644</v>
      </c>
      <c r="L499" s="304">
        <f t="shared" ca="1" si="203"/>
        <v>56.297913580932274</v>
      </c>
      <c r="M499" s="306">
        <f t="shared" ca="1" si="219"/>
        <v>-1.4951190297280441</v>
      </c>
      <c r="N499" s="304">
        <f t="shared" ca="1" si="220"/>
        <v>-85.664010273111586</v>
      </c>
      <c r="P499" s="310">
        <f t="shared" ca="1" si="221"/>
        <v>23</v>
      </c>
      <c r="Q499" s="304">
        <f t="shared" ca="1" si="222"/>
        <v>0</v>
      </c>
      <c r="R499" s="306">
        <f t="shared" ca="1" si="223"/>
        <v>0</v>
      </c>
      <c r="S499" s="307">
        <f t="shared" ca="1" si="224"/>
        <v>2.0843000000000003</v>
      </c>
      <c r="T499" s="304">
        <f t="shared" ca="1" si="204"/>
        <v>20.446983000000003</v>
      </c>
      <c r="U499" s="311">
        <f t="shared" ca="1" si="205"/>
        <v>0</v>
      </c>
      <c r="V499" s="306">
        <f t="shared" ca="1" si="206"/>
        <v>1.2251239266395151</v>
      </c>
      <c r="W499" s="304">
        <f t="shared" ca="1" si="207"/>
        <v>7.1853942786759575</v>
      </c>
      <c r="Y499" s="314" t="str">
        <f t="shared" ca="1" si="225"/>
        <v/>
      </c>
      <c r="Z499" s="315" t="str">
        <f t="shared" ca="1" si="226"/>
        <v/>
      </c>
      <c r="AA499" s="316" t="str">
        <f t="shared" ca="1" si="227"/>
        <v/>
      </c>
      <c r="AC499" s="310" t="e">
        <f t="shared" ca="1" si="228"/>
        <v>#N/A</v>
      </c>
      <c r="AD499" s="323" t="e">
        <f t="shared" ca="1" si="229"/>
        <v>#N/A</v>
      </c>
      <c r="AE499" s="324">
        <f t="shared" ca="1" si="208"/>
        <v>-1.0115948680597644</v>
      </c>
      <c r="AG499" s="306">
        <f t="shared" ca="1" si="230"/>
        <v>6.3346176650736794</v>
      </c>
      <c r="AH499" s="304">
        <f t="shared" ca="1" si="231"/>
        <v>-3.4473034794783408</v>
      </c>
    </row>
    <row r="500" spans="1:34" x14ac:dyDescent="0.2">
      <c r="A500" s="347">
        <f t="shared" ca="1" si="209"/>
        <v>1E-4</v>
      </c>
      <c r="B500" s="304">
        <f t="shared" ca="1" si="210"/>
        <v>12.019599999999929</v>
      </c>
      <c r="D500" s="306">
        <f t="shared" ca="1" si="211"/>
        <v>-0.26064018208499806</v>
      </c>
      <c r="E500" s="307">
        <f t="shared" ca="1" si="212"/>
        <v>-6.3724773167940914</v>
      </c>
      <c r="F500" s="304">
        <f t="shared" ca="1" si="213"/>
        <v>6.3778053010085314</v>
      </c>
      <c r="G500" s="306">
        <f t="shared" ca="1" si="214"/>
        <v>3.9120888294704939</v>
      </c>
      <c r="H500" s="307">
        <f t="shared" ca="1" si="215"/>
        <v>-51.596609818413611</v>
      </c>
      <c r="I500" s="304">
        <f t="shared" ca="1" si="216"/>
        <v>51.744705852514848</v>
      </c>
      <c r="J500" s="306">
        <f t="shared" ca="1" si="217"/>
        <v>56.288824373840264</v>
      </c>
      <c r="K500" s="307">
        <f t="shared" ca="1" si="218"/>
        <v>-1.0167544971792191</v>
      </c>
      <c r="L500" s="304">
        <f t="shared" ca="1" si="203"/>
        <v>56.298006528620249</v>
      </c>
      <c r="M500" s="306">
        <f t="shared" ca="1" si="219"/>
        <v>-1.4951204630840813</v>
      </c>
      <c r="N500" s="304">
        <f t="shared" ca="1" si="220"/>
        <v>-85.664092398363067</v>
      </c>
      <c r="P500" s="310">
        <f t="shared" ca="1" si="221"/>
        <v>23</v>
      </c>
      <c r="Q500" s="304">
        <f t="shared" ca="1" si="222"/>
        <v>0</v>
      </c>
      <c r="R500" s="306">
        <f t="shared" ca="1" si="223"/>
        <v>0</v>
      </c>
      <c r="S500" s="307">
        <f t="shared" ca="1" si="224"/>
        <v>2.0843000000000003</v>
      </c>
      <c r="T500" s="304">
        <f t="shared" ca="1" si="204"/>
        <v>20.446983000000003</v>
      </c>
      <c r="U500" s="311">
        <f t="shared" ca="1" si="205"/>
        <v>0</v>
      </c>
      <c r="V500" s="306">
        <f t="shared" ca="1" si="206"/>
        <v>1.2251245587581885</v>
      </c>
      <c r="W500" s="304">
        <f t="shared" ca="1" si="207"/>
        <v>7.1855739150941131</v>
      </c>
      <c r="Y500" s="314" t="str">
        <f t="shared" ca="1" si="225"/>
        <v/>
      </c>
      <c r="Z500" s="315" t="str">
        <f t="shared" ca="1" si="226"/>
        <v/>
      </c>
      <c r="AA500" s="316" t="str">
        <f t="shared" ca="1" si="227"/>
        <v/>
      </c>
      <c r="AC500" s="310" t="e">
        <f t="shared" ca="1" si="228"/>
        <v>#N/A</v>
      </c>
      <c r="AD500" s="323" t="e">
        <f t="shared" ca="1" si="229"/>
        <v>#N/A</v>
      </c>
      <c r="AE500" s="324">
        <f t="shared" ca="1" si="208"/>
        <v>-1.0167544971792191</v>
      </c>
      <c r="AG500" s="306">
        <f t="shared" ca="1" si="230"/>
        <v>6.3345325427351771</v>
      </c>
      <c r="AH500" s="304">
        <f t="shared" ca="1" si="231"/>
        <v>-3.4473896649599176</v>
      </c>
    </row>
    <row r="501" spans="1:34" x14ac:dyDescent="0.2">
      <c r="A501" s="347">
        <f t="shared" ca="1" si="209"/>
        <v>1E-4</v>
      </c>
      <c r="B501" s="304">
        <f t="shared" ca="1" si="210"/>
        <v>12.019699999999929</v>
      </c>
      <c r="D501" s="306">
        <f t="shared" ca="1" si="211"/>
        <v>-0.26064177082884049</v>
      </c>
      <c r="E501" s="307">
        <f t="shared" ca="1" si="212"/>
        <v>-6.372391004384145</v>
      </c>
      <c r="F501" s="304">
        <f t="shared" ca="1" si="213"/>
        <v>6.3777191256323578</v>
      </c>
      <c r="G501" s="306">
        <f t="shared" ca="1" si="214"/>
        <v>3.912062765293411</v>
      </c>
      <c r="H501" s="307">
        <f t="shared" ca="1" si="215"/>
        <v>-51.597247057514053</v>
      </c>
      <c r="I501" s="304">
        <f t="shared" ca="1" si="216"/>
        <v>51.745339297310025</v>
      </c>
      <c r="J501" s="306">
        <f t="shared" ca="1" si="217"/>
        <v>56.288824373840264</v>
      </c>
      <c r="K501" s="307">
        <f t="shared" ca="1" si="218"/>
        <v>-1.0219141900230155</v>
      </c>
      <c r="L501" s="304">
        <f t="shared" ca="1" si="203"/>
        <v>56.298099950183079</v>
      </c>
      <c r="M501" s="306">
        <f t="shared" ca="1" si="219"/>
        <v>-1.4951218963954755</v>
      </c>
      <c r="N501" s="304">
        <f t="shared" ca="1" si="220"/>
        <v>-85.66417452105668</v>
      </c>
      <c r="P501" s="310">
        <f t="shared" ca="1" si="221"/>
        <v>23</v>
      </c>
      <c r="Q501" s="304">
        <f t="shared" ca="1" si="222"/>
        <v>0</v>
      </c>
      <c r="R501" s="306">
        <f t="shared" ca="1" si="223"/>
        <v>0</v>
      </c>
      <c r="S501" s="307">
        <f t="shared" ca="1" si="224"/>
        <v>2.0843000000000003</v>
      </c>
      <c r="T501" s="304">
        <f t="shared" ca="1" si="204"/>
        <v>20.446983000000003</v>
      </c>
      <c r="U501" s="311">
        <f t="shared" ca="1" si="205"/>
        <v>0</v>
      </c>
      <c r="V501" s="306">
        <f t="shared" ca="1" si="206"/>
        <v>1.2251251908849949</v>
      </c>
      <c r="W501" s="304">
        <f t="shared" ca="1" si="207"/>
        <v>7.1857535515310822</v>
      </c>
      <c r="Y501" s="314" t="str">
        <f t="shared" ca="1" si="225"/>
        <v/>
      </c>
      <c r="Z501" s="315" t="str">
        <f t="shared" ca="1" si="226"/>
        <v/>
      </c>
      <c r="AA501" s="316" t="str">
        <f t="shared" ca="1" si="227"/>
        <v/>
      </c>
      <c r="AC501" s="310" t="e">
        <f t="shared" ca="1" si="228"/>
        <v>#N/A</v>
      </c>
      <c r="AD501" s="323" t="e">
        <f t="shared" ca="1" si="229"/>
        <v>#N/A</v>
      </c>
      <c r="AE501" s="324">
        <f t="shared" ca="1" si="208"/>
        <v>-1.0219141900230155</v>
      </c>
      <c r="AG501" s="306">
        <f t="shared" ca="1" si="230"/>
        <v>6.334447420334393</v>
      </c>
      <c r="AH501" s="304">
        <f t="shared" ca="1" si="231"/>
        <v>-3.4474758504505649</v>
      </c>
    </row>
    <row r="502" spans="1:34" x14ac:dyDescent="0.2">
      <c r="A502" s="347">
        <f t="shared" ca="1" si="209"/>
        <v>1E-4</v>
      </c>
      <c r="B502" s="304">
        <f t="shared" ca="1" si="210"/>
        <v>12.019799999999929</v>
      </c>
      <c r="D502" s="306">
        <f t="shared" ca="1" si="211"/>
        <v>-0.26064335947993689</v>
      </c>
      <c r="E502" s="307">
        <f t="shared" ca="1" si="212"/>
        <v>-6.3723046919652173</v>
      </c>
      <c r="F502" s="304">
        <f t="shared" ca="1" si="213"/>
        <v>6.3776329502475217</v>
      </c>
      <c r="G502" s="306">
        <f t="shared" ca="1" si="214"/>
        <v>3.9120367009574628</v>
      </c>
      <c r="H502" s="307">
        <f t="shared" ca="1" si="215"/>
        <v>-51.597884287983248</v>
      </c>
      <c r="I502" s="304">
        <f t="shared" ca="1" si="216"/>
        <v>51.745972733592964</v>
      </c>
      <c r="J502" s="306">
        <f t="shared" ca="1" si="217"/>
        <v>56.288824373840264</v>
      </c>
      <c r="K502" s="307">
        <f t="shared" ca="1" si="218"/>
        <v>-1.0270739465902905</v>
      </c>
      <c r="L502" s="304">
        <f t="shared" ca="1" si="203"/>
        <v>56.298193845635922</v>
      </c>
      <c r="M502" s="306">
        <f t="shared" ca="1" si="219"/>
        <v>-1.4951233296622295</v>
      </c>
      <c r="N502" s="304">
        <f t="shared" ca="1" si="220"/>
        <v>-85.664256641192594</v>
      </c>
      <c r="P502" s="310">
        <f t="shared" ca="1" si="221"/>
        <v>23</v>
      </c>
      <c r="Q502" s="304">
        <f t="shared" ca="1" si="222"/>
        <v>0</v>
      </c>
      <c r="R502" s="306">
        <f t="shared" ca="1" si="223"/>
        <v>0</v>
      </c>
      <c r="S502" s="307">
        <f t="shared" ca="1" si="224"/>
        <v>2.0843000000000003</v>
      </c>
      <c r="T502" s="304">
        <f t="shared" ca="1" si="204"/>
        <v>20.446983000000003</v>
      </c>
      <c r="U502" s="311">
        <f t="shared" ca="1" si="205"/>
        <v>0</v>
      </c>
      <c r="V502" s="306">
        <f t="shared" ca="1" si="206"/>
        <v>1.2251258230199344</v>
      </c>
      <c r="W502" s="304">
        <f t="shared" ca="1" si="207"/>
        <v>7.1859331879867847</v>
      </c>
      <c r="Y502" s="314" t="str">
        <f t="shared" ca="1" si="225"/>
        <v/>
      </c>
      <c r="Z502" s="315" t="str">
        <f t="shared" ca="1" si="226"/>
        <v/>
      </c>
      <c r="AA502" s="316" t="str">
        <f t="shared" ca="1" si="227"/>
        <v/>
      </c>
      <c r="AC502" s="310" t="e">
        <f t="shared" ca="1" si="228"/>
        <v>#N/A</v>
      </c>
      <c r="AD502" s="323" t="e">
        <f t="shared" ca="1" si="229"/>
        <v>#N/A</v>
      </c>
      <c r="AE502" s="324">
        <f t="shared" ca="1" si="208"/>
        <v>-1.0270739465902905</v>
      </c>
      <c r="AG502" s="306">
        <f t="shared" ca="1" si="230"/>
        <v>6.3343622978713778</v>
      </c>
      <c r="AH502" s="304">
        <f t="shared" ca="1" si="231"/>
        <v>-3.4475620359502379</v>
      </c>
    </row>
    <row r="503" spans="1:34" x14ac:dyDescent="0.2">
      <c r="A503" s="347">
        <f t="shared" ca="1" si="209"/>
        <v>1E-4</v>
      </c>
      <c r="B503" s="304">
        <f t="shared" ca="1" si="210"/>
        <v>12.019899999999929</v>
      </c>
      <c r="D503" s="306">
        <f t="shared" ca="1" si="211"/>
        <v>-0.26064494803828664</v>
      </c>
      <c r="E503" s="307">
        <f t="shared" ca="1" si="212"/>
        <v>-6.3722183795373466</v>
      </c>
      <c r="F503" s="304">
        <f t="shared" ca="1" si="213"/>
        <v>6.3775467748540624</v>
      </c>
      <c r="G503" s="306">
        <f t="shared" ca="1" si="214"/>
        <v>3.912010636462659</v>
      </c>
      <c r="H503" s="307">
        <f t="shared" ca="1" si="215"/>
        <v>-51.598521509821204</v>
      </c>
      <c r="I503" s="304">
        <f t="shared" ca="1" si="216"/>
        <v>51.746606161363644</v>
      </c>
      <c r="J503" s="306">
        <f t="shared" ca="1" si="217"/>
        <v>56.288824373840264</v>
      </c>
      <c r="K503" s="307">
        <f t="shared" ca="1" si="218"/>
        <v>-1.0322337668801806</v>
      </c>
      <c r="L503" s="304">
        <f t="shared" ca="1" si="203"/>
        <v>56.298288214993903</v>
      </c>
      <c r="M503" s="306">
        <f t="shared" ca="1" si="219"/>
        <v>-1.4951247628843449</v>
      </c>
      <c r="N503" s="304">
        <f t="shared" ca="1" si="220"/>
        <v>-85.66433875877091</v>
      </c>
      <c r="P503" s="310">
        <f t="shared" ca="1" si="221"/>
        <v>23</v>
      </c>
      <c r="Q503" s="304">
        <f t="shared" ca="1" si="222"/>
        <v>0</v>
      </c>
      <c r="R503" s="306">
        <f t="shared" ca="1" si="223"/>
        <v>0</v>
      </c>
      <c r="S503" s="307">
        <f t="shared" ca="1" si="224"/>
        <v>2.0843000000000003</v>
      </c>
      <c r="T503" s="304">
        <f t="shared" ca="1" si="204"/>
        <v>20.446983000000003</v>
      </c>
      <c r="U503" s="311">
        <f t="shared" ca="1" si="205"/>
        <v>0</v>
      </c>
      <c r="V503" s="306">
        <f t="shared" ca="1" si="206"/>
        <v>1.2251264551630074</v>
      </c>
      <c r="W503" s="304">
        <f t="shared" ca="1" si="207"/>
        <v>7.1861128244611372</v>
      </c>
      <c r="Y503" s="314" t="str">
        <f t="shared" ca="1" si="225"/>
        <v/>
      </c>
      <c r="Z503" s="315" t="str">
        <f t="shared" ca="1" si="226"/>
        <v/>
      </c>
      <c r="AA503" s="316" t="str">
        <f t="shared" ca="1" si="227"/>
        <v/>
      </c>
      <c r="AC503" s="310" t="e">
        <f t="shared" ca="1" si="228"/>
        <v>#N/A</v>
      </c>
      <c r="AD503" s="323" t="e">
        <f t="shared" ca="1" si="229"/>
        <v>#N/A</v>
      </c>
      <c r="AE503" s="324">
        <f t="shared" ca="1" si="208"/>
        <v>-1.0322337668801806</v>
      </c>
      <c r="AG503" s="306">
        <f t="shared" ca="1" si="230"/>
        <v>6.3342771753461689</v>
      </c>
      <c r="AH503" s="304">
        <f t="shared" ca="1" si="231"/>
        <v>-3.4476482214588993</v>
      </c>
    </row>
    <row r="504" spans="1:34" x14ac:dyDescent="0.2">
      <c r="A504" s="347">
        <f t="shared" ca="1" si="209"/>
        <v>1E-4</v>
      </c>
      <c r="B504" s="304">
        <f t="shared" ca="1" si="210"/>
        <v>12.019999999999929</v>
      </c>
      <c r="D504" s="306">
        <f t="shared" ca="1" si="211"/>
        <v>-0.26064653650389208</v>
      </c>
      <c r="E504" s="307">
        <f t="shared" ca="1" si="212"/>
        <v>-6.3721320671005728</v>
      </c>
      <c r="F504" s="304">
        <f t="shared" ca="1" si="213"/>
        <v>6.3774605994520179</v>
      </c>
      <c r="G504" s="306">
        <f t="shared" ca="1" si="214"/>
        <v>3.9119845718090085</v>
      </c>
      <c r="H504" s="307">
        <f t="shared" ca="1" si="215"/>
        <v>-51.599158723027912</v>
      </c>
      <c r="I504" s="304">
        <f t="shared" ca="1" si="216"/>
        <v>51.747239580622072</v>
      </c>
      <c r="J504" s="306">
        <f t="shared" ca="1" si="217"/>
        <v>56.288824373840264</v>
      </c>
      <c r="K504" s="307">
        <f t="shared" ca="1" si="218"/>
        <v>-1.0373936508918231</v>
      </c>
      <c r="L504" s="304">
        <f t="shared" ca="1" si="203"/>
        <v>56.298383058272151</v>
      </c>
      <c r="M504" s="306">
        <f t="shared" ca="1" si="219"/>
        <v>-1.4951261960618245</v>
      </c>
      <c r="N504" s="304">
        <f t="shared" ca="1" si="220"/>
        <v>-85.664420873791784</v>
      </c>
      <c r="P504" s="310">
        <f t="shared" ca="1" si="221"/>
        <v>23</v>
      </c>
      <c r="Q504" s="304">
        <f t="shared" ca="1" si="222"/>
        <v>0</v>
      </c>
      <c r="R504" s="306">
        <f t="shared" ca="1" si="223"/>
        <v>0</v>
      </c>
      <c r="S504" s="307">
        <f t="shared" ca="1" si="224"/>
        <v>2.0843000000000003</v>
      </c>
      <c r="T504" s="304">
        <f t="shared" ca="1" si="204"/>
        <v>20.446983000000003</v>
      </c>
      <c r="U504" s="311">
        <f t="shared" ca="1" si="205"/>
        <v>0</v>
      </c>
      <c r="V504" s="306">
        <f t="shared" ca="1" si="206"/>
        <v>1.2251270873142128</v>
      </c>
      <c r="W504" s="304">
        <f t="shared" ca="1" si="207"/>
        <v>7.1862924609540491</v>
      </c>
      <c r="Y504" s="314" t="str">
        <f t="shared" ca="1" si="225"/>
        <v/>
      </c>
      <c r="Z504" s="315" t="str">
        <f t="shared" ca="1" si="226"/>
        <v/>
      </c>
      <c r="AA504" s="316" t="str">
        <f t="shared" ca="1" si="227"/>
        <v/>
      </c>
      <c r="AC504" s="310" t="e">
        <f t="shared" ca="1" si="228"/>
        <v>#N/A</v>
      </c>
      <c r="AD504" s="323" t="e">
        <f t="shared" ca="1" si="229"/>
        <v>#N/A</v>
      </c>
      <c r="AE504" s="324">
        <f t="shared" ca="1" si="208"/>
        <v>-1.0373936508918231</v>
      </c>
      <c r="AG504" s="306">
        <f t="shared" ca="1" si="230"/>
        <v>6.3341920527588158</v>
      </c>
      <c r="AH504" s="304">
        <f t="shared" ca="1" si="231"/>
        <v>-3.4477344069765081</v>
      </c>
    </row>
    <row r="505" spans="1:34" x14ac:dyDescent="0.2">
      <c r="A505" s="347">
        <f t="shared" ca="1" si="209"/>
        <v>1E-4</v>
      </c>
      <c r="B505" s="304">
        <f t="shared" ca="1" si="210"/>
        <v>12.020099999999928</v>
      </c>
      <c r="D505" s="306">
        <f t="shared" ca="1" si="211"/>
        <v>-0.26064812487675232</v>
      </c>
      <c r="E505" s="307">
        <f t="shared" ca="1" si="212"/>
        <v>-6.3720457546549403</v>
      </c>
      <c r="F505" s="304">
        <f t="shared" ca="1" si="213"/>
        <v>6.3773744240414345</v>
      </c>
      <c r="G505" s="306">
        <f t="shared" ca="1" si="214"/>
        <v>3.911958506996521</v>
      </c>
      <c r="H505" s="307">
        <f t="shared" ca="1" si="215"/>
        <v>-51.599795927603381</v>
      </c>
      <c r="I505" s="304">
        <f t="shared" ca="1" si="216"/>
        <v>51.747872991368226</v>
      </c>
      <c r="J505" s="306">
        <f t="shared" ca="1" si="217"/>
        <v>56.288824373840264</v>
      </c>
      <c r="K505" s="307">
        <f t="shared" ca="1" si="218"/>
        <v>-1.0425535986243546</v>
      </c>
      <c r="L505" s="304">
        <f t="shared" ca="1" si="203"/>
        <v>56.298478375485765</v>
      </c>
      <c r="M505" s="306">
        <f t="shared" ca="1" si="219"/>
        <v>-1.4951276291946698</v>
      </c>
      <c r="N505" s="304">
        <f t="shared" ca="1" si="220"/>
        <v>-85.6645029862553</v>
      </c>
      <c r="P505" s="310">
        <f t="shared" ca="1" si="221"/>
        <v>23</v>
      </c>
      <c r="Q505" s="304">
        <f t="shared" ca="1" si="222"/>
        <v>0</v>
      </c>
      <c r="R505" s="306">
        <f t="shared" ca="1" si="223"/>
        <v>0</v>
      </c>
      <c r="S505" s="307">
        <f t="shared" ca="1" si="224"/>
        <v>2.0843000000000003</v>
      </c>
      <c r="T505" s="304">
        <f t="shared" ca="1" si="204"/>
        <v>20.446983000000003</v>
      </c>
      <c r="U505" s="311">
        <f t="shared" ca="1" si="205"/>
        <v>0</v>
      </c>
      <c r="V505" s="306">
        <f t="shared" ca="1" si="206"/>
        <v>1.2251277194735515</v>
      </c>
      <c r="W505" s="304">
        <f t="shared" ca="1" si="207"/>
        <v>7.186472097465435</v>
      </c>
      <c r="Y505" s="314" t="str">
        <f t="shared" ca="1" si="225"/>
        <v/>
      </c>
      <c r="Z505" s="315" t="str">
        <f t="shared" ca="1" si="226"/>
        <v/>
      </c>
      <c r="AA505" s="316" t="str">
        <f t="shared" ca="1" si="227"/>
        <v/>
      </c>
      <c r="AC505" s="310" t="e">
        <f t="shared" ca="1" si="228"/>
        <v>#N/A</v>
      </c>
      <c r="AD505" s="323" t="e">
        <f t="shared" ca="1" si="229"/>
        <v>#N/A</v>
      </c>
      <c r="AE505" s="324">
        <f t="shared" ca="1" si="208"/>
        <v>-1.0425535986243546</v>
      </c>
      <c r="AG505" s="306">
        <f t="shared" ca="1" si="230"/>
        <v>6.3341069301093595</v>
      </c>
      <c r="AH505" s="304">
        <f t="shared" ca="1" si="231"/>
        <v>-3.4478205925030219</v>
      </c>
    </row>
    <row r="506" spans="1:34" x14ac:dyDescent="0.2">
      <c r="A506" s="347">
        <f t="shared" ca="1" si="209"/>
        <v>1E-4</v>
      </c>
      <c r="B506" s="304">
        <f t="shared" ca="1" si="210"/>
        <v>12.020199999999928</v>
      </c>
      <c r="D506" s="306">
        <f t="shared" ca="1" si="211"/>
        <v>-0.2606497131568703</v>
      </c>
      <c r="E506" s="307">
        <f t="shared" ca="1" si="212"/>
        <v>-6.3719594422004899</v>
      </c>
      <c r="F506" s="304">
        <f t="shared" ca="1" si="213"/>
        <v>6.3772882486223521</v>
      </c>
      <c r="G506" s="306">
        <f t="shared" ca="1" si="214"/>
        <v>3.9119324420252055</v>
      </c>
      <c r="H506" s="307">
        <f t="shared" ca="1" si="215"/>
        <v>-51.600433123547603</v>
      </c>
      <c r="I506" s="304">
        <f t="shared" ca="1" si="216"/>
        <v>51.748506393602106</v>
      </c>
      <c r="J506" s="306">
        <f t="shared" ca="1" si="217"/>
        <v>56.288824373840264</v>
      </c>
      <c r="K506" s="307">
        <f t="shared" ca="1" si="218"/>
        <v>-1.0477136100769122</v>
      </c>
      <c r="L506" s="304">
        <f t="shared" ca="1" si="203"/>
        <v>56.298574166649857</v>
      </c>
      <c r="M506" s="306">
        <f t="shared" ca="1" si="219"/>
        <v>-1.4951290622828834</v>
      </c>
      <c r="N506" s="304">
        <f t="shared" ca="1" si="220"/>
        <v>-85.664585096161616</v>
      </c>
      <c r="P506" s="310">
        <f t="shared" ca="1" si="221"/>
        <v>23</v>
      </c>
      <c r="Q506" s="304">
        <f t="shared" ca="1" si="222"/>
        <v>0</v>
      </c>
      <c r="R506" s="306">
        <f t="shared" ca="1" si="223"/>
        <v>0</v>
      </c>
      <c r="S506" s="307">
        <f t="shared" ca="1" si="224"/>
        <v>2.0843000000000003</v>
      </c>
      <c r="T506" s="304">
        <f t="shared" ca="1" si="204"/>
        <v>20.446983000000003</v>
      </c>
      <c r="U506" s="311">
        <f t="shared" ca="1" si="205"/>
        <v>0</v>
      </c>
      <c r="V506" s="306">
        <f t="shared" ca="1" si="206"/>
        <v>1.2251283516410227</v>
      </c>
      <c r="W506" s="304">
        <f t="shared" ca="1" si="207"/>
        <v>7.1866517339952125</v>
      </c>
      <c r="Y506" s="314" t="str">
        <f t="shared" ca="1" si="225"/>
        <v/>
      </c>
      <c r="Z506" s="315" t="str">
        <f t="shared" ca="1" si="226"/>
        <v/>
      </c>
      <c r="AA506" s="316" t="str">
        <f t="shared" ca="1" si="227"/>
        <v/>
      </c>
      <c r="AC506" s="310" t="e">
        <f t="shared" ca="1" si="228"/>
        <v>#N/A</v>
      </c>
      <c r="AD506" s="323" t="e">
        <f t="shared" ca="1" si="229"/>
        <v>#N/A</v>
      </c>
      <c r="AE506" s="324">
        <f t="shared" ca="1" si="208"/>
        <v>-1.0477136100769122</v>
      </c>
      <c r="AG506" s="306">
        <f t="shared" ca="1" si="230"/>
        <v>6.3340218073978507</v>
      </c>
      <c r="AH506" s="304">
        <f t="shared" ca="1" si="231"/>
        <v>-3.4479067780383987</v>
      </c>
    </row>
    <row r="507" spans="1:34" x14ac:dyDescent="0.2">
      <c r="A507" s="347">
        <f t="shared" ca="1" si="209"/>
        <v>1E-4</v>
      </c>
      <c r="B507" s="304">
        <f t="shared" ca="1" si="210"/>
        <v>12.020299999999928</v>
      </c>
      <c r="D507" s="306">
        <f t="shared" ca="1" si="211"/>
        <v>-0.26065130134424547</v>
      </c>
      <c r="E507" s="307">
        <f t="shared" ca="1" si="212"/>
        <v>-6.3718731297372599</v>
      </c>
      <c r="F507" s="304">
        <f t="shared" ca="1" si="213"/>
        <v>6.3772020731948071</v>
      </c>
      <c r="G507" s="306">
        <f t="shared" ca="1" si="214"/>
        <v>3.9119063768950713</v>
      </c>
      <c r="H507" s="307">
        <f t="shared" ca="1" si="215"/>
        <v>-51.601070310860578</v>
      </c>
      <c r="I507" s="304">
        <f t="shared" ca="1" si="216"/>
        <v>51.749139787323706</v>
      </c>
      <c r="J507" s="306">
        <f t="shared" ca="1" si="217"/>
        <v>56.288824373840264</v>
      </c>
      <c r="K507" s="307">
        <f t="shared" ca="1" si="218"/>
        <v>-1.0528736852486327</v>
      </c>
      <c r="L507" s="304">
        <f t="shared" ca="1" si="203"/>
        <v>56.298670431779499</v>
      </c>
      <c r="M507" s="306">
        <f t="shared" ca="1" si="219"/>
        <v>-1.4951304953264672</v>
      </c>
      <c r="N507" s="304">
        <f t="shared" ca="1" si="220"/>
        <v>-85.664667203510831</v>
      </c>
      <c r="P507" s="310">
        <f t="shared" ca="1" si="221"/>
        <v>23</v>
      </c>
      <c r="Q507" s="304">
        <f t="shared" ca="1" si="222"/>
        <v>0</v>
      </c>
      <c r="R507" s="306">
        <f t="shared" ca="1" si="223"/>
        <v>0</v>
      </c>
      <c r="S507" s="307">
        <f t="shared" ca="1" si="224"/>
        <v>2.0843000000000003</v>
      </c>
      <c r="T507" s="304">
        <f t="shared" ca="1" si="204"/>
        <v>20.446983000000003</v>
      </c>
      <c r="U507" s="311">
        <f t="shared" ca="1" si="205"/>
        <v>0</v>
      </c>
      <c r="V507" s="306">
        <f t="shared" ca="1" si="206"/>
        <v>1.2251289838166266</v>
      </c>
      <c r="W507" s="304">
        <f t="shared" ca="1" si="207"/>
        <v>7.18683137054329</v>
      </c>
      <c r="Y507" s="314" t="str">
        <f t="shared" ca="1" si="225"/>
        <v/>
      </c>
      <c r="Z507" s="315" t="str">
        <f t="shared" ca="1" si="226"/>
        <v/>
      </c>
      <c r="AA507" s="316" t="str">
        <f t="shared" ca="1" si="227"/>
        <v/>
      </c>
      <c r="AC507" s="310" t="e">
        <f t="shared" ca="1" si="228"/>
        <v>#N/A</v>
      </c>
      <c r="AD507" s="323" t="e">
        <f t="shared" ca="1" si="229"/>
        <v>#N/A</v>
      </c>
      <c r="AE507" s="324">
        <f t="shared" ca="1" si="208"/>
        <v>-1.0528736852486327</v>
      </c>
      <c r="AG507" s="306">
        <f t="shared" ca="1" si="230"/>
        <v>6.333936684624323</v>
      </c>
      <c r="AH507" s="304">
        <f t="shared" ca="1" si="231"/>
        <v>-3.4479929635825992</v>
      </c>
    </row>
    <row r="508" spans="1:34" x14ac:dyDescent="0.2">
      <c r="A508" s="347">
        <f t="shared" ca="1" si="209"/>
        <v>1E-4</v>
      </c>
      <c r="B508" s="304">
        <f t="shared" ca="1" si="210"/>
        <v>12.020399999999928</v>
      </c>
      <c r="D508" s="306">
        <f t="shared" ca="1" si="211"/>
        <v>-0.26065288943887988</v>
      </c>
      <c r="E508" s="307">
        <f t="shared" ca="1" si="212"/>
        <v>-6.3717868172652956</v>
      </c>
      <c r="F508" s="304">
        <f t="shared" ca="1" si="213"/>
        <v>6.3771158977588485</v>
      </c>
      <c r="G508" s="306">
        <f t="shared" ca="1" si="214"/>
        <v>3.9118803116061276</v>
      </c>
      <c r="H508" s="307">
        <f t="shared" ca="1" si="215"/>
        <v>-51.601707489542306</v>
      </c>
      <c r="I508" s="304">
        <f t="shared" ca="1" si="216"/>
        <v>51.749773172533025</v>
      </c>
      <c r="J508" s="306">
        <f t="shared" ca="1" si="217"/>
        <v>56.288824373840264</v>
      </c>
      <c r="K508" s="307">
        <f t="shared" ca="1" si="218"/>
        <v>-1.0580338241386529</v>
      </c>
      <c r="L508" s="304">
        <f t="shared" ca="1" si="203"/>
        <v>56.298767170889768</v>
      </c>
      <c r="M508" s="306">
        <f t="shared" ca="1" si="219"/>
        <v>-1.4951319283254239</v>
      </c>
      <c r="N508" s="304">
        <f t="shared" ca="1" si="220"/>
        <v>-85.664749308303087</v>
      </c>
      <c r="P508" s="310">
        <f t="shared" ca="1" si="221"/>
        <v>23</v>
      </c>
      <c r="Q508" s="304">
        <f t="shared" ca="1" si="222"/>
        <v>0</v>
      </c>
      <c r="R508" s="306">
        <f t="shared" ca="1" si="223"/>
        <v>0</v>
      </c>
      <c r="S508" s="307">
        <f t="shared" ca="1" si="224"/>
        <v>2.0843000000000003</v>
      </c>
      <c r="T508" s="304">
        <f t="shared" ca="1" si="204"/>
        <v>20.446983000000003</v>
      </c>
      <c r="U508" s="311">
        <f t="shared" ca="1" si="205"/>
        <v>0</v>
      </c>
      <c r="V508" s="306">
        <f t="shared" ca="1" si="206"/>
        <v>1.2251296160003626</v>
      </c>
      <c r="W508" s="304">
        <f t="shared" ca="1" si="207"/>
        <v>7.187011007109585</v>
      </c>
      <c r="Y508" s="314" t="str">
        <f t="shared" ca="1" si="225"/>
        <v/>
      </c>
      <c r="Z508" s="315" t="str">
        <f t="shared" ca="1" si="226"/>
        <v/>
      </c>
      <c r="AA508" s="316" t="str">
        <f t="shared" ca="1" si="227"/>
        <v/>
      </c>
      <c r="AC508" s="310" t="e">
        <f t="shared" ca="1" si="228"/>
        <v>#N/A</v>
      </c>
      <c r="AD508" s="323" t="e">
        <f t="shared" ca="1" si="229"/>
        <v>#N/A</v>
      </c>
      <c r="AE508" s="324">
        <f t="shared" ca="1" si="208"/>
        <v>-1.0580338241386529</v>
      </c>
      <c r="AG508" s="306">
        <f t="shared" ca="1" si="230"/>
        <v>6.3338515617888351</v>
      </c>
      <c r="AH508" s="304">
        <f t="shared" ca="1" si="231"/>
        <v>-3.4480791491355798</v>
      </c>
    </row>
    <row r="509" spans="1:34" x14ac:dyDescent="0.2">
      <c r="A509" s="347">
        <f t="shared" ca="1" si="209"/>
        <v>1E-4</v>
      </c>
      <c r="B509" s="304">
        <f t="shared" ca="1" si="210"/>
        <v>12.020499999999927</v>
      </c>
      <c r="D509" s="306">
        <f t="shared" ca="1" si="211"/>
        <v>-0.2606544774407728</v>
      </c>
      <c r="E509" s="307">
        <f t="shared" ca="1" si="212"/>
        <v>-6.371700504784636</v>
      </c>
      <c r="F509" s="304">
        <f t="shared" ca="1" si="213"/>
        <v>6.3770297223145125</v>
      </c>
      <c r="G509" s="306">
        <f t="shared" ca="1" si="214"/>
        <v>3.9118542461583834</v>
      </c>
      <c r="H509" s="307">
        <f t="shared" ca="1" si="215"/>
        <v>-51.602344659592788</v>
      </c>
      <c r="I509" s="304">
        <f t="shared" ca="1" si="216"/>
        <v>51.750406549230043</v>
      </c>
      <c r="J509" s="306">
        <f t="shared" ca="1" si="217"/>
        <v>56.288824373840264</v>
      </c>
      <c r="K509" s="307">
        <f t="shared" ca="1" si="218"/>
        <v>-1.0631940267461097</v>
      </c>
      <c r="L509" s="304">
        <f t="shared" ca="1" si="203"/>
        <v>56.298864383995728</v>
      </c>
      <c r="M509" s="306">
        <f t="shared" ca="1" si="219"/>
        <v>-1.495133361279755</v>
      </c>
      <c r="N509" s="304">
        <f t="shared" ca="1" si="220"/>
        <v>-85.664831410538497</v>
      </c>
      <c r="P509" s="310">
        <f t="shared" ca="1" si="221"/>
        <v>23</v>
      </c>
      <c r="Q509" s="304">
        <f t="shared" ca="1" si="222"/>
        <v>0</v>
      </c>
      <c r="R509" s="306">
        <f t="shared" ca="1" si="223"/>
        <v>0</v>
      </c>
      <c r="S509" s="307">
        <f t="shared" ca="1" si="224"/>
        <v>2.0843000000000003</v>
      </c>
      <c r="T509" s="304">
        <f t="shared" ca="1" si="204"/>
        <v>20.446983000000003</v>
      </c>
      <c r="U509" s="311">
        <f t="shared" ca="1" si="205"/>
        <v>0</v>
      </c>
      <c r="V509" s="306">
        <f t="shared" ca="1" si="206"/>
        <v>1.2251302481922315</v>
      </c>
      <c r="W509" s="304">
        <f t="shared" ca="1" si="207"/>
        <v>7.1871906436940076</v>
      </c>
      <c r="Y509" s="314" t="str">
        <f t="shared" ca="1" si="225"/>
        <v/>
      </c>
      <c r="Z509" s="315" t="str">
        <f t="shared" ca="1" si="226"/>
        <v/>
      </c>
      <c r="AA509" s="316" t="str">
        <f t="shared" ca="1" si="227"/>
        <v/>
      </c>
      <c r="AC509" s="310" t="e">
        <f t="shared" ca="1" si="228"/>
        <v>#N/A</v>
      </c>
      <c r="AD509" s="323" t="e">
        <f t="shared" ca="1" si="229"/>
        <v>#N/A</v>
      </c>
      <c r="AE509" s="324">
        <f t="shared" ca="1" si="208"/>
        <v>-1.0631940267461097</v>
      </c>
      <c r="AG509" s="306">
        <f t="shared" ca="1" si="230"/>
        <v>6.3337664388914234</v>
      </c>
      <c r="AH509" s="304">
        <f t="shared" ca="1" si="231"/>
        <v>-3.4481653346973009</v>
      </c>
    </row>
    <row r="510" spans="1:34" x14ac:dyDescent="0.2">
      <c r="A510" s="347">
        <f t="shared" ca="1" si="209"/>
        <v>1E-4</v>
      </c>
      <c r="B510" s="304">
        <f t="shared" ca="1" si="210"/>
        <v>12.020599999999927</v>
      </c>
      <c r="D510" s="306">
        <f t="shared" ca="1" si="211"/>
        <v>-0.26065606534992641</v>
      </c>
      <c r="E510" s="307">
        <f t="shared" ca="1" si="212"/>
        <v>-6.3716141922953256</v>
      </c>
      <c r="F510" s="304">
        <f t="shared" ca="1" si="213"/>
        <v>6.3769435468618445</v>
      </c>
      <c r="G510" s="306">
        <f t="shared" ca="1" si="214"/>
        <v>3.9118281805518484</v>
      </c>
      <c r="H510" s="307">
        <f t="shared" ca="1" si="215"/>
        <v>-51.602981821012015</v>
      </c>
      <c r="I510" s="304">
        <f t="shared" ca="1" si="216"/>
        <v>51.751039917414758</v>
      </c>
      <c r="J510" s="306">
        <f t="shared" ca="1" si="217"/>
        <v>56.288824373840264</v>
      </c>
      <c r="K510" s="307">
        <f t="shared" ca="1" si="218"/>
        <v>-1.06835429307014</v>
      </c>
      <c r="L510" s="304">
        <f t="shared" ca="1" si="203"/>
        <v>56.29896207111242</v>
      </c>
      <c r="M510" s="306">
        <f t="shared" ca="1" si="219"/>
        <v>-1.495134794189463</v>
      </c>
      <c r="N510" s="304">
        <f t="shared" ca="1" si="220"/>
        <v>-85.66491351021719</v>
      </c>
      <c r="P510" s="310">
        <f t="shared" ca="1" si="221"/>
        <v>23</v>
      </c>
      <c r="Q510" s="304">
        <f t="shared" ca="1" si="222"/>
        <v>0</v>
      </c>
      <c r="R510" s="306">
        <f t="shared" ca="1" si="223"/>
        <v>0</v>
      </c>
      <c r="S510" s="307">
        <f t="shared" ca="1" si="224"/>
        <v>2.0843000000000003</v>
      </c>
      <c r="T510" s="304">
        <f t="shared" ca="1" si="204"/>
        <v>20.446983000000003</v>
      </c>
      <c r="U510" s="311">
        <f t="shared" ca="1" si="205"/>
        <v>0</v>
      </c>
      <c r="V510" s="306">
        <f t="shared" ca="1" si="206"/>
        <v>1.2251308803922327</v>
      </c>
      <c r="W510" s="304">
        <f t="shared" ca="1" si="207"/>
        <v>7.1873702802964772</v>
      </c>
      <c r="Y510" s="314" t="str">
        <f t="shared" ca="1" si="225"/>
        <v/>
      </c>
      <c r="Z510" s="315" t="str">
        <f t="shared" ca="1" si="226"/>
        <v/>
      </c>
      <c r="AA510" s="316" t="str">
        <f t="shared" ca="1" si="227"/>
        <v/>
      </c>
      <c r="AC510" s="310" t="e">
        <f t="shared" ca="1" si="228"/>
        <v>#N/A</v>
      </c>
      <c r="AD510" s="323" t="e">
        <f t="shared" ca="1" si="229"/>
        <v>#N/A</v>
      </c>
      <c r="AE510" s="324">
        <f t="shared" ca="1" si="208"/>
        <v>-1.06835429307014</v>
      </c>
      <c r="AG510" s="306">
        <f t="shared" ca="1" si="230"/>
        <v>6.3336813159321323</v>
      </c>
      <c r="AH510" s="304">
        <f t="shared" ca="1" si="231"/>
        <v>-3.4482515202677191</v>
      </c>
    </row>
    <row r="511" spans="1:34" x14ac:dyDescent="0.2">
      <c r="A511" s="347">
        <f t="shared" ca="1" si="209"/>
        <v>1E-4</v>
      </c>
      <c r="B511" s="304">
        <f t="shared" ca="1" si="210"/>
        <v>12.020699999999927</v>
      </c>
      <c r="D511" s="306">
        <f t="shared" ca="1" si="211"/>
        <v>-0.26065765316634154</v>
      </c>
      <c r="E511" s="307">
        <f t="shared" ca="1" si="212"/>
        <v>-6.3715278797974015</v>
      </c>
      <c r="F511" s="304">
        <f t="shared" ca="1" si="213"/>
        <v>6.3768573714008809</v>
      </c>
      <c r="G511" s="306">
        <f t="shared" ca="1" si="214"/>
        <v>3.9118021147865316</v>
      </c>
      <c r="H511" s="307">
        <f t="shared" ca="1" si="215"/>
        <v>-51.603618973799996</v>
      </c>
      <c r="I511" s="304">
        <f t="shared" ca="1" si="216"/>
        <v>51.751673277087178</v>
      </c>
      <c r="J511" s="306">
        <f t="shared" ca="1" si="217"/>
        <v>56.288824373840264</v>
      </c>
      <c r="K511" s="307">
        <f t="shared" ca="1" si="218"/>
        <v>-1.0735146231098807</v>
      </c>
      <c r="L511" s="304">
        <f t="shared" ca="1" si="203"/>
        <v>56.299060232254895</v>
      </c>
      <c r="M511" s="306">
        <f t="shared" ca="1" si="219"/>
        <v>-1.4951362270545501</v>
      </c>
      <c r="N511" s="304">
        <f t="shared" ca="1" si="220"/>
        <v>-85.664995607339293</v>
      </c>
      <c r="P511" s="310">
        <f t="shared" ca="1" si="221"/>
        <v>23</v>
      </c>
      <c r="Q511" s="304">
        <f t="shared" ca="1" si="222"/>
        <v>0</v>
      </c>
      <c r="R511" s="306">
        <f t="shared" ca="1" si="223"/>
        <v>0</v>
      </c>
      <c r="S511" s="307">
        <f t="shared" ca="1" si="224"/>
        <v>2.0843000000000003</v>
      </c>
      <c r="T511" s="304">
        <f t="shared" ca="1" si="204"/>
        <v>20.446983000000003</v>
      </c>
      <c r="U511" s="311">
        <f t="shared" ca="1" si="205"/>
        <v>0</v>
      </c>
      <c r="V511" s="306">
        <f t="shared" ca="1" si="206"/>
        <v>1.2251315126003659</v>
      </c>
      <c r="W511" s="304">
        <f t="shared" ca="1" si="207"/>
        <v>7.1875499169169057</v>
      </c>
      <c r="Y511" s="314" t="str">
        <f t="shared" ca="1" si="225"/>
        <v/>
      </c>
      <c r="Z511" s="315" t="str">
        <f t="shared" ca="1" si="226"/>
        <v/>
      </c>
      <c r="AA511" s="316" t="str">
        <f t="shared" ca="1" si="227"/>
        <v/>
      </c>
      <c r="AC511" s="310" t="e">
        <f t="shared" ca="1" si="228"/>
        <v>#N/A</v>
      </c>
      <c r="AD511" s="323" t="e">
        <f t="shared" ca="1" si="229"/>
        <v>#N/A</v>
      </c>
      <c r="AE511" s="324">
        <f t="shared" ca="1" si="208"/>
        <v>-1.0735146231098807</v>
      </c>
      <c r="AG511" s="306">
        <f t="shared" ca="1" si="230"/>
        <v>6.3335961929110107</v>
      </c>
      <c r="AH511" s="304">
        <f t="shared" ca="1" si="231"/>
        <v>-3.4483377058467957</v>
      </c>
    </row>
    <row r="512" spans="1:34" x14ac:dyDescent="0.2">
      <c r="A512" s="347">
        <f t="shared" ca="1" si="209"/>
        <v>1E-4</v>
      </c>
      <c r="B512" s="304">
        <f t="shared" ca="1" si="210"/>
        <v>12.020799999999927</v>
      </c>
      <c r="D512" s="306">
        <f t="shared" ca="1" si="211"/>
        <v>-0.26065924089001907</v>
      </c>
      <c r="E512" s="307">
        <f t="shared" ca="1" si="212"/>
        <v>-6.3714415672909066</v>
      </c>
      <c r="F512" s="304">
        <f t="shared" ca="1" si="213"/>
        <v>6.3767711959316653</v>
      </c>
      <c r="G512" s="306">
        <f t="shared" ca="1" si="214"/>
        <v>3.9117760488624427</v>
      </c>
      <c r="H512" s="307">
        <f t="shared" ca="1" si="215"/>
        <v>-51.604256117956723</v>
      </c>
      <c r="I512" s="304">
        <f t="shared" ca="1" si="216"/>
        <v>51.752306628247283</v>
      </c>
      <c r="J512" s="306">
        <f t="shared" ca="1" si="217"/>
        <v>56.288824373840264</v>
      </c>
      <c r="K512" s="307">
        <f t="shared" ca="1" si="218"/>
        <v>-1.0786750168644685</v>
      </c>
      <c r="L512" s="304">
        <f t="shared" ca="1" si="203"/>
        <v>56.299158867438166</v>
      </c>
      <c r="M512" s="306">
        <f t="shared" ca="1" si="219"/>
        <v>-1.4951376598750183</v>
      </c>
      <c r="N512" s="304">
        <f t="shared" ca="1" si="220"/>
        <v>-85.66507770190492</v>
      </c>
      <c r="P512" s="310">
        <f t="shared" ca="1" si="221"/>
        <v>23</v>
      </c>
      <c r="Q512" s="304">
        <f t="shared" ca="1" si="222"/>
        <v>0</v>
      </c>
      <c r="R512" s="306">
        <f t="shared" ca="1" si="223"/>
        <v>0</v>
      </c>
      <c r="S512" s="307">
        <f t="shared" ca="1" si="224"/>
        <v>2.0843000000000003</v>
      </c>
      <c r="T512" s="304">
        <f t="shared" ca="1" si="204"/>
        <v>20.446983000000003</v>
      </c>
      <c r="U512" s="311">
        <f t="shared" ca="1" si="205"/>
        <v>0</v>
      </c>
      <c r="V512" s="306">
        <f t="shared" ca="1" si="206"/>
        <v>1.2251321448166315</v>
      </c>
      <c r="W512" s="304">
        <f t="shared" ca="1" si="207"/>
        <v>7.1877295535552079</v>
      </c>
      <c r="Y512" s="314" t="str">
        <f t="shared" ca="1" si="225"/>
        <v/>
      </c>
      <c r="Z512" s="315" t="str">
        <f t="shared" ca="1" si="226"/>
        <v/>
      </c>
      <c r="AA512" s="316" t="str">
        <f t="shared" ca="1" si="227"/>
        <v/>
      </c>
      <c r="AC512" s="310" t="e">
        <f t="shared" ca="1" si="228"/>
        <v>#N/A</v>
      </c>
      <c r="AD512" s="323" t="e">
        <f t="shared" ca="1" si="229"/>
        <v>#N/A</v>
      </c>
      <c r="AE512" s="324">
        <f t="shared" ca="1" si="208"/>
        <v>-1.0786750168644685</v>
      </c>
      <c r="AG512" s="306">
        <f t="shared" ca="1" si="230"/>
        <v>6.3335110698281003</v>
      </c>
      <c r="AH512" s="304">
        <f t="shared" ca="1" si="231"/>
        <v>-3.4484238914344889</v>
      </c>
    </row>
    <row r="513" spans="1:34" x14ac:dyDescent="0.2">
      <c r="A513" s="347">
        <f t="shared" ca="1" si="209"/>
        <v>1E-4</v>
      </c>
      <c r="B513" s="304">
        <f t="shared" ca="1" si="210"/>
        <v>12.020899999999926</v>
      </c>
      <c r="D513" s="306">
        <f t="shared" ca="1" si="211"/>
        <v>-0.26066082852095951</v>
      </c>
      <c r="E513" s="307">
        <f t="shared" ca="1" si="212"/>
        <v>-6.3713552547758816</v>
      </c>
      <c r="F513" s="304">
        <f t="shared" ca="1" si="213"/>
        <v>6.3766850204542385</v>
      </c>
      <c r="G513" s="306">
        <f t="shared" ca="1" si="214"/>
        <v>3.9117499827795905</v>
      </c>
      <c r="H513" s="307">
        <f t="shared" ca="1" si="215"/>
        <v>-51.604893253482203</v>
      </c>
      <c r="I513" s="304">
        <f t="shared" ca="1" si="216"/>
        <v>51.752939970895078</v>
      </c>
      <c r="J513" s="306">
        <f t="shared" ca="1" si="217"/>
        <v>56.288824373840264</v>
      </c>
      <c r="K513" s="307">
        <f t="shared" ca="1" si="218"/>
        <v>-1.0838354743330405</v>
      </c>
      <c r="L513" s="304">
        <f t="shared" ca="1" si="203"/>
        <v>56.299257976677247</v>
      </c>
      <c r="M513" s="306">
        <f t="shared" ca="1" si="219"/>
        <v>-1.4951390926508699</v>
      </c>
      <c r="N513" s="304">
        <f t="shared" ca="1" si="220"/>
        <v>-85.665159793914199</v>
      </c>
      <c r="P513" s="310">
        <f t="shared" ca="1" si="221"/>
        <v>23</v>
      </c>
      <c r="Q513" s="304">
        <f t="shared" ca="1" si="222"/>
        <v>0</v>
      </c>
      <c r="R513" s="306">
        <f t="shared" ca="1" si="223"/>
        <v>0</v>
      </c>
      <c r="S513" s="307">
        <f t="shared" ca="1" si="224"/>
        <v>2.0843000000000003</v>
      </c>
      <c r="T513" s="304">
        <f t="shared" ca="1" si="204"/>
        <v>20.446983000000003</v>
      </c>
      <c r="U513" s="311">
        <f t="shared" ca="1" si="205"/>
        <v>0</v>
      </c>
      <c r="V513" s="306">
        <f t="shared" ca="1" si="206"/>
        <v>1.2251327770410292</v>
      </c>
      <c r="W513" s="304">
        <f t="shared" ca="1" si="207"/>
        <v>7.1879091902112986</v>
      </c>
      <c r="Y513" s="314" t="str">
        <f t="shared" ca="1" si="225"/>
        <v/>
      </c>
      <c r="Z513" s="315" t="str">
        <f t="shared" ca="1" si="226"/>
        <v/>
      </c>
      <c r="AA513" s="316" t="str">
        <f t="shared" ca="1" si="227"/>
        <v/>
      </c>
      <c r="AC513" s="310" t="e">
        <f t="shared" ca="1" si="228"/>
        <v>#N/A</v>
      </c>
      <c r="AD513" s="323" t="e">
        <f t="shared" ca="1" si="229"/>
        <v>#N/A</v>
      </c>
      <c r="AE513" s="324">
        <f t="shared" ca="1" si="208"/>
        <v>-1.0838354743330405</v>
      </c>
      <c r="AG513" s="306">
        <f t="shared" ca="1" si="230"/>
        <v>6.3334259466834464</v>
      </c>
      <c r="AH513" s="304">
        <f t="shared" ca="1" si="231"/>
        <v>-3.4485100770307571</v>
      </c>
    </row>
    <row r="514" spans="1:34" x14ac:dyDescent="0.2">
      <c r="A514" s="347">
        <f t="shared" ca="1" si="209"/>
        <v>1E-4</v>
      </c>
      <c r="B514" s="304">
        <f t="shared" ca="1" si="210"/>
        <v>12.020999999999926</v>
      </c>
      <c r="D514" s="306">
        <f t="shared" ca="1" si="211"/>
        <v>-0.26066241605916451</v>
      </c>
      <c r="E514" s="307">
        <f t="shared" ca="1" si="212"/>
        <v>-6.3712689422523674</v>
      </c>
      <c r="F514" s="304">
        <f t="shared" ca="1" si="213"/>
        <v>6.3765988449686404</v>
      </c>
      <c r="G514" s="306">
        <f t="shared" ca="1" si="214"/>
        <v>3.9117239165379845</v>
      </c>
      <c r="H514" s="307">
        <f t="shared" ca="1" si="215"/>
        <v>-51.605530380376429</v>
      </c>
      <c r="I514" s="304">
        <f t="shared" ca="1" si="216"/>
        <v>51.753573305030542</v>
      </c>
      <c r="J514" s="306">
        <f t="shared" ca="1" si="217"/>
        <v>56.288824373840264</v>
      </c>
      <c r="K514" s="307">
        <f t="shared" ca="1" si="218"/>
        <v>-1.0889959955147335</v>
      </c>
      <c r="L514" s="304">
        <f t="shared" ca="1" si="203"/>
        <v>56.299357559987136</v>
      </c>
      <c r="M514" s="306">
        <f t="shared" ca="1" si="219"/>
        <v>-1.4951405253821071</v>
      </c>
      <c r="N514" s="304">
        <f t="shared" ca="1" si="220"/>
        <v>-85.665241883367273</v>
      </c>
      <c r="P514" s="310">
        <f t="shared" ca="1" si="221"/>
        <v>23</v>
      </c>
      <c r="Q514" s="304">
        <f t="shared" ca="1" si="222"/>
        <v>0</v>
      </c>
      <c r="R514" s="306">
        <f t="shared" ca="1" si="223"/>
        <v>0</v>
      </c>
      <c r="S514" s="307">
        <f t="shared" ca="1" si="224"/>
        <v>2.0843000000000003</v>
      </c>
      <c r="T514" s="304">
        <f t="shared" ca="1" si="204"/>
        <v>20.446983000000003</v>
      </c>
      <c r="U514" s="311">
        <f t="shared" ca="1" si="205"/>
        <v>0</v>
      </c>
      <c r="V514" s="306">
        <f t="shared" ca="1" si="206"/>
        <v>1.2251334092735586</v>
      </c>
      <c r="W514" s="304">
        <f t="shared" ca="1" si="207"/>
        <v>7.1880888268850907</v>
      </c>
      <c r="Y514" s="314" t="str">
        <f t="shared" ca="1" si="225"/>
        <v/>
      </c>
      <c r="Z514" s="315" t="str">
        <f t="shared" ca="1" si="226"/>
        <v/>
      </c>
      <c r="AA514" s="316" t="str">
        <f t="shared" ca="1" si="227"/>
        <v/>
      </c>
      <c r="AC514" s="310" t="e">
        <f t="shared" ca="1" si="228"/>
        <v>#N/A</v>
      </c>
      <c r="AD514" s="323" t="e">
        <f t="shared" ca="1" si="229"/>
        <v>#N/A</v>
      </c>
      <c r="AE514" s="324">
        <f t="shared" ca="1" si="208"/>
        <v>-1.0889959955147335</v>
      </c>
      <c r="AG514" s="306">
        <f t="shared" ca="1" si="230"/>
        <v>6.3333408234770925</v>
      </c>
      <c r="AH514" s="304">
        <f t="shared" ca="1" si="231"/>
        <v>-3.4485962626355602</v>
      </c>
    </row>
    <row r="515" spans="1:34" x14ac:dyDescent="0.2">
      <c r="A515" s="347">
        <f t="shared" ca="1" si="209"/>
        <v>1E-4</v>
      </c>
      <c r="B515" s="304">
        <f t="shared" ca="1" si="210"/>
        <v>12.021099999999926</v>
      </c>
      <c r="D515" s="306">
        <f t="shared" ca="1" si="211"/>
        <v>-0.26066400350463398</v>
      </c>
      <c r="E515" s="307">
        <f t="shared" ca="1" si="212"/>
        <v>-6.3711826297204075</v>
      </c>
      <c r="F515" s="304">
        <f t="shared" ca="1" si="213"/>
        <v>6.3765126694749155</v>
      </c>
      <c r="G515" s="306">
        <f t="shared" ca="1" si="214"/>
        <v>3.9116978501376338</v>
      </c>
      <c r="H515" s="307">
        <f t="shared" ca="1" si="215"/>
        <v>-51.606167498639401</v>
      </c>
      <c r="I515" s="304">
        <f t="shared" ca="1" si="216"/>
        <v>51.754206630653677</v>
      </c>
      <c r="J515" s="306">
        <f t="shared" ca="1" si="217"/>
        <v>56.288824373840264</v>
      </c>
      <c r="K515" s="307">
        <f t="shared" ca="1" si="218"/>
        <v>-1.0941565804086844</v>
      </c>
      <c r="L515" s="304">
        <f t="shared" ca="1" si="203"/>
        <v>56.299457617382828</v>
      </c>
      <c r="M515" s="306">
        <f t="shared" ca="1" si="219"/>
        <v>-1.495141958068732</v>
      </c>
      <c r="N515" s="304">
        <f t="shared" ca="1" si="220"/>
        <v>-85.66532397026424</v>
      </c>
      <c r="P515" s="310">
        <f t="shared" ca="1" si="221"/>
        <v>23</v>
      </c>
      <c r="Q515" s="304">
        <f t="shared" ca="1" si="222"/>
        <v>0</v>
      </c>
      <c r="R515" s="306">
        <f t="shared" ca="1" si="223"/>
        <v>0</v>
      </c>
      <c r="S515" s="307">
        <f t="shared" ca="1" si="224"/>
        <v>2.0843000000000003</v>
      </c>
      <c r="T515" s="304">
        <f t="shared" ca="1" si="204"/>
        <v>20.446983000000003</v>
      </c>
      <c r="U515" s="311">
        <f t="shared" ca="1" si="205"/>
        <v>0</v>
      </c>
      <c r="V515" s="306">
        <f t="shared" ca="1" si="206"/>
        <v>1.2251340415142205</v>
      </c>
      <c r="W515" s="304">
        <f t="shared" ca="1" si="207"/>
        <v>7.1882684635764988</v>
      </c>
      <c r="Y515" s="314" t="str">
        <f t="shared" ca="1" si="225"/>
        <v/>
      </c>
      <c r="Z515" s="315" t="str">
        <f t="shared" ca="1" si="226"/>
        <v/>
      </c>
      <c r="AA515" s="316" t="str">
        <f t="shared" ca="1" si="227"/>
        <v/>
      </c>
      <c r="AC515" s="310" t="e">
        <f t="shared" ca="1" si="228"/>
        <v>#N/A</v>
      </c>
      <c r="AD515" s="323" t="e">
        <f t="shared" ca="1" si="229"/>
        <v>#N/A</v>
      </c>
      <c r="AE515" s="324">
        <f t="shared" ca="1" si="208"/>
        <v>-1.0941565804086844</v>
      </c>
      <c r="AG515" s="306">
        <f t="shared" ca="1" si="230"/>
        <v>6.3332557002090839</v>
      </c>
      <c r="AH515" s="304">
        <f t="shared" ca="1" si="231"/>
        <v>-3.4486824482488556</v>
      </c>
    </row>
    <row r="516" spans="1:34" x14ac:dyDescent="0.2">
      <c r="A516" s="347">
        <f t="shared" ca="1" si="209"/>
        <v>1E-4</v>
      </c>
      <c r="B516" s="304">
        <f t="shared" ca="1" si="210"/>
        <v>12.021199999999926</v>
      </c>
      <c r="D516" s="306">
        <f t="shared" ca="1" si="211"/>
        <v>-0.2606655908573694</v>
      </c>
      <c r="E516" s="307">
        <f t="shared" ca="1" si="212"/>
        <v>-6.3710963171800401</v>
      </c>
      <c r="F516" s="304">
        <f t="shared" ca="1" si="213"/>
        <v>6.3764264939731001</v>
      </c>
      <c r="G516" s="306">
        <f t="shared" ca="1" si="214"/>
        <v>3.9116717835785479</v>
      </c>
      <c r="H516" s="307">
        <f t="shared" ca="1" si="215"/>
        <v>-51.606804608271119</v>
      </c>
      <c r="I516" s="304">
        <f t="shared" ca="1" si="216"/>
        <v>51.754839947764481</v>
      </c>
      <c r="J516" s="306">
        <f t="shared" ca="1" si="217"/>
        <v>56.288824373840264</v>
      </c>
      <c r="K516" s="307">
        <f t="shared" ca="1" si="218"/>
        <v>-1.0993172290140298</v>
      </c>
      <c r="L516" s="304">
        <f t="shared" ref="L516:L579" ca="1" si="232">SQRT(pos_x^2+pos_z^2)</f>
        <v>56.299558148879292</v>
      </c>
      <c r="M516" s="306">
        <f t="shared" ca="1" si="219"/>
        <v>-1.4951433907107465</v>
      </c>
      <c r="N516" s="304">
        <f t="shared" ca="1" si="220"/>
        <v>-85.665406054605228</v>
      </c>
      <c r="P516" s="310">
        <f t="shared" ca="1" si="221"/>
        <v>23</v>
      </c>
      <c r="Q516" s="304">
        <f t="shared" ca="1" si="222"/>
        <v>0</v>
      </c>
      <c r="R516" s="306">
        <f t="shared" ca="1" si="223"/>
        <v>0</v>
      </c>
      <c r="S516" s="307">
        <f t="shared" ca="1" si="224"/>
        <v>2.0843000000000003</v>
      </c>
      <c r="T516" s="304">
        <f t="shared" ref="T516:T579" ca="1" si="233">m*g</f>
        <v>20.446983000000003</v>
      </c>
      <c r="U516" s="311">
        <f t="shared" ref="U516:U579" ca="1" si="234">IF(pos_xz&lt;L_rampe,Poids*COS(Beta),0)</f>
        <v>0</v>
      </c>
      <c r="V516" s="306">
        <f t="shared" ref="V516:V579" ca="1" si="235">Rho_moyen*(20000-Alt_rampe-pos_z)/(20000+Alt_rampe+pos_z)</f>
        <v>1.2251346737630138</v>
      </c>
      <c r="W516" s="304">
        <f t="shared" ref="W516:W579" ca="1" si="236">1/2*Rho*Sref*Cx*vit_xz^2</f>
        <v>7.1884481002854344</v>
      </c>
      <c r="Y516" s="314" t="str">
        <f t="shared" ca="1" si="225"/>
        <v/>
      </c>
      <c r="Z516" s="315" t="str">
        <f t="shared" ca="1" si="226"/>
        <v/>
      </c>
      <c r="AA516" s="316" t="str">
        <f t="shared" ca="1" si="227"/>
        <v/>
      </c>
      <c r="AC516" s="310" t="e">
        <f t="shared" ca="1" si="228"/>
        <v>#N/A</v>
      </c>
      <c r="AD516" s="323" t="e">
        <f t="shared" ca="1" si="229"/>
        <v>#N/A</v>
      </c>
      <c r="AE516" s="324">
        <f t="shared" ref="AE516:AE579" ca="1" si="237">IF(t&lt;T_para, pos_z, NA())</f>
        <v>-1.0993172290140298</v>
      </c>
      <c r="AG516" s="306">
        <f t="shared" ca="1" si="230"/>
        <v>6.3331705768794677</v>
      </c>
      <c r="AH516" s="304">
        <f t="shared" ca="1" si="231"/>
        <v>-3.448768633870603</v>
      </c>
    </row>
    <row r="517" spans="1:34" x14ac:dyDescent="0.2">
      <c r="A517" s="347">
        <f t="shared" ref="A517:A580" ca="1" si="238">IF(B516+0.01&lt;=T_ini+ROUNDUP(Temps_fin_propu,0), 0.01, IF(K516&gt;0, 0.1, 0.0001))</f>
        <v>1E-4</v>
      </c>
      <c r="B517" s="304">
        <f t="shared" ref="B517:B580" ca="1" si="239">B516+pas</f>
        <v>12.021299999999925</v>
      </c>
      <c r="D517" s="306">
        <f t="shared" ref="D517:D580" ca="1" si="240">IF(AND(L516&lt;L_rampe,Poussee&lt;Poids*SIN(M516)),0,(-W516+Poussee)/m*COS(M516)-U516/m*SIN(M516))</f>
        <v>-0.26066717811737228</v>
      </c>
      <c r="E517" s="307">
        <f t="shared" ref="E517:E580" ca="1" si="241">IF(AND(L516&lt;L_rampe,Poussee&lt;Poids*SIN(M516)),0,(-W516+Poussee)/m*SIN(M516)+U516/m*COS(M516)-Poids/m)</f>
        <v>-6.3710100046313105</v>
      </c>
      <c r="F517" s="304">
        <f t="shared" ref="F517:F580" ca="1" si="242">SQRT(acc_x^2+acc_z^2)</f>
        <v>6.3763403184632423</v>
      </c>
      <c r="G517" s="306">
        <f t="shared" ref="G517:G580" ca="1" si="243">G516+acc_x*pas</f>
        <v>3.9116457168607361</v>
      </c>
      <c r="H517" s="307">
        <f t="shared" ref="H517:H580" ca="1" si="244">H516+acc_z*pas</f>
        <v>-51.607441709271583</v>
      </c>
      <c r="I517" s="304">
        <f t="shared" ref="I517:I580" ca="1" si="245">SQRT(vit_x^2+vit_z^2)</f>
        <v>51.75547325636294</v>
      </c>
      <c r="J517" s="306">
        <f t="shared" ref="J517:J580" ca="1" si="246">J516+0.5*(vit_x+G516)*pas*(K516&gt;=0)</f>
        <v>56.288824373840264</v>
      </c>
      <c r="K517" s="307">
        <f t="shared" ref="K517:K580" ca="1" si="247">K516+0.5*(vit_z+H516)*pas</f>
        <v>-1.1044779413299071</v>
      </c>
      <c r="L517" s="304">
        <f t="shared" ca="1" si="232"/>
        <v>56.299659154491493</v>
      </c>
      <c r="M517" s="306">
        <f t="shared" ref="M517:M580" ca="1" si="248">IF(AND(L516&gt;L_rampe,G517&gt;0),ATAN2(G517,H517),$M$4)</f>
        <v>-1.4951448233081532</v>
      </c>
      <c r="N517" s="304">
        <f t="shared" ref="N517:N580" ca="1" si="249">DEGREES(Beta)</f>
        <v>-85.66548813639038</v>
      </c>
      <c r="P517" s="310">
        <f t="shared" ref="P517:P580" ca="1" si="250">MATCH(t-pas/2-T_ini,CdP_t)</f>
        <v>23</v>
      </c>
      <c r="Q517" s="304">
        <f t="shared" ref="Q517:Q580" ca="1" si="251">(INDEX(CdP,2,i_P+1)-INDEX(CdP,2,i_P+0))/(INDEX(CdP,1,i_P+1)-INDEX(CdP,1,i_P+0))*(t-pas/2-T_ini-INDEX(CdP,1,i_P+0))+INDEX(CdP,2,i_P+0)</f>
        <v>0</v>
      </c>
      <c r="R517" s="306">
        <f t="shared" ref="R517:R580" ca="1" si="252">Poussee/(g*ISP)</f>
        <v>0</v>
      </c>
      <c r="S517" s="307">
        <f t="shared" ref="S517:S580" ca="1" si="253">S516-Débit*pas</f>
        <v>2.0843000000000003</v>
      </c>
      <c r="T517" s="304">
        <f t="shared" ca="1" si="233"/>
        <v>20.446983000000003</v>
      </c>
      <c r="U517" s="311">
        <f t="shared" ca="1" si="234"/>
        <v>0</v>
      </c>
      <c r="V517" s="306">
        <f t="shared" ca="1" si="235"/>
        <v>1.225135306019939</v>
      </c>
      <c r="W517" s="304">
        <f t="shared" ca="1" si="236"/>
        <v>7.1886277370118172</v>
      </c>
      <c r="Y517" s="314" t="str">
        <f t="shared" ref="Y517:Y580" ca="1" si="254">IF(AND(pos_z&lt;=0,K516&gt;0),"Impact balistique","") &amp; IF(AND(H518&lt;0,vit_z&gt;=0),"Apogée","") &amp; IF(AND(Poussee=0,Q516&gt;0),"Fin de propulsion","") &amp; IF(AND(L518&gt;L_rampe,pos_xz&lt;=L_rampe),"Sortie de rampe","")</f>
        <v/>
      </c>
      <c r="Z517" s="315" t="str">
        <f t="shared" ref="Z517:Z580" ca="1" si="255">IF(ABS(t-T_para)&lt;pas/2,"Para","")</f>
        <v/>
      </c>
      <c r="AA517" s="316" t="str">
        <f t="shared" ref="AA517:AA580" ca="1" si="256">IF(ABS(t-T_satellite)&lt;pas/2,"Satellite","")</f>
        <v/>
      </c>
      <c r="AC517" s="310" t="e">
        <f t="shared" ref="AC517:AC580" ca="1" si="257">IF(ABS(t-ROUND(t,0))&lt;0.001,t,NA())</f>
        <v>#N/A</v>
      </c>
      <c r="AD517" s="323" t="e">
        <f t="shared" ref="AD517:AD580" ca="1" si="258">IF(ABS(t-ROUND(t,0))&lt;0.001,pos_x,NA())</f>
        <v>#N/A</v>
      </c>
      <c r="AE517" s="324">
        <f t="shared" ca="1" si="237"/>
        <v>-1.1044779413299071</v>
      </c>
      <c r="AG517" s="306">
        <f t="shared" ref="AG517:AG580" ca="1" si="259">IF(AND(L516&lt;L_rampe,Poussee&lt;Poids*SIN(M516)),0,(-W516+Poussee)/m-Poids*SIN(M516)/m)</f>
        <v>6.3330854534882874</v>
      </c>
      <c r="AH517" s="304">
        <f t="shared" ref="AH517:AH580" ca="1" si="260">IF(AND(L516&lt;L_rampe,Poussee&lt;Poids*SIN(M516)), g*SIN(M516), (-W516+Poussee)/m)</f>
        <v>-3.4488548195007596</v>
      </c>
    </row>
    <row r="518" spans="1:34" x14ac:dyDescent="0.2">
      <c r="A518" s="347">
        <f t="shared" ca="1" si="238"/>
        <v>1E-4</v>
      </c>
      <c r="B518" s="304">
        <f t="shared" ca="1" si="239"/>
        <v>12.021399999999925</v>
      </c>
      <c r="D518" s="306">
        <f t="shared" ca="1" si="240"/>
        <v>-0.26066876528464267</v>
      </c>
      <c r="E518" s="307">
        <f t="shared" ca="1" si="241"/>
        <v>-6.3709236920742551</v>
      </c>
      <c r="F518" s="304">
        <f t="shared" ca="1" si="242"/>
        <v>6.3762541429453767</v>
      </c>
      <c r="G518" s="306">
        <f t="shared" ca="1" si="243"/>
        <v>3.9116196499842077</v>
      </c>
      <c r="H518" s="307">
        <f t="shared" ca="1" si="244"/>
        <v>-51.608078801640794</v>
      </c>
      <c r="I518" s="304">
        <f t="shared" ca="1" si="245"/>
        <v>51.756106556449048</v>
      </c>
      <c r="J518" s="306">
        <f t="shared" ca="1" si="246"/>
        <v>56.288824373840264</v>
      </c>
      <c r="K518" s="307">
        <f t="shared" ca="1" si="247"/>
        <v>-1.1096387173554527</v>
      </c>
      <c r="L518" s="304">
        <f t="shared" ca="1" si="232"/>
        <v>56.299760634234389</v>
      </c>
      <c r="M518" s="306">
        <f t="shared" ca="1" si="248"/>
        <v>-1.4951462558609543</v>
      </c>
      <c r="N518" s="304">
        <f t="shared" ca="1" si="249"/>
        <v>-85.665570215619809</v>
      </c>
      <c r="P518" s="310">
        <f t="shared" ca="1" si="250"/>
        <v>23</v>
      </c>
      <c r="Q518" s="304">
        <f t="shared" ca="1" si="251"/>
        <v>0</v>
      </c>
      <c r="R518" s="306">
        <f t="shared" ca="1" si="252"/>
        <v>0</v>
      </c>
      <c r="S518" s="307">
        <f t="shared" ca="1" si="253"/>
        <v>2.0843000000000003</v>
      </c>
      <c r="T518" s="304">
        <f t="shared" ca="1" si="233"/>
        <v>20.446983000000003</v>
      </c>
      <c r="U518" s="311">
        <f t="shared" ca="1" si="234"/>
        <v>0</v>
      </c>
      <c r="V518" s="306">
        <f t="shared" ca="1" si="235"/>
        <v>1.2251359382849956</v>
      </c>
      <c r="W518" s="304">
        <f t="shared" ca="1" si="236"/>
        <v>7.1888073737555542</v>
      </c>
      <c r="Y518" s="314" t="str">
        <f t="shared" ca="1" si="254"/>
        <v/>
      </c>
      <c r="Z518" s="315" t="str">
        <f t="shared" ca="1" si="255"/>
        <v/>
      </c>
      <c r="AA518" s="316" t="str">
        <f t="shared" ca="1" si="256"/>
        <v/>
      </c>
      <c r="AC518" s="310" t="e">
        <f t="shared" ca="1" si="257"/>
        <v>#N/A</v>
      </c>
      <c r="AD518" s="323" t="e">
        <f t="shared" ca="1" si="258"/>
        <v>#N/A</v>
      </c>
      <c r="AE518" s="324">
        <f t="shared" ca="1" si="237"/>
        <v>-1.1096387173554527</v>
      </c>
      <c r="AG518" s="306">
        <f t="shared" ca="1" si="259"/>
        <v>6.333000330035583</v>
      </c>
      <c r="AH518" s="304">
        <f t="shared" ca="1" si="260"/>
        <v>-3.4489410051392873</v>
      </c>
    </row>
    <row r="519" spans="1:34" x14ac:dyDescent="0.2">
      <c r="A519" s="347">
        <f t="shared" ca="1" si="238"/>
        <v>1E-4</v>
      </c>
      <c r="B519" s="304">
        <f t="shared" ca="1" si="239"/>
        <v>12.021499999999925</v>
      </c>
      <c r="D519" s="306">
        <f t="shared" ca="1" si="240"/>
        <v>-0.26067035235918112</v>
      </c>
      <c r="E519" s="307">
        <f t="shared" ca="1" si="241"/>
        <v>-6.3708373795089202</v>
      </c>
      <c r="F519" s="304">
        <f t="shared" ca="1" si="242"/>
        <v>6.3761679674195495</v>
      </c>
      <c r="G519" s="306">
        <f t="shared" ca="1" si="243"/>
        <v>3.9115935829489716</v>
      </c>
      <c r="H519" s="307">
        <f t="shared" ca="1" si="244"/>
        <v>-51.608715885378743</v>
      </c>
      <c r="I519" s="304">
        <f t="shared" ca="1" si="245"/>
        <v>51.756739848022811</v>
      </c>
      <c r="J519" s="306">
        <f t="shared" ca="1" si="246"/>
        <v>56.288824373840264</v>
      </c>
      <c r="K519" s="307">
        <f t="shared" ca="1" si="247"/>
        <v>-1.1147995570898037</v>
      </c>
      <c r="L519" s="304">
        <f t="shared" ca="1" si="232"/>
        <v>56.299862588122906</v>
      </c>
      <c r="M519" s="306">
        <f t="shared" ca="1" si="248"/>
        <v>-1.4951476883691517</v>
      </c>
      <c r="N519" s="304">
        <f t="shared" ca="1" si="249"/>
        <v>-85.665652292293629</v>
      </c>
      <c r="P519" s="310">
        <f t="shared" ca="1" si="250"/>
        <v>23</v>
      </c>
      <c r="Q519" s="304">
        <f t="shared" ca="1" si="251"/>
        <v>0</v>
      </c>
      <c r="R519" s="306">
        <f t="shared" ca="1" si="252"/>
        <v>0</v>
      </c>
      <c r="S519" s="307">
        <f t="shared" ca="1" si="253"/>
        <v>2.0843000000000003</v>
      </c>
      <c r="T519" s="304">
        <f t="shared" ca="1" si="233"/>
        <v>20.446983000000003</v>
      </c>
      <c r="U519" s="311">
        <f t="shared" ca="1" si="234"/>
        <v>0</v>
      </c>
      <c r="V519" s="306">
        <f t="shared" ca="1" si="235"/>
        <v>1.2251365705581834</v>
      </c>
      <c r="W519" s="304">
        <f t="shared" ca="1" si="236"/>
        <v>7.1889870105165636</v>
      </c>
      <c r="Y519" s="314" t="str">
        <f t="shared" ca="1" si="254"/>
        <v/>
      </c>
      <c r="Z519" s="315" t="str">
        <f t="shared" ca="1" si="255"/>
        <v/>
      </c>
      <c r="AA519" s="316" t="str">
        <f t="shared" ca="1" si="256"/>
        <v/>
      </c>
      <c r="AC519" s="310" t="e">
        <f t="shared" ca="1" si="257"/>
        <v>#N/A</v>
      </c>
      <c r="AD519" s="323" t="e">
        <f t="shared" ca="1" si="258"/>
        <v>#N/A</v>
      </c>
      <c r="AE519" s="324">
        <f t="shared" ca="1" si="237"/>
        <v>-1.1147995570898037</v>
      </c>
      <c r="AG519" s="306">
        <f t="shared" ca="1" si="259"/>
        <v>6.3329152065214087</v>
      </c>
      <c r="AH519" s="304">
        <f t="shared" ca="1" si="260"/>
        <v>-3.4490271907861407</v>
      </c>
    </row>
    <row r="520" spans="1:34" x14ac:dyDescent="0.2">
      <c r="A520" s="347">
        <f t="shared" ca="1" si="238"/>
        <v>1E-4</v>
      </c>
      <c r="B520" s="304">
        <f t="shared" ca="1" si="239"/>
        <v>12.021599999999925</v>
      </c>
      <c r="D520" s="306">
        <f t="shared" ca="1" si="240"/>
        <v>-0.26067193934098926</v>
      </c>
      <c r="E520" s="307">
        <f t="shared" ca="1" si="241"/>
        <v>-6.3707510669353429</v>
      </c>
      <c r="F520" s="304">
        <f t="shared" ca="1" si="242"/>
        <v>6.376081791885797</v>
      </c>
      <c r="G520" s="306">
        <f t="shared" ca="1" si="243"/>
        <v>3.9115675157550376</v>
      </c>
      <c r="H520" s="307">
        <f t="shared" ca="1" si="244"/>
        <v>-51.609352960485438</v>
      </c>
      <c r="I520" s="304">
        <f t="shared" ca="1" si="245"/>
        <v>51.757373131084201</v>
      </c>
      <c r="J520" s="306">
        <f t="shared" ca="1" si="246"/>
        <v>56.288824373840264</v>
      </c>
      <c r="K520" s="307">
        <f t="shared" ca="1" si="247"/>
        <v>-1.119960460532097</v>
      </c>
      <c r="L520" s="304">
        <f t="shared" ca="1" si="232"/>
        <v>56.299965016171981</v>
      </c>
      <c r="M520" s="306">
        <f t="shared" ca="1" si="248"/>
        <v>-1.4951491208327474</v>
      </c>
      <c r="N520" s="304">
        <f t="shared" ca="1" si="249"/>
        <v>-85.665734366411982</v>
      </c>
      <c r="P520" s="310">
        <f t="shared" ca="1" si="250"/>
        <v>23</v>
      </c>
      <c r="Q520" s="304">
        <f t="shared" ca="1" si="251"/>
        <v>0</v>
      </c>
      <c r="R520" s="306">
        <f t="shared" ca="1" si="252"/>
        <v>0</v>
      </c>
      <c r="S520" s="307">
        <f t="shared" ca="1" si="253"/>
        <v>2.0843000000000003</v>
      </c>
      <c r="T520" s="304">
        <f t="shared" ca="1" si="233"/>
        <v>20.446983000000003</v>
      </c>
      <c r="U520" s="311">
        <f t="shared" ca="1" si="234"/>
        <v>0</v>
      </c>
      <c r="V520" s="306">
        <f t="shared" ca="1" si="235"/>
        <v>1.2251372028395029</v>
      </c>
      <c r="W520" s="304">
        <f t="shared" ca="1" si="236"/>
        <v>7.1891666472947602</v>
      </c>
      <c r="Y520" s="314" t="str">
        <f t="shared" ca="1" si="254"/>
        <v/>
      </c>
      <c r="Z520" s="315" t="str">
        <f t="shared" ca="1" si="255"/>
        <v/>
      </c>
      <c r="AA520" s="316" t="str">
        <f t="shared" ca="1" si="256"/>
        <v/>
      </c>
      <c r="AC520" s="310" t="e">
        <f t="shared" ca="1" si="257"/>
        <v>#N/A</v>
      </c>
      <c r="AD520" s="323" t="e">
        <f t="shared" ca="1" si="258"/>
        <v>#N/A</v>
      </c>
      <c r="AE520" s="324">
        <f t="shared" ca="1" si="237"/>
        <v>-1.119960460532097</v>
      </c>
      <c r="AG520" s="306">
        <f t="shared" ca="1" si="259"/>
        <v>6.3328300829458017</v>
      </c>
      <c r="AH520" s="304">
        <f t="shared" ca="1" si="260"/>
        <v>-3.4491133764412814</v>
      </c>
    </row>
    <row r="521" spans="1:34" x14ac:dyDescent="0.2">
      <c r="A521" s="347">
        <f t="shared" ca="1" si="238"/>
        <v>1E-4</v>
      </c>
      <c r="B521" s="304">
        <f t="shared" ca="1" si="239"/>
        <v>12.021699999999925</v>
      </c>
      <c r="D521" s="306">
        <f t="shared" ca="1" si="240"/>
        <v>-0.26067352623006856</v>
      </c>
      <c r="E521" s="307">
        <f t="shared" ca="1" si="241"/>
        <v>-6.3706647543535668</v>
      </c>
      <c r="F521" s="304">
        <f t="shared" ca="1" si="242"/>
        <v>6.3759956163441656</v>
      </c>
      <c r="G521" s="306">
        <f t="shared" ca="1" si="243"/>
        <v>3.9115414484024145</v>
      </c>
      <c r="H521" s="307">
        <f t="shared" ca="1" si="244"/>
        <v>-51.609990026960872</v>
      </c>
      <c r="I521" s="304">
        <f t="shared" ca="1" si="245"/>
        <v>51.758006405633232</v>
      </c>
      <c r="J521" s="306">
        <f t="shared" ca="1" si="246"/>
        <v>56.288824373840264</v>
      </c>
      <c r="K521" s="307">
        <f t="shared" ca="1" si="247"/>
        <v>-1.1251214276814694</v>
      </c>
      <c r="L521" s="304">
        <f t="shared" ca="1" si="232"/>
        <v>56.300067918396529</v>
      </c>
      <c r="M521" s="306">
        <f t="shared" ca="1" si="248"/>
        <v>-1.495150553251744</v>
      </c>
      <c r="N521" s="304">
        <f t="shared" ca="1" si="249"/>
        <v>-85.665816437974968</v>
      </c>
      <c r="P521" s="310">
        <f t="shared" ca="1" si="250"/>
        <v>23</v>
      </c>
      <c r="Q521" s="304">
        <f t="shared" ca="1" si="251"/>
        <v>0</v>
      </c>
      <c r="R521" s="306">
        <f t="shared" ca="1" si="252"/>
        <v>0</v>
      </c>
      <c r="S521" s="307">
        <f t="shared" ca="1" si="253"/>
        <v>2.0843000000000003</v>
      </c>
      <c r="T521" s="304">
        <f t="shared" ca="1" si="233"/>
        <v>20.446983000000003</v>
      </c>
      <c r="U521" s="311">
        <f t="shared" ca="1" si="234"/>
        <v>0</v>
      </c>
      <c r="V521" s="306">
        <f t="shared" ca="1" si="235"/>
        <v>1.2251378351289539</v>
      </c>
      <c r="W521" s="304">
        <f t="shared" ca="1" si="236"/>
        <v>7.1893462840900568</v>
      </c>
      <c r="Y521" s="314" t="str">
        <f t="shared" ca="1" si="254"/>
        <v/>
      </c>
      <c r="Z521" s="315" t="str">
        <f t="shared" ca="1" si="255"/>
        <v/>
      </c>
      <c r="AA521" s="316" t="str">
        <f t="shared" ca="1" si="256"/>
        <v/>
      </c>
      <c r="AC521" s="310" t="e">
        <f t="shared" ca="1" si="257"/>
        <v>#N/A</v>
      </c>
      <c r="AD521" s="323" t="e">
        <f t="shared" ca="1" si="258"/>
        <v>#N/A</v>
      </c>
      <c r="AE521" s="324">
        <f t="shared" ca="1" si="237"/>
        <v>-1.1251214276814694</v>
      </c>
      <c r="AG521" s="306">
        <f t="shared" ca="1" si="259"/>
        <v>6.3327449593088074</v>
      </c>
      <c r="AH521" s="304">
        <f t="shared" ca="1" si="260"/>
        <v>-3.4491995621046678</v>
      </c>
    </row>
    <row r="522" spans="1:34" x14ac:dyDescent="0.2">
      <c r="A522" s="347">
        <f t="shared" ca="1" si="238"/>
        <v>1E-4</v>
      </c>
      <c r="B522" s="304">
        <f t="shared" ca="1" si="239"/>
        <v>12.021799999999924</v>
      </c>
      <c r="D522" s="306">
        <f t="shared" ca="1" si="240"/>
        <v>-0.26067511302641899</v>
      </c>
      <c r="E522" s="307">
        <f t="shared" ca="1" si="241"/>
        <v>-6.370578441763632</v>
      </c>
      <c r="F522" s="304">
        <f t="shared" ca="1" si="242"/>
        <v>6.3759094407946924</v>
      </c>
      <c r="G522" s="306">
        <f t="shared" ca="1" si="243"/>
        <v>3.9115153808911116</v>
      </c>
      <c r="H522" s="307">
        <f t="shared" ca="1" si="244"/>
        <v>-51.610627084805046</v>
      </c>
      <c r="I522" s="304">
        <f t="shared" ca="1" si="245"/>
        <v>51.75863967166989</v>
      </c>
      <c r="J522" s="306">
        <f t="shared" ca="1" si="246"/>
        <v>56.288824373840264</v>
      </c>
      <c r="K522" s="307">
        <f t="shared" ca="1" si="247"/>
        <v>-1.1302824585370577</v>
      </c>
      <c r="L522" s="304">
        <f t="shared" ca="1" si="232"/>
        <v>56.300171294811442</v>
      </c>
      <c r="M522" s="306">
        <f t="shared" ca="1" si="248"/>
        <v>-1.4951519856261435</v>
      </c>
      <c r="N522" s="304">
        <f t="shared" ca="1" si="249"/>
        <v>-85.665898506982742</v>
      </c>
      <c r="P522" s="310">
        <f t="shared" ca="1" si="250"/>
        <v>23</v>
      </c>
      <c r="Q522" s="304">
        <f t="shared" ca="1" si="251"/>
        <v>0</v>
      </c>
      <c r="R522" s="306">
        <f t="shared" ca="1" si="252"/>
        <v>0</v>
      </c>
      <c r="S522" s="307">
        <f t="shared" ca="1" si="253"/>
        <v>2.0843000000000003</v>
      </c>
      <c r="T522" s="304">
        <f t="shared" ca="1" si="233"/>
        <v>20.446983000000003</v>
      </c>
      <c r="U522" s="311">
        <f t="shared" ca="1" si="234"/>
        <v>0</v>
      </c>
      <c r="V522" s="306">
        <f t="shared" ca="1" si="235"/>
        <v>1.225138467426536</v>
      </c>
      <c r="W522" s="304">
        <f t="shared" ca="1" si="236"/>
        <v>7.1895259209023674</v>
      </c>
      <c r="Y522" s="314" t="str">
        <f t="shared" ca="1" si="254"/>
        <v/>
      </c>
      <c r="Z522" s="315" t="str">
        <f t="shared" ca="1" si="255"/>
        <v/>
      </c>
      <c r="AA522" s="316" t="str">
        <f t="shared" ca="1" si="256"/>
        <v/>
      </c>
      <c r="AC522" s="310" t="e">
        <f t="shared" ca="1" si="257"/>
        <v>#N/A</v>
      </c>
      <c r="AD522" s="323" t="e">
        <f t="shared" ca="1" si="258"/>
        <v>#N/A</v>
      </c>
      <c r="AE522" s="324">
        <f t="shared" ca="1" si="237"/>
        <v>-1.1302824585370577</v>
      </c>
      <c r="AG522" s="306">
        <f t="shared" ca="1" si="259"/>
        <v>6.3326598356104729</v>
      </c>
      <c r="AH522" s="304">
        <f t="shared" ca="1" si="260"/>
        <v>-3.4492857477762588</v>
      </c>
    </row>
    <row r="523" spans="1:34" x14ac:dyDescent="0.2">
      <c r="A523" s="347">
        <f t="shared" ca="1" si="238"/>
        <v>1E-4</v>
      </c>
      <c r="B523" s="304">
        <f t="shared" ca="1" si="239"/>
        <v>12.021899999999924</v>
      </c>
      <c r="D523" s="306">
        <f t="shared" ca="1" si="240"/>
        <v>-0.26067669973004132</v>
      </c>
      <c r="E523" s="307">
        <f t="shared" ca="1" si="241"/>
        <v>-6.3704921291655809</v>
      </c>
      <c r="F523" s="304">
        <f t="shared" ca="1" si="242"/>
        <v>6.3758232652374209</v>
      </c>
      <c r="G523" s="306">
        <f t="shared" ca="1" si="243"/>
        <v>3.9114893132211388</v>
      </c>
      <c r="H523" s="307">
        <f t="shared" ca="1" si="244"/>
        <v>-51.611264134017965</v>
      </c>
      <c r="I523" s="304">
        <f t="shared" ca="1" si="245"/>
        <v>51.759272929194168</v>
      </c>
      <c r="J523" s="306">
        <f t="shared" ca="1" si="246"/>
        <v>56.288824373840264</v>
      </c>
      <c r="K523" s="307">
        <f t="shared" ca="1" si="247"/>
        <v>-1.1354435530979987</v>
      </c>
      <c r="L523" s="304">
        <f t="shared" ca="1" si="232"/>
        <v>56.30027514543162</v>
      </c>
      <c r="M523" s="306">
        <f t="shared" ca="1" si="248"/>
        <v>-1.4951534179559478</v>
      </c>
      <c r="N523" s="304">
        <f t="shared" ca="1" si="249"/>
        <v>-85.665980573435405</v>
      </c>
      <c r="P523" s="310">
        <f t="shared" ca="1" si="250"/>
        <v>23</v>
      </c>
      <c r="Q523" s="304">
        <f t="shared" ca="1" si="251"/>
        <v>0</v>
      </c>
      <c r="R523" s="306">
        <f t="shared" ca="1" si="252"/>
        <v>0</v>
      </c>
      <c r="S523" s="307">
        <f t="shared" ca="1" si="253"/>
        <v>2.0843000000000003</v>
      </c>
      <c r="T523" s="304">
        <f t="shared" ca="1" si="233"/>
        <v>20.446983000000003</v>
      </c>
      <c r="U523" s="311">
        <f t="shared" ca="1" si="234"/>
        <v>0</v>
      </c>
      <c r="V523" s="306">
        <f t="shared" ca="1" si="235"/>
        <v>1.2251390997322495</v>
      </c>
      <c r="W523" s="304">
        <f t="shared" ca="1" si="236"/>
        <v>7.1897055577316085</v>
      </c>
      <c r="Y523" s="314" t="str">
        <f t="shared" ca="1" si="254"/>
        <v/>
      </c>
      <c r="Z523" s="315" t="str">
        <f t="shared" ca="1" si="255"/>
        <v/>
      </c>
      <c r="AA523" s="316" t="str">
        <f t="shared" ca="1" si="256"/>
        <v/>
      </c>
      <c r="AC523" s="310" t="e">
        <f t="shared" ca="1" si="257"/>
        <v>#N/A</v>
      </c>
      <c r="AD523" s="323" t="e">
        <f t="shared" ca="1" si="258"/>
        <v>#N/A</v>
      </c>
      <c r="AE523" s="324">
        <f t="shared" ca="1" si="237"/>
        <v>-1.1354435530979987</v>
      </c>
      <c r="AG523" s="306">
        <f t="shared" ca="1" si="259"/>
        <v>6.3325747118508424</v>
      </c>
      <c r="AH523" s="304">
        <f t="shared" ca="1" si="260"/>
        <v>-3.4493719334560122</v>
      </c>
    </row>
    <row r="524" spans="1:34" x14ac:dyDescent="0.2">
      <c r="A524" s="347">
        <f t="shared" ca="1" si="238"/>
        <v>1E-4</v>
      </c>
      <c r="B524" s="304">
        <f t="shared" ca="1" si="239"/>
        <v>12.021999999999924</v>
      </c>
      <c r="D524" s="306">
        <f t="shared" ca="1" si="240"/>
        <v>-0.26067828634093781</v>
      </c>
      <c r="E524" s="307">
        <f t="shared" ca="1" si="241"/>
        <v>-6.3704058165594528</v>
      </c>
      <c r="F524" s="304">
        <f t="shared" ca="1" si="242"/>
        <v>6.3757370896723895</v>
      </c>
      <c r="G524" s="306">
        <f t="shared" ca="1" si="243"/>
        <v>3.9114632453925049</v>
      </c>
      <c r="H524" s="307">
        <f t="shared" ca="1" si="244"/>
        <v>-51.611901174599623</v>
      </c>
      <c r="I524" s="304">
        <f t="shared" ca="1" si="245"/>
        <v>51.759906178206066</v>
      </c>
      <c r="J524" s="306">
        <f t="shared" ca="1" si="246"/>
        <v>56.288824373840264</v>
      </c>
      <c r="K524" s="307">
        <f t="shared" ca="1" si="247"/>
        <v>-1.1406047113634297</v>
      </c>
      <c r="L524" s="304">
        <f t="shared" ca="1" si="232"/>
        <v>56.300379470271942</v>
      </c>
      <c r="M524" s="306">
        <f t="shared" ca="1" si="248"/>
        <v>-1.4951548502411596</v>
      </c>
      <c r="N524" s="304">
        <f t="shared" ca="1" si="249"/>
        <v>-85.666062637333098</v>
      </c>
      <c r="P524" s="310">
        <f t="shared" ca="1" si="250"/>
        <v>23</v>
      </c>
      <c r="Q524" s="304">
        <f t="shared" ca="1" si="251"/>
        <v>0</v>
      </c>
      <c r="R524" s="306">
        <f t="shared" ca="1" si="252"/>
        <v>0</v>
      </c>
      <c r="S524" s="307">
        <f t="shared" ca="1" si="253"/>
        <v>2.0843000000000003</v>
      </c>
      <c r="T524" s="304">
        <f t="shared" ca="1" si="233"/>
        <v>20.446983000000003</v>
      </c>
      <c r="U524" s="311">
        <f t="shared" ca="1" si="234"/>
        <v>0</v>
      </c>
      <c r="V524" s="306">
        <f t="shared" ca="1" si="235"/>
        <v>1.2251397320460935</v>
      </c>
      <c r="W524" s="304">
        <f t="shared" ca="1" si="236"/>
        <v>7.1898851945776894</v>
      </c>
      <c r="Y524" s="314" t="str">
        <f t="shared" ca="1" si="254"/>
        <v/>
      </c>
      <c r="Z524" s="315" t="str">
        <f t="shared" ca="1" si="255"/>
        <v/>
      </c>
      <c r="AA524" s="316" t="str">
        <f t="shared" ca="1" si="256"/>
        <v/>
      </c>
      <c r="AC524" s="310" t="e">
        <f t="shared" ca="1" si="257"/>
        <v>#N/A</v>
      </c>
      <c r="AD524" s="323" t="e">
        <f t="shared" ca="1" si="258"/>
        <v>#N/A</v>
      </c>
      <c r="AE524" s="324">
        <f t="shared" ca="1" si="237"/>
        <v>-1.1406047113634297</v>
      </c>
      <c r="AG524" s="306">
        <f t="shared" ca="1" si="259"/>
        <v>6.3324895880299561</v>
      </c>
      <c r="AH524" s="304">
        <f t="shared" ca="1" si="260"/>
        <v>-3.4494581191438889</v>
      </c>
    </row>
    <row r="525" spans="1:34" x14ac:dyDescent="0.2">
      <c r="A525" s="347">
        <f t="shared" ca="1" si="238"/>
        <v>1E-4</v>
      </c>
      <c r="B525" s="304">
        <f t="shared" ca="1" si="239"/>
        <v>12.022099999999924</v>
      </c>
      <c r="D525" s="306">
        <f t="shared" ca="1" si="240"/>
        <v>-0.2606798728591076</v>
      </c>
      <c r="E525" s="307">
        <f t="shared" ca="1" si="241"/>
        <v>-6.3703195039452911</v>
      </c>
      <c r="F525" s="304">
        <f t="shared" ca="1" si="242"/>
        <v>6.3756509140996434</v>
      </c>
      <c r="G525" s="306">
        <f t="shared" ca="1" si="243"/>
        <v>3.9114371774052188</v>
      </c>
      <c r="H525" s="307">
        <f t="shared" ca="1" si="244"/>
        <v>-51.61253820655002</v>
      </c>
      <c r="I525" s="304">
        <f t="shared" ca="1" si="245"/>
        <v>51.760539418705577</v>
      </c>
      <c r="J525" s="306">
        <f t="shared" ca="1" si="246"/>
        <v>56.288824373840264</v>
      </c>
      <c r="K525" s="307">
        <f t="shared" ca="1" si="247"/>
        <v>-1.1457659333324872</v>
      </c>
      <c r="L525" s="304">
        <f t="shared" ca="1" si="232"/>
        <v>56.300484269347265</v>
      </c>
      <c r="M525" s="306">
        <f t="shared" ca="1" si="248"/>
        <v>-1.4951562824817806</v>
      </c>
      <c r="N525" s="304">
        <f t="shared" ca="1" si="249"/>
        <v>-85.666144698675936</v>
      </c>
      <c r="P525" s="310">
        <f t="shared" ca="1" si="250"/>
        <v>23</v>
      </c>
      <c r="Q525" s="304">
        <f t="shared" ca="1" si="251"/>
        <v>0</v>
      </c>
      <c r="R525" s="306">
        <f t="shared" ca="1" si="252"/>
        <v>0</v>
      </c>
      <c r="S525" s="307">
        <f t="shared" ca="1" si="253"/>
        <v>2.0843000000000003</v>
      </c>
      <c r="T525" s="304">
        <f t="shared" ca="1" si="233"/>
        <v>20.446983000000003</v>
      </c>
      <c r="U525" s="311">
        <f t="shared" ca="1" si="234"/>
        <v>0</v>
      </c>
      <c r="V525" s="306">
        <f t="shared" ca="1" si="235"/>
        <v>1.2251403643680687</v>
      </c>
      <c r="W525" s="304">
        <f t="shared" ca="1" si="236"/>
        <v>7.1900648314405302</v>
      </c>
      <c r="Y525" s="314" t="str">
        <f t="shared" ca="1" si="254"/>
        <v/>
      </c>
      <c r="Z525" s="315" t="str">
        <f t="shared" ca="1" si="255"/>
        <v/>
      </c>
      <c r="AA525" s="316" t="str">
        <f t="shared" ca="1" si="256"/>
        <v/>
      </c>
      <c r="AC525" s="310" t="e">
        <f t="shared" ca="1" si="257"/>
        <v>#N/A</v>
      </c>
      <c r="AD525" s="323" t="e">
        <f t="shared" ca="1" si="258"/>
        <v>#N/A</v>
      </c>
      <c r="AE525" s="324">
        <f t="shared" ca="1" si="237"/>
        <v>-1.1457659333324872</v>
      </c>
      <c r="AG525" s="306">
        <f t="shared" ca="1" si="259"/>
        <v>6.3324044641478672</v>
      </c>
      <c r="AH525" s="304">
        <f t="shared" ca="1" si="260"/>
        <v>-3.4495443048398449</v>
      </c>
    </row>
    <row r="526" spans="1:34" x14ac:dyDescent="0.2">
      <c r="A526" s="347">
        <f t="shared" ca="1" si="238"/>
        <v>1E-4</v>
      </c>
      <c r="B526" s="304">
        <f t="shared" ca="1" si="239"/>
        <v>12.022199999999923</v>
      </c>
      <c r="D526" s="306">
        <f t="shared" ca="1" si="240"/>
        <v>-0.260681459284553</v>
      </c>
      <c r="E526" s="307">
        <f t="shared" ca="1" si="241"/>
        <v>-6.3702331913231358</v>
      </c>
      <c r="F526" s="304">
        <f t="shared" ca="1" si="242"/>
        <v>6.3755647385192216</v>
      </c>
      <c r="G526" s="306">
        <f t="shared" ca="1" si="243"/>
        <v>3.9114111092592903</v>
      </c>
      <c r="H526" s="307">
        <f t="shared" ca="1" si="244"/>
        <v>-51.61317522986915</v>
      </c>
      <c r="I526" s="304">
        <f t="shared" ca="1" si="245"/>
        <v>51.761172650692679</v>
      </c>
      <c r="J526" s="306">
        <f t="shared" ca="1" si="246"/>
        <v>56.288824373840264</v>
      </c>
      <c r="K526" s="307">
        <f t="shared" ca="1" si="247"/>
        <v>-1.1509272190043083</v>
      </c>
      <c r="L526" s="304">
        <f t="shared" ca="1" si="232"/>
        <v>56.300589542672455</v>
      </c>
      <c r="M526" s="306">
        <f t="shared" ca="1" si="248"/>
        <v>-1.4951577146778132</v>
      </c>
      <c r="N526" s="304">
        <f t="shared" ca="1" si="249"/>
        <v>-85.666226757464031</v>
      </c>
      <c r="P526" s="310">
        <f t="shared" ca="1" si="250"/>
        <v>23</v>
      </c>
      <c r="Q526" s="304">
        <f t="shared" ca="1" si="251"/>
        <v>0</v>
      </c>
      <c r="R526" s="306">
        <f t="shared" ca="1" si="252"/>
        <v>0</v>
      </c>
      <c r="S526" s="307">
        <f t="shared" ca="1" si="253"/>
        <v>2.0843000000000003</v>
      </c>
      <c r="T526" s="304">
        <f t="shared" ca="1" si="233"/>
        <v>20.446983000000003</v>
      </c>
      <c r="U526" s="311">
        <f t="shared" ca="1" si="234"/>
        <v>0</v>
      </c>
      <c r="V526" s="306">
        <f t="shared" ca="1" si="235"/>
        <v>1.2251409966981752</v>
      </c>
      <c r="W526" s="304">
        <f t="shared" ca="1" si="236"/>
        <v>7.1902444683200404</v>
      </c>
      <c r="Y526" s="314" t="str">
        <f t="shared" ca="1" si="254"/>
        <v/>
      </c>
      <c r="Z526" s="315" t="str">
        <f t="shared" ca="1" si="255"/>
        <v/>
      </c>
      <c r="AA526" s="316" t="str">
        <f t="shared" ca="1" si="256"/>
        <v/>
      </c>
      <c r="AC526" s="310" t="e">
        <f t="shared" ca="1" si="257"/>
        <v>#N/A</v>
      </c>
      <c r="AD526" s="323" t="e">
        <f t="shared" ca="1" si="258"/>
        <v>#N/A</v>
      </c>
      <c r="AE526" s="324">
        <f t="shared" ca="1" si="237"/>
        <v>-1.1509272190043083</v>
      </c>
      <c r="AG526" s="306">
        <f t="shared" ca="1" si="259"/>
        <v>6.3323193402046147</v>
      </c>
      <c r="AH526" s="304">
        <f t="shared" ca="1" si="260"/>
        <v>-3.4496304905438415</v>
      </c>
    </row>
    <row r="527" spans="1:34" x14ac:dyDescent="0.2">
      <c r="A527" s="347">
        <f t="shared" ca="1" si="238"/>
        <v>1E-4</v>
      </c>
      <c r="B527" s="304">
        <f t="shared" ca="1" si="239"/>
        <v>12.022299999999923</v>
      </c>
      <c r="D527" s="306">
        <f t="shared" ca="1" si="240"/>
        <v>-0.26068304561727396</v>
      </c>
      <c r="E527" s="307">
        <f t="shared" ca="1" si="241"/>
        <v>-6.3701468786930286</v>
      </c>
      <c r="F527" s="304">
        <f t="shared" ca="1" si="242"/>
        <v>6.375478562931165</v>
      </c>
      <c r="G527" s="306">
        <f t="shared" ca="1" si="243"/>
        <v>3.9113850409547286</v>
      </c>
      <c r="H527" s="307">
        <f t="shared" ca="1" si="244"/>
        <v>-51.613812244557018</v>
      </c>
      <c r="I527" s="304">
        <f t="shared" ca="1" si="245"/>
        <v>51.761805874167379</v>
      </c>
      <c r="J527" s="306">
        <f t="shared" ca="1" si="246"/>
        <v>56.288824373840264</v>
      </c>
      <c r="K527" s="307">
        <f t="shared" ca="1" si="247"/>
        <v>-1.1560885683780295</v>
      </c>
      <c r="L527" s="304">
        <f t="shared" ca="1" si="232"/>
        <v>56.30069529026234</v>
      </c>
      <c r="M527" s="306">
        <f t="shared" ca="1" si="248"/>
        <v>-1.4951591468292595</v>
      </c>
      <c r="N527" s="304">
        <f t="shared" ca="1" si="249"/>
        <v>-85.66630881369754</v>
      </c>
      <c r="P527" s="310">
        <f t="shared" ca="1" si="250"/>
        <v>23</v>
      </c>
      <c r="Q527" s="304">
        <f t="shared" ca="1" si="251"/>
        <v>0</v>
      </c>
      <c r="R527" s="306">
        <f t="shared" ca="1" si="252"/>
        <v>0</v>
      </c>
      <c r="S527" s="307">
        <f t="shared" ca="1" si="253"/>
        <v>2.0843000000000003</v>
      </c>
      <c r="T527" s="304">
        <f t="shared" ca="1" si="233"/>
        <v>20.446983000000003</v>
      </c>
      <c r="U527" s="311">
        <f t="shared" ca="1" si="234"/>
        <v>0</v>
      </c>
      <c r="V527" s="306">
        <f t="shared" ca="1" si="235"/>
        <v>1.2251416290364121</v>
      </c>
      <c r="W527" s="304">
        <f t="shared" ca="1" si="236"/>
        <v>7.1904241052161355</v>
      </c>
      <c r="Y527" s="314" t="str">
        <f t="shared" ca="1" si="254"/>
        <v/>
      </c>
      <c r="Z527" s="315" t="str">
        <f t="shared" ca="1" si="255"/>
        <v/>
      </c>
      <c r="AA527" s="316" t="str">
        <f t="shared" ca="1" si="256"/>
        <v/>
      </c>
      <c r="AC527" s="310" t="e">
        <f t="shared" ca="1" si="257"/>
        <v>#N/A</v>
      </c>
      <c r="AD527" s="323" t="e">
        <f t="shared" ca="1" si="258"/>
        <v>#N/A</v>
      </c>
      <c r="AE527" s="324">
        <f t="shared" ca="1" si="237"/>
        <v>-1.1560885683780295</v>
      </c>
      <c r="AG527" s="306">
        <f t="shared" ca="1" si="259"/>
        <v>6.3322342162002432</v>
      </c>
      <c r="AH527" s="304">
        <f t="shared" ca="1" si="260"/>
        <v>-3.4497166762558362</v>
      </c>
    </row>
    <row r="528" spans="1:34" x14ac:dyDescent="0.2">
      <c r="A528" s="347">
        <f t="shared" ca="1" si="238"/>
        <v>1E-4</v>
      </c>
      <c r="B528" s="304">
        <f t="shared" ca="1" si="239"/>
        <v>12.022399999999923</v>
      </c>
      <c r="D528" s="306">
        <f t="shared" ca="1" si="240"/>
        <v>-0.26068463185727192</v>
      </c>
      <c r="E528" s="307">
        <f t="shared" ca="1" si="241"/>
        <v>-6.3700605660550114</v>
      </c>
      <c r="F528" s="304">
        <f t="shared" ca="1" si="242"/>
        <v>6.3753923873355163</v>
      </c>
      <c r="G528" s="306">
        <f t="shared" ca="1" si="243"/>
        <v>3.9113589724915427</v>
      </c>
      <c r="H528" s="307">
        <f t="shared" ca="1" si="244"/>
        <v>-51.614449250613625</v>
      </c>
      <c r="I528" s="304">
        <f t="shared" ca="1" si="245"/>
        <v>51.762439089129678</v>
      </c>
      <c r="J528" s="306">
        <f t="shared" ca="1" si="246"/>
        <v>56.288824373840264</v>
      </c>
      <c r="K528" s="307">
        <f t="shared" ca="1" si="247"/>
        <v>-1.1612499814527881</v>
      </c>
      <c r="L528" s="304">
        <f t="shared" ca="1" si="232"/>
        <v>56.300801512131763</v>
      </c>
      <c r="M528" s="306">
        <f t="shared" ca="1" si="248"/>
        <v>-1.4951605789361218</v>
      </c>
      <c r="N528" s="304">
        <f t="shared" ca="1" si="249"/>
        <v>-85.666390867376549</v>
      </c>
      <c r="P528" s="310">
        <f t="shared" ca="1" si="250"/>
        <v>23</v>
      </c>
      <c r="Q528" s="304">
        <f t="shared" ca="1" si="251"/>
        <v>0</v>
      </c>
      <c r="R528" s="306">
        <f t="shared" ca="1" si="252"/>
        <v>0</v>
      </c>
      <c r="S528" s="307">
        <f t="shared" ca="1" si="253"/>
        <v>2.0843000000000003</v>
      </c>
      <c r="T528" s="304">
        <f t="shared" ca="1" si="233"/>
        <v>20.446983000000003</v>
      </c>
      <c r="U528" s="311">
        <f t="shared" ca="1" si="234"/>
        <v>0</v>
      </c>
      <c r="V528" s="306">
        <f t="shared" ca="1" si="235"/>
        <v>1.2251422613827796</v>
      </c>
      <c r="W528" s="304">
        <f t="shared" ca="1" si="236"/>
        <v>7.1906037421287285</v>
      </c>
      <c r="Y528" s="314" t="str">
        <f t="shared" ca="1" si="254"/>
        <v/>
      </c>
      <c r="Z528" s="315" t="str">
        <f t="shared" ca="1" si="255"/>
        <v/>
      </c>
      <c r="AA528" s="316" t="str">
        <f t="shared" ca="1" si="256"/>
        <v/>
      </c>
      <c r="AC528" s="310" t="e">
        <f t="shared" ca="1" si="257"/>
        <v>#N/A</v>
      </c>
      <c r="AD528" s="323" t="e">
        <f t="shared" ca="1" si="258"/>
        <v>#N/A</v>
      </c>
      <c r="AE528" s="324">
        <f t="shared" ca="1" si="237"/>
        <v>-1.1612499814527881</v>
      </c>
      <c r="AG528" s="306">
        <f t="shared" ca="1" si="259"/>
        <v>6.3321490921347978</v>
      </c>
      <c r="AH528" s="304">
        <f t="shared" ca="1" si="260"/>
        <v>-3.4498028619757877</v>
      </c>
    </row>
    <row r="529" spans="1:34" x14ac:dyDescent="0.2">
      <c r="A529" s="347">
        <f t="shared" ca="1" si="238"/>
        <v>1E-4</v>
      </c>
      <c r="B529" s="304">
        <f t="shared" ca="1" si="239"/>
        <v>12.022499999999923</v>
      </c>
      <c r="D529" s="306">
        <f t="shared" ca="1" si="240"/>
        <v>-0.26068621800454767</v>
      </c>
      <c r="E529" s="307">
        <f t="shared" ca="1" si="241"/>
        <v>-6.3699742534091248</v>
      </c>
      <c r="F529" s="304">
        <f t="shared" ca="1" si="242"/>
        <v>6.3753062117323154</v>
      </c>
      <c r="G529" s="306">
        <f t="shared" ca="1" si="243"/>
        <v>3.9113329038697424</v>
      </c>
      <c r="H529" s="307">
        <f t="shared" ca="1" si="244"/>
        <v>-51.615086248038963</v>
      </c>
      <c r="I529" s="304">
        <f t="shared" ca="1" si="245"/>
        <v>51.763072295579548</v>
      </c>
      <c r="J529" s="306">
        <f t="shared" ca="1" si="246"/>
        <v>56.288824373840264</v>
      </c>
      <c r="K529" s="307">
        <f t="shared" ca="1" si="247"/>
        <v>-1.1664114582277207</v>
      </c>
      <c r="L529" s="304">
        <f t="shared" ca="1" si="232"/>
        <v>56.300908208295525</v>
      </c>
      <c r="M529" s="306">
        <f t="shared" ca="1" si="248"/>
        <v>-1.4951620109984018</v>
      </c>
      <c r="N529" s="304">
        <f t="shared" ca="1" si="249"/>
        <v>-85.666472918501199</v>
      </c>
      <c r="P529" s="310">
        <f t="shared" ca="1" si="250"/>
        <v>23</v>
      </c>
      <c r="Q529" s="304">
        <f t="shared" ca="1" si="251"/>
        <v>0</v>
      </c>
      <c r="R529" s="306">
        <f t="shared" ca="1" si="252"/>
        <v>0</v>
      </c>
      <c r="S529" s="307">
        <f t="shared" ca="1" si="253"/>
        <v>2.0843000000000003</v>
      </c>
      <c r="T529" s="304">
        <f t="shared" ca="1" si="233"/>
        <v>20.446983000000003</v>
      </c>
      <c r="U529" s="311">
        <f t="shared" ca="1" si="234"/>
        <v>0</v>
      </c>
      <c r="V529" s="306">
        <f t="shared" ca="1" si="235"/>
        <v>1.2251428937372775</v>
      </c>
      <c r="W529" s="304">
        <f t="shared" ca="1" si="236"/>
        <v>7.1907833790577316</v>
      </c>
      <c r="Y529" s="314" t="str">
        <f t="shared" ca="1" si="254"/>
        <v/>
      </c>
      <c r="Z529" s="315" t="str">
        <f t="shared" ca="1" si="255"/>
        <v/>
      </c>
      <c r="AA529" s="316" t="str">
        <f t="shared" ca="1" si="256"/>
        <v/>
      </c>
      <c r="AC529" s="310" t="e">
        <f t="shared" ca="1" si="257"/>
        <v>#N/A</v>
      </c>
      <c r="AD529" s="323" t="e">
        <f t="shared" ca="1" si="258"/>
        <v>#N/A</v>
      </c>
      <c r="AE529" s="324">
        <f t="shared" ca="1" si="237"/>
        <v>-1.1664114582277207</v>
      </c>
      <c r="AG529" s="306">
        <f t="shared" ca="1" si="259"/>
        <v>6.3320639680083257</v>
      </c>
      <c r="AH529" s="304">
        <f t="shared" ca="1" si="260"/>
        <v>-3.4498890477036546</v>
      </c>
    </row>
    <row r="530" spans="1:34" x14ac:dyDescent="0.2">
      <c r="A530" s="347">
        <f t="shared" ca="1" si="238"/>
        <v>1E-4</v>
      </c>
      <c r="B530" s="304">
        <f t="shared" ca="1" si="239"/>
        <v>12.022599999999922</v>
      </c>
      <c r="D530" s="306">
        <f t="shared" ca="1" si="240"/>
        <v>-0.26068780405910258</v>
      </c>
      <c r="E530" s="307">
        <f t="shared" ca="1" si="241"/>
        <v>-6.3698879407554116</v>
      </c>
      <c r="F530" s="304">
        <f t="shared" ca="1" si="242"/>
        <v>6.3752200361216067</v>
      </c>
      <c r="G530" s="306">
        <f t="shared" ca="1" si="243"/>
        <v>3.9113068350893365</v>
      </c>
      <c r="H530" s="307">
        <f t="shared" ca="1" si="244"/>
        <v>-51.615723236833041</v>
      </c>
      <c r="I530" s="304">
        <f t="shared" ca="1" si="245"/>
        <v>51.763705493517008</v>
      </c>
      <c r="J530" s="306">
        <f t="shared" ca="1" si="246"/>
        <v>56.288824373840264</v>
      </c>
      <c r="K530" s="307">
        <f t="shared" ca="1" si="247"/>
        <v>-1.1715729987019643</v>
      </c>
      <c r="L530" s="304">
        <f t="shared" ca="1" si="232"/>
        <v>56.301015378768447</v>
      </c>
      <c r="M530" s="306">
        <f t="shared" ca="1" si="248"/>
        <v>-1.4951634430161023</v>
      </c>
      <c r="N530" s="304">
        <f t="shared" ca="1" si="249"/>
        <v>-85.666554967071619</v>
      </c>
      <c r="P530" s="310">
        <f t="shared" ca="1" si="250"/>
        <v>23</v>
      </c>
      <c r="Q530" s="304">
        <f t="shared" ca="1" si="251"/>
        <v>0</v>
      </c>
      <c r="R530" s="306">
        <f t="shared" ca="1" si="252"/>
        <v>0</v>
      </c>
      <c r="S530" s="307">
        <f t="shared" ca="1" si="253"/>
        <v>2.0843000000000003</v>
      </c>
      <c r="T530" s="304">
        <f t="shared" ca="1" si="233"/>
        <v>20.446983000000003</v>
      </c>
      <c r="U530" s="311">
        <f t="shared" ca="1" si="234"/>
        <v>0</v>
      </c>
      <c r="V530" s="306">
        <f t="shared" ca="1" si="235"/>
        <v>1.225143526099906</v>
      </c>
      <c r="W530" s="304">
        <f t="shared" ca="1" si="236"/>
        <v>7.1909630160030664</v>
      </c>
      <c r="Y530" s="314" t="str">
        <f t="shared" ca="1" si="254"/>
        <v/>
      </c>
      <c r="Z530" s="315" t="str">
        <f t="shared" ca="1" si="255"/>
        <v/>
      </c>
      <c r="AA530" s="316" t="str">
        <f t="shared" ca="1" si="256"/>
        <v/>
      </c>
      <c r="AC530" s="310" t="e">
        <f t="shared" ca="1" si="257"/>
        <v>#N/A</v>
      </c>
      <c r="AD530" s="323" t="e">
        <f t="shared" ca="1" si="258"/>
        <v>#N/A</v>
      </c>
      <c r="AE530" s="324">
        <f t="shared" ca="1" si="237"/>
        <v>-1.1715729987019643</v>
      </c>
      <c r="AG530" s="306">
        <f t="shared" ca="1" si="259"/>
        <v>6.3319788438208704</v>
      </c>
      <c r="AH530" s="304">
        <f t="shared" ca="1" si="260"/>
        <v>-3.4499752334393947</v>
      </c>
    </row>
    <row r="531" spans="1:34" x14ac:dyDescent="0.2">
      <c r="A531" s="347">
        <f t="shared" ca="1" si="238"/>
        <v>1E-4</v>
      </c>
      <c r="B531" s="304">
        <f t="shared" ca="1" si="239"/>
        <v>12.022699999999922</v>
      </c>
      <c r="D531" s="306">
        <f t="shared" ca="1" si="240"/>
        <v>-0.26068939002093683</v>
      </c>
      <c r="E531" s="307">
        <f t="shared" ca="1" si="241"/>
        <v>-6.3698016280939083</v>
      </c>
      <c r="F531" s="304">
        <f t="shared" ca="1" si="242"/>
        <v>6.375133860503424</v>
      </c>
      <c r="G531" s="306">
        <f t="shared" ca="1" si="243"/>
        <v>3.9112807661503344</v>
      </c>
      <c r="H531" s="307">
        <f t="shared" ca="1" si="244"/>
        <v>-51.616360216995851</v>
      </c>
      <c r="I531" s="304">
        <f t="shared" ca="1" si="245"/>
        <v>51.764338682942039</v>
      </c>
      <c r="J531" s="306">
        <f t="shared" ca="1" si="246"/>
        <v>56.288824373840264</v>
      </c>
      <c r="K531" s="307">
        <f t="shared" ca="1" si="247"/>
        <v>-1.1767346028746557</v>
      </c>
      <c r="L531" s="304">
        <f t="shared" ca="1" si="232"/>
        <v>56.301123023565317</v>
      </c>
      <c r="M531" s="306">
        <f t="shared" ca="1" si="248"/>
        <v>-1.495164874989225</v>
      </c>
      <c r="N531" s="304">
        <f t="shared" ca="1" si="249"/>
        <v>-85.666637013087936</v>
      </c>
      <c r="P531" s="310">
        <f t="shared" ca="1" si="250"/>
        <v>23</v>
      </c>
      <c r="Q531" s="304">
        <f t="shared" ca="1" si="251"/>
        <v>0</v>
      </c>
      <c r="R531" s="306">
        <f t="shared" ca="1" si="252"/>
        <v>0</v>
      </c>
      <c r="S531" s="307">
        <f t="shared" ca="1" si="253"/>
        <v>2.0843000000000003</v>
      </c>
      <c r="T531" s="304">
        <f t="shared" ca="1" si="233"/>
        <v>20.446983000000003</v>
      </c>
      <c r="U531" s="311">
        <f t="shared" ca="1" si="234"/>
        <v>0</v>
      </c>
      <c r="V531" s="306">
        <f t="shared" ca="1" si="235"/>
        <v>1.2251441584706655</v>
      </c>
      <c r="W531" s="304">
        <f t="shared" ca="1" si="236"/>
        <v>7.1911426529646461</v>
      </c>
      <c r="Y531" s="314" t="str">
        <f t="shared" ca="1" si="254"/>
        <v/>
      </c>
      <c r="Z531" s="315" t="str">
        <f t="shared" ca="1" si="255"/>
        <v/>
      </c>
      <c r="AA531" s="316" t="str">
        <f t="shared" ca="1" si="256"/>
        <v/>
      </c>
      <c r="AC531" s="310" t="e">
        <f t="shared" ca="1" si="257"/>
        <v>#N/A</v>
      </c>
      <c r="AD531" s="323" t="e">
        <f t="shared" ca="1" si="258"/>
        <v>#N/A</v>
      </c>
      <c r="AE531" s="324">
        <f t="shared" ca="1" si="237"/>
        <v>-1.1767346028746557</v>
      </c>
      <c r="AG531" s="306">
        <f t="shared" ca="1" si="259"/>
        <v>6.3318937195724736</v>
      </c>
      <c r="AH531" s="304">
        <f t="shared" ca="1" si="260"/>
        <v>-3.4500614191829704</v>
      </c>
    </row>
    <row r="532" spans="1:34" x14ac:dyDescent="0.2">
      <c r="A532" s="347">
        <f t="shared" ca="1" si="238"/>
        <v>1E-4</v>
      </c>
      <c r="B532" s="304">
        <f t="shared" ca="1" si="239"/>
        <v>12.022799999999922</v>
      </c>
      <c r="D532" s="306">
        <f t="shared" ca="1" si="240"/>
        <v>-0.26069097589005202</v>
      </c>
      <c r="E532" s="307">
        <f t="shared" ca="1" si="241"/>
        <v>-6.3697153154246591</v>
      </c>
      <c r="F532" s="304">
        <f t="shared" ca="1" si="242"/>
        <v>6.3750476848778135</v>
      </c>
      <c r="G532" s="306">
        <f t="shared" ca="1" si="243"/>
        <v>3.9112546970527453</v>
      </c>
      <c r="H532" s="307">
        <f t="shared" ca="1" si="244"/>
        <v>-51.616997188527392</v>
      </c>
      <c r="I532" s="304">
        <f t="shared" ca="1" si="245"/>
        <v>51.764971863854633</v>
      </c>
      <c r="J532" s="306">
        <f t="shared" ca="1" si="246"/>
        <v>56.288824373840264</v>
      </c>
      <c r="K532" s="307">
        <f t="shared" ca="1" si="247"/>
        <v>-1.1818962707449319</v>
      </c>
      <c r="L532" s="304">
        <f t="shared" ca="1" si="232"/>
        <v>56.301231142700907</v>
      </c>
      <c r="M532" s="306">
        <f t="shared" ca="1" si="248"/>
        <v>-1.4951663069177723</v>
      </c>
      <c r="N532" s="304">
        <f t="shared" ca="1" si="249"/>
        <v>-85.666719056550249</v>
      </c>
      <c r="P532" s="310">
        <f t="shared" ca="1" si="250"/>
        <v>23</v>
      </c>
      <c r="Q532" s="304">
        <f t="shared" ca="1" si="251"/>
        <v>0</v>
      </c>
      <c r="R532" s="306">
        <f t="shared" ca="1" si="252"/>
        <v>0</v>
      </c>
      <c r="S532" s="307">
        <f t="shared" ca="1" si="253"/>
        <v>2.0843000000000003</v>
      </c>
      <c r="T532" s="304">
        <f t="shared" ca="1" si="233"/>
        <v>20.446983000000003</v>
      </c>
      <c r="U532" s="311">
        <f t="shared" ca="1" si="234"/>
        <v>0</v>
      </c>
      <c r="V532" s="306">
        <f t="shared" ca="1" si="235"/>
        <v>1.2251447908495545</v>
      </c>
      <c r="W532" s="304">
        <f t="shared" ca="1" si="236"/>
        <v>7.1913222899423745</v>
      </c>
      <c r="Y532" s="314" t="str">
        <f t="shared" ca="1" si="254"/>
        <v/>
      </c>
      <c r="Z532" s="315" t="str">
        <f t="shared" ca="1" si="255"/>
        <v/>
      </c>
      <c r="AA532" s="316" t="str">
        <f t="shared" ca="1" si="256"/>
        <v/>
      </c>
      <c r="AC532" s="310" t="e">
        <f t="shared" ca="1" si="257"/>
        <v>#N/A</v>
      </c>
      <c r="AD532" s="323" t="e">
        <f t="shared" ca="1" si="258"/>
        <v>#N/A</v>
      </c>
      <c r="AE532" s="324">
        <f t="shared" ca="1" si="237"/>
        <v>-1.1818962707449319</v>
      </c>
      <c r="AG532" s="306">
        <f t="shared" ca="1" si="259"/>
        <v>6.3318085952631815</v>
      </c>
      <c r="AH532" s="304">
        <f t="shared" ca="1" si="260"/>
        <v>-3.4501476049343403</v>
      </c>
    </row>
    <row r="533" spans="1:34" x14ac:dyDescent="0.2">
      <c r="A533" s="347">
        <f t="shared" ca="1" si="238"/>
        <v>1E-4</v>
      </c>
      <c r="B533" s="304">
        <f t="shared" ca="1" si="239"/>
        <v>12.022899999999922</v>
      </c>
      <c r="D533" s="306">
        <f t="shared" ca="1" si="240"/>
        <v>-0.26069256166644833</v>
      </c>
      <c r="E533" s="307">
        <f t="shared" ca="1" si="241"/>
        <v>-6.3696290027477085</v>
      </c>
      <c r="F533" s="304">
        <f t="shared" ca="1" si="242"/>
        <v>6.3749615092448195</v>
      </c>
      <c r="G533" s="306">
        <f t="shared" ca="1" si="243"/>
        <v>3.9112286277965786</v>
      </c>
      <c r="H533" s="307">
        <f t="shared" ca="1" si="244"/>
        <v>-51.617634151427666</v>
      </c>
      <c r="I533" s="304">
        <f t="shared" ca="1" si="245"/>
        <v>51.76560503625479</v>
      </c>
      <c r="J533" s="306">
        <f t="shared" ca="1" si="246"/>
        <v>56.288824373840264</v>
      </c>
      <c r="K533" s="307">
        <f t="shared" ca="1" si="247"/>
        <v>-1.1870580023119297</v>
      </c>
      <c r="L533" s="304">
        <f t="shared" ca="1" si="232"/>
        <v>56.301339736189995</v>
      </c>
      <c r="M533" s="306">
        <f t="shared" ca="1" si="248"/>
        <v>-1.4951677388017464</v>
      </c>
      <c r="N533" s="304">
        <f t="shared" ca="1" si="249"/>
        <v>-85.666801097458716</v>
      </c>
      <c r="P533" s="310">
        <f t="shared" ca="1" si="250"/>
        <v>23</v>
      </c>
      <c r="Q533" s="304">
        <f t="shared" ca="1" si="251"/>
        <v>0</v>
      </c>
      <c r="R533" s="306">
        <f t="shared" ca="1" si="252"/>
        <v>0</v>
      </c>
      <c r="S533" s="307">
        <f t="shared" ca="1" si="253"/>
        <v>2.0843000000000003</v>
      </c>
      <c r="T533" s="304">
        <f t="shared" ca="1" si="233"/>
        <v>20.446983000000003</v>
      </c>
      <c r="U533" s="311">
        <f t="shared" ca="1" si="234"/>
        <v>0</v>
      </c>
      <c r="V533" s="306">
        <f t="shared" ca="1" si="235"/>
        <v>1.2251454232365742</v>
      </c>
      <c r="W533" s="304">
        <f t="shared" ca="1" si="236"/>
        <v>7.1915019269361773</v>
      </c>
      <c r="Y533" s="314" t="str">
        <f t="shared" ca="1" si="254"/>
        <v/>
      </c>
      <c r="Z533" s="315" t="str">
        <f t="shared" ca="1" si="255"/>
        <v/>
      </c>
      <c r="AA533" s="316" t="str">
        <f t="shared" ca="1" si="256"/>
        <v/>
      </c>
      <c r="AC533" s="310" t="e">
        <f t="shared" ca="1" si="257"/>
        <v>#N/A</v>
      </c>
      <c r="AD533" s="323" t="e">
        <f t="shared" ca="1" si="258"/>
        <v>#N/A</v>
      </c>
      <c r="AE533" s="324">
        <f t="shared" ca="1" si="237"/>
        <v>-1.1870580023119297</v>
      </c>
      <c r="AG533" s="306">
        <f t="shared" ca="1" si="259"/>
        <v>6.3317234708930421</v>
      </c>
      <c r="AH533" s="304">
        <f t="shared" ca="1" si="260"/>
        <v>-3.4502337906934577</v>
      </c>
    </row>
    <row r="534" spans="1:34" x14ac:dyDescent="0.2">
      <c r="A534" s="347">
        <f t="shared" ca="1" si="238"/>
        <v>1E-4</v>
      </c>
      <c r="B534" s="304">
        <f t="shared" ca="1" si="239"/>
        <v>12.022999999999922</v>
      </c>
      <c r="D534" s="306">
        <f t="shared" ca="1" si="240"/>
        <v>-0.26069414735012703</v>
      </c>
      <c r="E534" s="307">
        <f t="shared" ca="1" si="241"/>
        <v>-6.369542690063092</v>
      </c>
      <c r="F534" s="304">
        <f t="shared" ca="1" si="242"/>
        <v>6.3748753336044759</v>
      </c>
      <c r="G534" s="306">
        <f t="shared" ca="1" si="243"/>
        <v>3.9112025583818437</v>
      </c>
      <c r="H534" s="307">
        <f t="shared" ca="1" si="244"/>
        <v>-51.618271105696671</v>
      </c>
      <c r="I534" s="304">
        <f t="shared" ca="1" si="245"/>
        <v>51.766238200142503</v>
      </c>
      <c r="J534" s="306">
        <f t="shared" ca="1" si="246"/>
        <v>56.288824373840264</v>
      </c>
      <c r="K534" s="307">
        <f t="shared" ca="1" si="247"/>
        <v>-1.1922197975747859</v>
      </c>
      <c r="L534" s="304">
        <f t="shared" ca="1" si="232"/>
        <v>56.301448804047332</v>
      </c>
      <c r="M534" s="306">
        <f t="shared" ca="1" si="248"/>
        <v>-1.4951691706411492</v>
      </c>
      <c r="N534" s="304">
        <f t="shared" ca="1" si="249"/>
        <v>-85.66688313581345</v>
      </c>
      <c r="P534" s="310">
        <f t="shared" ca="1" si="250"/>
        <v>23</v>
      </c>
      <c r="Q534" s="304">
        <f t="shared" ca="1" si="251"/>
        <v>0</v>
      </c>
      <c r="R534" s="306">
        <f t="shared" ca="1" si="252"/>
        <v>0</v>
      </c>
      <c r="S534" s="307">
        <f t="shared" ca="1" si="253"/>
        <v>2.0843000000000003</v>
      </c>
      <c r="T534" s="304">
        <f t="shared" ca="1" si="233"/>
        <v>20.446983000000003</v>
      </c>
      <c r="U534" s="311">
        <f t="shared" ca="1" si="234"/>
        <v>0</v>
      </c>
      <c r="V534" s="306">
        <f t="shared" ca="1" si="235"/>
        <v>1.225146055631724</v>
      </c>
      <c r="W534" s="304">
        <f t="shared" ca="1" si="236"/>
        <v>7.1916815639459637</v>
      </c>
      <c r="Y534" s="314" t="str">
        <f t="shared" ca="1" si="254"/>
        <v/>
      </c>
      <c r="Z534" s="315" t="str">
        <f t="shared" ca="1" si="255"/>
        <v/>
      </c>
      <c r="AA534" s="316" t="str">
        <f t="shared" ca="1" si="256"/>
        <v/>
      </c>
      <c r="AC534" s="310" t="e">
        <f t="shared" ca="1" si="257"/>
        <v>#N/A</v>
      </c>
      <c r="AD534" s="323" t="e">
        <f t="shared" ca="1" si="258"/>
        <v>#N/A</v>
      </c>
      <c r="AE534" s="324">
        <f t="shared" ca="1" si="237"/>
        <v>-1.1922197975747859</v>
      </c>
      <c r="AG534" s="306">
        <f t="shared" ca="1" si="259"/>
        <v>6.3316383464620962</v>
      </c>
      <c r="AH534" s="304">
        <f t="shared" ca="1" si="260"/>
        <v>-3.4503199764602872</v>
      </c>
    </row>
    <row r="535" spans="1:34" x14ac:dyDescent="0.2">
      <c r="A535" s="347">
        <f t="shared" ca="1" si="238"/>
        <v>1E-4</v>
      </c>
      <c r="B535" s="304">
        <f t="shared" ca="1" si="239"/>
        <v>12.023099999999921</v>
      </c>
      <c r="D535" s="306">
        <f t="shared" ca="1" si="240"/>
        <v>-0.26069573294108939</v>
      </c>
      <c r="E535" s="307">
        <f t="shared" ca="1" si="241"/>
        <v>-6.3694563773708541</v>
      </c>
      <c r="F535" s="304">
        <f t="shared" ca="1" si="242"/>
        <v>6.3747891579568288</v>
      </c>
      <c r="G535" s="306">
        <f t="shared" ca="1" si="243"/>
        <v>3.9111764888085494</v>
      </c>
      <c r="H535" s="307">
        <f t="shared" ca="1" si="244"/>
        <v>-51.618908051334408</v>
      </c>
      <c r="I535" s="304">
        <f t="shared" ca="1" si="245"/>
        <v>51.766871355517758</v>
      </c>
      <c r="J535" s="306">
        <f t="shared" ca="1" si="246"/>
        <v>56.288824373840264</v>
      </c>
      <c r="K535" s="307">
        <f t="shared" ca="1" si="247"/>
        <v>-1.1973816565326374</v>
      </c>
      <c r="L535" s="304">
        <f t="shared" ca="1" si="232"/>
        <v>56.301558346287671</v>
      </c>
      <c r="M535" s="306">
        <f t="shared" ca="1" si="248"/>
        <v>-1.495170602435983</v>
      </c>
      <c r="N535" s="304">
        <f t="shared" ca="1" si="249"/>
        <v>-85.666965171614549</v>
      </c>
      <c r="P535" s="310">
        <f t="shared" ca="1" si="250"/>
        <v>23</v>
      </c>
      <c r="Q535" s="304">
        <f t="shared" ca="1" si="251"/>
        <v>0</v>
      </c>
      <c r="R535" s="306">
        <f t="shared" ca="1" si="252"/>
        <v>0</v>
      </c>
      <c r="S535" s="307">
        <f t="shared" ca="1" si="253"/>
        <v>2.0843000000000003</v>
      </c>
      <c r="T535" s="304">
        <f t="shared" ca="1" si="233"/>
        <v>20.446983000000003</v>
      </c>
      <c r="U535" s="311">
        <f t="shared" ca="1" si="234"/>
        <v>0</v>
      </c>
      <c r="V535" s="306">
        <f t="shared" ca="1" si="235"/>
        <v>1.2251466880350035</v>
      </c>
      <c r="W535" s="304">
        <f t="shared" ca="1" si="236"/>
        <v>7.1918612009716458</v>
      </c>
      <c r="Y535" s="314" t="str">
        <f t="shared" ca="1" si="254"/>
        <v/>
      </c>
      <c r="Z535" s="315" t="str">
        <f t="shared" ca="1" si="255"/>
        <v/>
      </c>
      <c r="AA535" s="316" t="str">
        <f t="shared" ca="1" si="256"/>
        <v/>
      </c>
      <c r="AC535" s="310" t="e">
        <f t="shared" ca="1" si="257"/>
        <v>#N/A</v>
      </c>
      <c r="AD535" s="323" t="e">
        <f t="shared" ca="1" si="258"/>
        <v>#N/A</v>
      </c>
      <c r="AE535" s="324">
        <f t="shared" ca="1" si="237"/>
        <v>-1.1973816565326374</v>
      </c>
      <c r="AG535" s="306">
        <f t="shared" ca="1" si="259"/>
        <v>6.3315532219703901</v>
      </c>
      <c r="AH535" s="304">
        <f t="shared" ca="1" si="260"/>
        <v>-3.4504061622347852</v>
      </c>
    </row>
    <row r="536" spans="1:34" x14ac:dyDescent="0.2">
      <c r="A536" s="347">
        <f t="shared" ca="1" si="238"/>
        <v>1E-4</v>
      </c>
      <c r="B536" s="304">
        <f t="shared" ca="1" si="239"/>
        <v>12.023199999999921</v>
      </c>
      <c r="D536" s="306">
        <f t="shared" ca="1" si="240"/>
        <v>-0.26069731843933602</v>
      </c>
      <c r="E536" s="307">
        <f t="shared" ca="1" si="241"/>
        <v>-6.3693700646710374</v>
      </c>
      <c r="F536" s="304">
        <f t="shared" ca="1" si="242"/>
        <v>6.3747029823019199</v>
      </c>
      <c r="G536" s="306">
        <f t="shared" ca="1" si="243"/>
        <v>3.9111504190767055</v>
      </c>
      <c r="H536" s="307">
        <f t="shared" ca="1" si="244"/>
        <v>-51.619544988340877</v>
      </c>
      <c r="I536" s="304">
        <f t="shared" ca="1" si="245"/>
        <v>51.767504502380561</v>
      </c>
      <c r="J536" s="306">
        <f t="shared" ca="1" si="246"/>
        <v>56.288824373840264</v>
      </c>
      <c r="K536" s="307">
        <f t="shared" ca="1" si="247"/>
        <v>-1.2025435791846211</v>
      </c>
      <c r="L536" s="304">
        <f t="shared" ca="1" si="232"/>
        <v>56.301668362925732</v>
      </c>
      <c r="M536" s="306">
        <f t="shared" ca="1" si="248"/>
        <v>-1.4951720341862502</v>
      </c>
      <c r="N536" s="304">
        <f t="shared" ca="1" si="249"/>
        <v>-85.667047204862172</v>
      </c>
      <c r="P536" s="310">
        <f t="shared" ca="1" si="250"/>
        <v>23</v>
      </c>
      <c r="Q536" s="304">
        <f t="shared" ca="1" si="251"/>
        <v>0</v>
      </c>
      <c r="R536" s="306">
        <f t="shared" ca="1" si="252"/>
        <v>0</v>
      </c>
      <c r="S536" s="307">
        <f t="shared" ca="1" si="253"/>
        <v>2.0843000000000003</v>
      </c>
      <c r="T536" s="304">
        <f t="shared" ca="1" si="233"/>
        <v>20.446983000000003</v>
      </c>
      <c r="U536" s="311">
        <f t="shared" ca="1" si="234"/>
        <v>0</v>
      </c>
      <c r="V536" s="306">
        <f t="shared" ca="1" si="235"/>
        <v>1.2251473204464129</v>
      </c>
      <c r="W536" s="304">
        <f t="shared" ca="1" si="236"/>
        <v>7.192040838013142</v>
      </c>
      <c r="Y536" s="314" t="str">
        <f t="shared" ca="1" si="254"/>
        <v/>
      </c>
      <c r="Z536" s="315" t="str">
        <f t="shared" ca="1" si="255"/>
        <v/>
      </c>
      <c r="AA536" s="316" t="str">
        <f t="shared" ca="1" si="256"/>
        <v/>
      </c>
      <c r="AC536" s="310" t="e">
        <f t="shared" ca="1" si="257"/>
        <v>#N/A</v>
      </c>
      <c r="AD536" s="323" t="e">
        <f t="shared" ca="1" si="258"/>
        <v>#N/A</v>
      </c>
      <c r="AE536" s="324">
        <f t="shared" ca="1" si="237"/>
        <v>-1.2025435791846211</v>
      </c>
      <c r="AG536" s="306">
        <f t="shared" ca="1" si="259"/>
        <v>6.3314680974179698</v>
      </c>
      <c r="AH536" s="304">
        <f t="shared" ca="1" si="260"/>
        <v>-3.4504923480169096</v>
      </c>
    </row>
    <row r="537" spans="1:34" x14ac:dyDescent="0.2">
      <c r="A537" s="347">
        <f t="shared" ca="1" si="238"/>
        <v>1E-4</v>
      </c>
      <c r="B537" s="304">
        <f t="shared" ca="1" si="239"/>
        <v>12.023299999999921</v>
      </c>
      <c r="D537" s="306">
        <f t="shared" ca="1" si="240"/>
        <v>-0.26069890384486716</v>
      </c>
      <c r="E537" s="307">
        <f t="shared" ca="1" si="241"/>
        <v>-6.36928375196368</v>
      </c>
      <c r="F537" s="304">
        <f t="shared" ca="1" si="242"/>
        <v>6.3746168066397884</v>
      </c>
      <c r="G537" s="306">
        <f t="shared" ca="1" si="243"/>
        <v>3.9111243491863208</v>
      </c>
      <c r="H537" s="307">
        <f t="shared" ca="1" si="244"/>
        <v>-51.620181916716071</v>
      </c>
      <c r="I537" s="304">
        <f t="shared" ca="1" si="245"/>
        <v>51.768137640730892</v>
      </c>
      <c r="J537" s="306">
        <f t="shared" ca="1" si="246"/>
        <v>56.288824373840264</v>
      </c>
      <c r="K537" s="307">
        <f t="shared" ca="1" si="247"/>
        <v>-1.2077055655298738</v>
      </c>
      <c r="L537" s="304">
        <f t="shared" ca="1" si="232"/>
        <v>56.301778853976238</v>
      </c>
      <c r="M537" s="306">
        <f t="shared" ca="1" si="248"/>
        <v>-1.4951734658919527</v>
      </c>
      <c r="N537" s="304">
        <f t="shared" ca="1" si="249"/>
        <v>-85.66712923555643</v>
      </c>
      <c r="P537" s="310">
        <f t="shared" ca="1" si="250"/>
        <v>23</v>
      </c>
      <c r="Q537" s="304">
        <f t="shared" ca="1" si="251"/>
        <v>0</v>
      </c>
      <c r="R537" s="306">
        <f t="shared" ca="1" si="252"/>
        <v>0</v>
      </c>
      <c r="S537" s="307">
        <f t="shared" ca="1" si="253"/>
        <v>2.0843000000000003</v>
      </c>
      <c r="T537" s="304">
        <f t="shared" ca="1" si="233"/>
        <v>20.446983000000003</v>
      </c>
      <c r="U537" s="311">
        <f t="shared" ca="1" si="234"/>
        <v>0</v>
      </c>
      <c r="V537" s="306">
        <f t="shared" ca="1" si="235"/>
        <v>1.2251479528659521</v>
      </c>
      <c r="W537" s="304">
        <f t="shared" ca="1" si="236"/>
        <v>7.1922204750703607</v>
      </c>
      <c r="Y537" s="314" t="str">
        <f t="shared" ca="1" si="254"/>
        <v/>
      </c>
      <c r="Z537" s="315" t="str">
        <f t="shared" ca="1" si="255"/>
        <v/>
      </c>
      <c r="AA537" s="316" t="str">
        <f t="shared" ca="1" si="256"/>
        <v/>
      </c>
      <c r="AC537" s="310" t="e">
        <f t="shared" ca="1" si="257"/>
        <v>#N/A</v>
      </c>
      <c r="AD537" s="323" t="e">
        <f t="shared" ca="1" si="258"/>
        <v>#N/A</v>
      </c>
      <c r="AE537" s="324">
        <f t="shared" ca="1" si="237"/>
        <v>-1.2077055655298738</v>
      </c>
      <c r="AG537" s="306">
        <f t="shared" ca="1" si="259"/>
        <v>6.3313829728048754</v>
      </c>
      <c r="AH537" s="304">
        <f t="shared" ca="1" si="260"/>
        <v>-3.4505785338066213</v>
      </c>
    </row>
    <row r="538" spans="1:34" x14ac:dyDescent="0.2">
      <c r="A538" s="347">
        <f t="shared" ca="1" si="238"/>
        <v>1E-4</v>
      </c>
      <c r="B538" s="304">
        <f t="shared" ca="1" si="239"/>
        <v>12.023399999999921</v>
      </c>
      <c r="D538" s="306">
        <f t="shared" ca="1" si="240"/>
        <v>-0.26070048915768473</v>
      </c>
      <c r="E538" s="307">
        <f t="shared" ca="1" si="241"/>
        <v>-6.3691974392488255</v>
      </c>
      <c r="F538" s="304">
        <f t="shared" ca="1" si="242"/>
        <v>6.3745306309704759</v>
      </c>
      <c r="G538" s="306">
        <f t="shared" ca="1" si="243"/>
        <v>3.9110982791374052</v>
      </c>
      <c r="H538" s="307">
        <f t="shared" ca="1" si="244"/>
        <v>-51.620818836459996</v>
      </c>
      <c r="I538" s="304">
        <f t="shared" ca="1" si="245"/>
        <v>51.768770770568764</v>
      </c>
      <c r="J538" s="306">
        <f t="shared" ca="1" si="246"/>
        <v>56.288824373840264</v>
      </c>
      <c r="K538" s="307">
        <f t="shared" ca="1" si="247"/>
        <v>-1.2128676155675326</v>
      </c>
      <c r="L538" s="304">
        <f t="shared" ca="1" si="232"/>
        <v>56.301889819453898</v>
      </c>
      <c r="M538" s="306">
        <f t="shared" ca="1" si="248"/>
        <v>-1.4951748975530925</v>
      </c>
      <c r="N538" s="304">
        <f t="shared" ca="1" si="249"/>
        <v>-85.667211263697439</v>
      </c>
      <c r="P538" s="310">
        <f t="shared" ca="1" si="250"/>
        <v>23</v>
      </c>
      <c r="Q538" s="304">
        <f t="shared" ca="1" si="251"/>
        <v>0</v>
      </c>
      <c r="R538" s="306">
        <f t="shared" ca="1" si="252"/>
        <v>0</v>
      </c>
      <c r="S538" s="307">
        <f t="shared" ca="1" si="253"/>
        <v>2.0843000000000003</v>
      </c>
      <c r="T538" s="304">
        <f t="shared" ca="1" si="233"/>
        <v>20.446983000000003</v>
      </c>
      <c r="U538" s="311">
        <f t="shared" ca="1" si="234"/>
        <v>0</v>
      </c>
      <c r="V538" s="306">
        <f t="shared" ca="1" si="235"/>
        <v>1.2251485852936215</v>
      </c>
      <c r="W538" s="304">
        <f t="shared" ca="1" si="236"/>
        <v>7.1924001121432264</v>
      </c>
      <c r="Y538" s="314" t="str">
        <f t="shared" ca="1" si="254"/>
        <v/>
      </c>
      <c r="Z538" s="315" t="str">
        <f t="shared" ca="1" si="255"/>
        <v/>
      </c>
      <c r="AA538" s="316" t="str">
        <f t="shared" ca="1" si="256"/>
        <v/>
      </c>
      <c r="AC538" s="310" t="e">
        <f t="shared" ca="1" si="257"/>
        <v>#N/A</v>
      </c>
      <c r="AD538" s="323" t="e">
        <f t="shared" ca="1" si="258"/>
        <v>#N/A</v>
      </c>
      <c r="AE538" s="324">
        <f t="shared" ca="1" si="237"/>
        <v>-1.2128676155675326</v>
      </c>
      <c r="AG538" s="306">
        <f t="shared" ca="1" si="259"/>
        <v>6.3312978481311575</v>
      </c>
      <c r="AH538" s="304">
        <f t="shared" ca="1" si="260"/>
        <v>-3.4506647196038767</v>
      </c>
    </row>
    <row r="539" spans="1:34" x14ac:dyDescent="0.2">
      <c r="A539" s="347">
        <f t="shared" ca="1" si="238"/>
        <v>1E-4</v>
      </c>
      <c r="B539" s="304">
        <f t="shared" ca="1" si="239"/>
        <v>12.02349999999992</v>
      </c>
      <c r="D539" s="306">
        <f t="shared" ca="1" si="240"/>
        <v>-0.26070207437778981</v>
      </c>
      <c r="E539" s="307">
        <f t="shared" ca="1" si="241"/>
        <v>-6.3691111265265121</v>
      </c>
      <c r="F539" s="304">
        <f t="shared" ca="1" si="242"/>
        <v>6.3744444552940216</v>
      </c>
      <c r="G539" s="306">
        <f t="shared" ca="1" si="243"/>
        <v>3.9110722089299674</v>
      </c>
      <c r="H539" s="307">
        <f t="shared" ca="1" si="244"/>
        <v>-51.621455747572647</v>
      </c>
      <c r="I539" s="304">
        <f t="shared" ca="1" si="245"/>
        <v>51.769403891894157</v>
      </c>
      <c r="J539" s="306">
        <f t="shared" ca="1" si="246"/>
        <v>56.288824373840264</v>
      </c>
      <c r="K539" s="307">
        <f t="shared" ca="1" si="247"/>
        <v>-1.2180297292967344</v>
      </c>
      <c r="L539" s="304">
        <f t="shared" ca="1" si="232"/>
        <v>56.302001259373405</v>
      </c>
      <c r="M539" s="306">
        <f t="shared" ca="1" si="248"/>
        <v>-1.4951763291696722</v>
      </c>
      <c r="N539" s="304">
        <f t="shared" ca="1" si="249"/>
        <v>-85.66729328928534</v>
      </c>
      <c r="P539" s="310">
        <f t="shared" ca="1" si="250"/>
        <v>23</v>
      </c>
      <c r="Q539" s="304">
        <f t="shared" ca="1" si="251"/>
        <v>0</v>
      </c>
      <c r="R539" s="306">
        <f t="shared" ca="1" si="252"/>
        <v>0</v>
      </c>
      <c r="S539" s="307">
        <f t="shared" ca="1" si="253"/>
        <v>2.0843000000000003</v>
      </c>
      <c r="T539" s="304">
        <f t="shared" ca="1" si="233"/>
        <v>20.446983000000003</v>
      </c>
      <c r="U539" s="311">
        <f t="shared" ca="1" si="234"/>
        <v>0</v>
      </c>
      <c r="V539" s="306">
        <f t="shared" ca="1" si="235"/>
        <v>1.2251492177294205</v>
      </c>
      <c r="W539" s="304">
        <f t="shared" ca="1" si="236"/>
        <v>7.1925797492316459</v>
      </c>
      <c r="Y539" s="314" t="str">
        <f t="shared" ca="1" si="254"/>
        <v/>
      </c>
      <c r="Z539" s="315" t="str">
        <f t="shared" ca="1" si="255"/>
        <v/>
      </c>
      <c r="AA539" s="316" t="str">
        <f t="shared" ca="1" si="256"/>
        <v/>
      </c>
      <c r="AC539" s="310" t="e">
        <f t="shared" ca="1" si="257"/>
        <v>#N/A</v>
      </c>
      <c r="AD539" s="323" t="e">
        <f t="shared" ca="1" si="258"/>
        <v>#N/A</v>
      </c>
      <c r="AE539" s="324">
        <f t="shared" ca="1" si="237"/>
        <v>-1.2180297292967344</v>
      </c>
      <c r="AG539" s="306">
        <f t="shared" ca="1" si="259"/>
        <v>6.331212723396856</v>
      </c>
      <c r="AH539" s="304">
        <f t="shared" ca="1" si="260"/>
        <v>-3.4507509054086385</v>
      </c>
    </row>
    <row r="540" spans="1:34" x14ac:dyDescent="0.2">
      <c r="A540" s="347">
        <f t="shared" ca="1" si="238"/>
        <v>1E-4</v>
      </c>
      <c r="B540" s="304">
        <f t="shared" ca="1" si="239"/>
        <v>12.02359999999992</v>
      </c>
      <c r="D540" s="306">
        <f t="shared" ca="1" si="240"/>
        <v>-0.26070365950518232</v>
      </c>
      <c r="E540" s="307">
        <f t="shared" ca="1" si="241"/>
        <v>-6.3690248137967824</v>
      </c>
      <c r="F540" s="304">
        <f t="shared" ca="1" si="242"/>
        <v>6.3743582796104681</v>
      </c>
      <c r="G540" s="306">
        <f t="shared" ca="1" si="243"/>
        <v>3.9110461385640169</v>
      </c>
      <c r="H540" s="307">
        <f t="shared" ca="1" si="244"/>
        <v>-51.622092650054029</v>
      </c>
      <c r="I540" s="304">
        <f t="shared" ca="1" si="245"/>
        <v>51.770037004707063</v>
      </c>
      <c r="J540" s="306">
        <f t="shared" ca="1" si="246"/>
        <v>56.288824373840264</v>
      </c>
      <c r="K540" s="307">
        <f t="shared" ca="1" si="247"/>
        <v>-1.2231919067166157</v>
      </c>
      <c r="L540" s="304">
        <f t="shared" ca="1" si="232"/>
        <v>56.302113173749447</v>
      </c>
      <c r="M540" s="306">
        <f t="shared" ca="1" si="248"/>
        <v>-1.4951777607416936</v>
      </c>
      <c r="N540" s="304">
        <f t="shared" ca="1" si="249"/>
        <v>-85.667375312320232</v>
      </c>
      <c r="P540" s="310">
        <f t="shared" ca="1" si="250"/>
        <v>23</v>
      </c>
      <c r="Q540" s="304">
        <f t="shared" ca="1" si="251"/>
        <v>0</v>
      </c>
      <c r="R540" s="306">
        <f t="shared" ca="1" si="252"/>
        <v>0</v>
      </c>
      <c r="S540" s="307">
        <f t="shared" ca="1" si="253"/>
        <v>2.0843000000000003</v>
      </c>
      <c r="T540" s="304">
        <f t="shared" ca="1" si="233"/>
        <v>20.446983000000003</v>
      </c>
      <c r="U540" s="311">
        <f t="shared" ca="1" si="234"/>
        <v>0</v>
      </c>
      <c r="V540" s="306">
        <f t="shared" ca="1" si="235"/>
        <v>1.2251498501733489</v>
      </c>
      <c r="W540" s="304">
        <f t="shared" ca="1" si="236"/>
        <v>7.1927593863355312</v>
      </c>
      <c r="Y540" s="314" t="str">
        <f t="shared" ca="1" si="254"/>
        <v/>
      </c>
      <c r="Z540" s="315" t="str">
        <f t="shared" ca="1" si="255"/>
        <v/>
      </c>
      <c r="AA540" s="316" t="str">
        <f t="shared" ca="1" si="256"/>
        <v/>
      </c>
      <c r="AC540" s="310" t="e">
        <f t="shared" ca="1" si="257"/>
        <v>#N/A</v>
      </c>
      <c r="AD540" s="323" t="e">
        <f t="shared" ca="1" si="258"/>
        <v>#N/A</v>
      </c>
      <c r="AE540" s="324">
        <f t="shared" ca="1" si="237"/>
        <v>-1.2231919067166157</v>
      </c>
      <c r="AG540" s="306">
        <f t="shared" ca="1" si="259"/>
        <v>6.3311275986020146</v>
      </c>
      <c r="AH540" s="304">
        <f t="shared" ca="1" si="260"/>
        <v>-3.4508370912208632</v>
      </c>
    </row>
    <row r="541" spans="1:34" x14ac:dyDescent="0.2">
      <c r="A541" s="347">
        <f t="shared" ca="1" si="238"/>
        <v>1E-4</v>
      </c>
      <c r="B541" s="304">
        <f t="shared" ca="1" si="239"/>
        <v>12.02369999999992</v>
      </c>
      <c r="D541" s="306">
        <f t="shared" ca="1" si="240"/>
        <v>-0.26070524453986416</v>
      </c>
      <c r="E541" s="307">
        <f t="shared" ca="1" si="241"/>
        <v>-6.36893850105968</v>
      </c>
      <c r="F541" s="304">
        <f t="shared" ca="1" si="242"/>
        <v>6.3742721039198598</v>
      </c>
      <c r="G541" s="306">
        <f t="shared" ca="1" si="243"/>
        <v>3.911020068039563</v>
      </c>
      <c r="H541" s="307">
        <f t="shared" ca="1" si="244"/>
        <v>-51.622729543904136</v>
      </c>
      <c r="I541" s="304">
        <f t="shared" ca="1" si="245"/>
        <v>51.770670109007483</v>
      </c>
      <c r="J541" s="306">
        <f t="shared" ca="1" si="246"/>
        <v>56.288824373840264</v>
      </c>
      <c r="K541" s="307">
        <f t="shared" ca="1" si="247"/>
        <v>-1.2283541478263136</v>
      </c>
      <c r="L541" s="304">
        <f t="shared" ca="1" si="232"/>
        <v>56.302225562596689</v>
      </c>
      <c r="M541" s="306">
        <f t="shared" ca="1" si="248"/>
        <v>-1.4951791922691591</v>
      </c>
      <c r="N541" s="304">
        <f t="shared" ca="1" si="249"/>
        <v>-85.667457332802257</v>
      </c>
      <c r="P541" s="310">
        <f t="shared" ca="1" si="250"/>
        <v>23</v>
      </c>
      <c r="Q541" s="304">
        <f t="shared" ca="1" si="251"/>
        <v>0</v>
      </c>
      <c r="R541" s="306">
        <f t="shared" ca="1" si="252"/>
        <v>0</v>
      </c>
      <c r="S541" s="307">
        <f t="shared" ca="1" si="253"/>
        <v>2.0843000000000003</v>
      </c>
      <c r="T541" s="304">
        <f t="shared" ca="1" si="233"/>
        <v>20.446983000000003</v>
      </c>
      <c r="U541" s="311">
        <f t="shared" ca="1" si="234"/>
        <v>0</v>
      </c>
      <c r="V541" s="306">
        <f t="shared" ca="1" si="235"/>
        <v>1.2251504826254065</v>
      </c>
      <c r="W541" s="304">
        <f t="shared" ca="1" si="236"/>
        <v>7.1929390234548007</v>
      </c>
      <c r="Y541" s="314" t="str">
        <f t="shared" ca="1" si="254"/>
        <v/>
      </c>
      <c r="Z541" s="315" t="str">
        <f t="shared" ca="1" si="255"/>
        <v/>
      </c>
      <c r="AA541" s="316" t="str">
        <f t="shared" ca="1" si="256"/>
        <v/>
      </c>
      <c r="AC541" s="310" t="e">
        <f t="shared" ca="1" si="257"/>
        <v>#N/A</v>
      </c>
      <c r="AD541" s="323" t="e">
        <f t="shared" ca="1" si="258"/>
        <v>#N/A</v>
      </c>
      <c r="AE541" s="324">
        <f t="shared" ca="1" si="237"/>
        <v>-1.2283541478263136</v>
      </c>
      <c r="AG541" s="306">
        <f t="shared" ca="1" si="259"/>
        <v>6.3310424737466828</v>
      </c>
      <c r="AH541" s="304">
        <f t="shared" ca="1" si="260"/>
        <v>-3.4509232770405078</v>
      </c>
    </row>
    <row r="542" spans="1:34" x14ac:dyDescent="0.2">
      <c r="A542" s="347">
        <f t="shared" ca="1" si="238"/>
        <v>1E-4</v>
      </c>
      <c r="B542" s="304">
        <f t="shared" ca="1" si="239"/>
        <v>12.02379999999992</v>
      </c>
      <c r="D542" s="306">
        <f t="shared" ca="1" si="240"/>
        <v>-0.26070682948183554</v>
      </c>
      <c r="E542" s="307">
        <f t="shared" ca="1" si="241"/>
        <v>-6.3688521883152438</v>
      </c>
      <c r="F542" s="304">
        <f t="shared" ca="1" si="242"/>
        <v>6.374185928222234</v>
      </c>
      <c r="G542" s="306">
        <f t="shared" ca="1" si="243"/>
        <v>3.910993997356615</v>
      </c>
      <c r="H542" s="307">
        <f t="shared" ca="1" si="244"/>
        <v>-51.623366429122967</v>
      </c>
      <c r="I542" s="304">
        <f t="shared" ca="1" si="245"/>
        <v>51.771303204795416</v>
      </c>
      <c r="J542" s="306">
        <f t="shared" ca="1" si="246"/>
        <v>56.288824373840264</v>
      </c>
      <c r="K542" s="307">
        <f t="shared" ca="1" si="247"/>
        <v>-1.2335164526249649</v>
      </c>
      <c r="L542" s="304">
        <f t="shared" ca="1" si="232"/>
        <v>56.30233842592979</v>
      </c>
      <c r="M542" s="306">
        <f t="shared" ca="1" si="248"/>
        <v>-1.4951806237520708</v>
      </c>
      <c r="N542" s="304">
        <f t="shared" ca="1" si="249"/>
        <v>-85.667539350731545</v>
      </c>
      <c r="P542" s="310">
        <f t="shared" ca="1" si="250"/>
        <v>23</v>
      </c>
      <c r="Q542" s="304">
        <f t="shared" ca="1" si="251"/>
        <v>0</v>
      </c>
      <c r="R542" s="306">
        <f t="shared" ca="1" si="252"/>
        <v>0</v>
      </c>
      <c r="S542" s="307">
        <f t="shared" ca="1" si="253"/>
        <v>2.0843000000000003</v>
      </c>
      <c r="T542" s="304">
        <f t="shared" ca="1" si="233"/>
        <v>20.446983000000003</v>
      </c>
      <c r="U542" s="311">
        <f t="shared" ca="1" si="234"/>
        <v>0</v>
      </c>
      <c r="V542" s="306">
        <f t="shared" ca="1" si="235"/>
        <v>1.225151115085594</v>
      </c>
      <c r="W542" s="304">
        <f t="shared" ca="1" si="236"/>
        <v>7.1931186605893709</v>
      </c>
      <c r="Y542" s="314" t="str">
        <f t="shared" ca="1" si="254"/>
        <v/>
      </c>
      <c r="Z542" s="315" t="str">
        <f t="shared" ca="1" si="255"/>
        <v/>
      </c>
      <c r="AA542" s="316" t="str">
        <f t="shared" ca="1" si="256"/>
        <v/>
      </c>
      <c r="AC542" s="310" t="e">
        <f t="shared" ca="1" si="257"/>
        <v>#N/A</v>
      </c>
      <c r="AD542" s="323" t="e">
        <f t="shared" ca="1" si="258"/>
        <v>#N/A</v>
      </c>
      <c r="AE542" s="324">
        <f t="shared" ca="1" si="237"/>
        <v>-1.2335164526249649</v>
      </c>
      <c r="AG542" s="306">
        <f t="shared" ca="1" si="259"/>
        <v>6.3309573488309034</v>
      </c>
      <c r="AH542" s="304">
        <f t="shared" ca="1" si="260"/>
        <v>-3.4510094628675332</v>
      </c>
    </row>
    <row r="543" spans="1:34" x14ac:dyDescent="0.2">
      <c r="A543" s="347">
        <f t="shared" ca="1" si="238"/>
        <v>1E-4</v>
      </c>
      <c r="B543" s="304">
        <f t="shared" ca="1" si="239"/>
        <v>12.023899999999919</v>
      </c>
      <c r="D543" s="306">
        <f t="shared" ca="1" si="240"/>
        <v>-0.26070841433109737</v>
      </c>
      <c r="E543" s="307">
        <f t="shared" ca="1" si="241"/>
        <v>-6.3687658755635139</v>
      </c>
      <c r="F543" s="304">
        <f t="shared" ca="1" si="242"/>
        <v>6.3740997525176315</v>
      </c>
      <c r="G543" s="306">
        <f t="shared" ca="1" si="243"/>
        <v>3.9109679265151818</v>
      </c>
      <c r="H543" s="307">
        <f t="shared" ca="1" si="244"/>
        <v>-51.624003305710524</v>
      </c>
      <c r="I543" s="304">
        <f t="shared" ca="1" si="245"/>
        <v>51.771936292070841</v>
      </c>
      <c r="J543" s="306">
        <f t="shared" ca="1" si="246"/>
        <v>56.288824373840264</v>
      </c>
      <c r="K543" s="307">
        <f t="shared" ca="1" si="247"/>
        <v>-1.2386788211117066</v>
      </c>
      <c r="L543" s="304">
        <f t="shared" ca="1" si="232"/>
        <v>56.302451763763401</v>
      </c>
      <c r="M543" s="306">
        <f t="shared" ca="1" si="248"/>
        <v>-1.4951820551904309</v>
      </c>
      <c r="N543" s="304">
        <f t="shared" ca="1" si="249"/>
        <v>-85.667621366108207</v>
      </c>
      <c r="P543" s="310">
        <f t="shared" ca="1" si="250"/>
        <v>23</v>
      </c>
      <c r="Q543" s="304">
        <f t="shared" ca="1" si="251"/>
        <v>0</v>
      </c>
      <c r="R543" s="306">
        <f t="shared" ca="1" si="252"/>
        <v>0</v>
      </c>
      <c r="S543" s="307">
        <f t="shared" ca="1" si="253"/>
        <v>2.0843000000000003</v>
      </c>
      <c r="T543" s="304">
        <f t="shared" ca="1" si="233"/>
        <v>20.446983000000003</v>
      </c>
      <c r="U543" s="311">
        <f t="shared" ca="1" si="234"/>
        <v>0</v>
      </c>
      <c r="V543" s="306">
        <f t="shared" ca="1" si="235"/>
        <v>1.2251517475539102</v>
      </c>
      <c r="W543" s="304">
        <f t="shared" ca="1" si="236"/>
        <v>7.1932982977391458</v>
      </c>
      <c r="Y543" s="314" t="str">
        <f t="shared" ca="1" si="254"/>
        <v/>
      </c>
      <c r="Z543" s="315" t="str">
        <f t="shared" ca="1" si="255"/>
        <v/>
      </c>
      <c r="AA543" s="316" t="str">
        <f t="shared" ca="1" si="256"/>
        <v/>
      </c>
      <c r="AC543" s="310" t="e">
        <f t="shared" ca="1" si="257"/>
        <v>#N/A</v>
      </c>
      <c r="AD543" s="323" t="e">
        <f t="shared" ca="1" si="258"/>
        <v>#N/A</v>
      </c>
      <c r="AE543" s="324">
        <f t="shared" ca="1" si="237"/>
        <v>-1.2386788211117066</v>
      </c>
      <c r="AG543" s="306">
        <f t="shared" ca="1" si="259"/>
        <v>6.3308722238547208</v>
      </c>
      <c r="AH543" s="304">
        <f t="shared" ca="1" si="260"/>
        <v>-3.4510956487018998</v>
      </c>
    </row>
    <row r="544" spans="1:34" x14ac:dyDescent="0.2">
      <c r="A544" s="347">
        <f t="shared" ca="1" si="238"/>
        <v>1E-4</v>
      </c>
      <c r="B544" s="304">
        <f t="shared" ca="1" si="239"/>
        <v>12.023999999999919</v>
      </c>
      <c r="D544" s="306">
        <f t="shared" ca="1" si="240"/>
        <v>-0.26070999908765063</v>
      </c>
      <c r="E544" s="307">
        <f t="shared" ca="1" si="241"/>
        <v>-6.3686795628045365</v>
      </c>
      <c r="F544" s="304">
        <f t="shared" ca="1" si="242"/>
        <v>6.3740135768060977</v>
      </c>
      <c r="G544" s="306">
        <f t="shared" ca="1" si="243"/>
        <v>3.9109418555152731</v>
      </c>
      <c r="H544" s="307">
        <f t="shared" ca="1" si="244"/>
        <v>-51.624640173666805</v>
      </c>
      <c r="I544" s="304">
        <f t="shared" ca="1" si="245"/>
        <v>51.772569370833757</v>
      </c>
      <c r="J544" s="306">
        <f t="shared" ca="1" si="246"/>
        <v>56.288824373840264</v>
      </c>
      <c r="K544" s="307">
        <f t="shared" ca="1" si="247"/>
        <v>-1.2438412532856755</v>
      </c>
      <c r="L544" s="304">
        <f t="shared" ca="1" si="232"/>
        <v>56.302565576112151</v>
      </c>
      <c r="M544" s="306">
        <f t="shared" ca="1" si="248"/>
        <v>-1.4951834865842415</v>
      </c>
      <c r="N544" s="304">
        <f t="shared" ca="1" si="249"/>
        <v>-85.667703378932387</v>
      </c>
      <c r="P544" s="310">
        <f t="shared" ca="1" si="250"/>
        <v>23</v>
      </c>
      <c r="Q544" s="304">
        <f t="shared" ca="1" si="251"/>
        <v>0</v>
      </c>
      <c r="R544" s="306">
        <f t="shared" ca="1" si="252"/>
        <v>0</v>
      </c>
      <c r="S544" s="307">
        <f t="shared" ca="1" si="253"/>
        <v>2.0843000000000003</v>
      </c>
      <c r="T544" s="304">
        <f t="shared" ca="1" si="233"/>
        <v>20.446983000000003</v>
      </c>
      <c r="U544" s="311">
        <f t="shared" ca="1" si="234"/>
        <v>0</v>
      </c>
      <c r="V544" s="306">
        <f t="shared" ca="1" si="235"/>
        <v>1.2251523800303561</v>
      </c>
      <c r="W544" s="304">
        <f t="shared" ca="1" si="236"/>
        <v>7.1934779349040499</v>
      </c>
      <c r="Y544" s="314" t="str">
        <f t="shared" ca="1" si="254"/>
        <v/>
      </c>
      <c r="Z544" s="315" t="str">
        <f t="shared" ca="1" si="255"/>
        <v/>
      </c>
      <c r="AA544" s="316" t="str">
        <f t="shared" ca="1" si="256"/>
        <v/>
      </c>
      <c r="AC544" s="310" t="e">
        <f t="shared" ca="1" si="257"/>
        <v>#N/A</v>
      </c>
      <c r="AD544" s="323" t="e">
        <f t="shared" ca="1" si="258"/>
        <v>#N/A</v>
      </c>
      <c r="AE544" s="324">
        <f t="shared" ca="1" si="237"/>
        <v>-1.2438412532856755</v>
      </c>
      <c r="AG544" s="306">
        <f t="shared" ca="1" si="259"/>
        <v>6.3307870988181811</v>
      </c>
      <c r="AH544" s="304">
        <f t="shared" ca="1" si="260"/>
        <v>-3.4511818345435614</v>
      </c>
    </row>
    <row r="545" spans="1:34" x14ac:dyDescent="0.2">
      <c r="A545" s="347">
        <f t="shared" ca="1" si="238"/>
        <v>1E-4</v>
      </c>
      <c r="B545" s="304">
        <f t="shared" ca="1" si="239"/>
        <v>12.024099999999919</v>
      </c>
      <c r="D545" s="306">
        <f t="shared" ca="1" si="240"/>
        <v>-0.2607115837514965</v>
      </c>
      <c r="E545" s="307">
        <f t="shared" ca="1" si="241"/>
        <v>-6.368593250038348</v>
      </c>
      <c r="F545" s="304">
        <f t="shared" ca="1" si="242"/>
        <v>6.3739274010876699</v>
      </c>
      <c r="G545" s="306">
        <f t="shared" ca="1" si="243"/>
        <v>3.9109157843568978</v>
      </c>
      <c r="H545" s="307">
        <f t="shared" ca="1" si="244"/>
        <v>-51.625277032991811</v>
      </c>
      <c r="I545" s="304">
        <f t="shared" ca="1" si="245"/>
        <v>51.773202441084166</v>
      </c>
      <c r="J545" s="306">
        <f t="shared" ca="1" si="246"/>
        <v>56.288824373840264</v>
      </c>
      <c r="K545" s="307">
        <f t="shared" ca="1" si="247"/>
        <v>-1.2490037491460084</v>
      </c>
      <c r="L545" s="304">
        <f t="shared" ca="1" si="232"/>
        <v>56.302679862990672</v>
      </c>
      <c r="M545" s="306">
        <f t="shared" ca="1" si="248"/>
        <v>-1.4951849179335046</v>
      </c>
      <c r="N545" s="304">
        <f t="shared" ca="1" si="249"/>
        <v>-85.66778538920417</v>
      </c>
      <c r="P545" s="310">
        <f t="shared" ca="1" si="250"/>
        <v>23</v>
      </c>
      <c r="Q545" s="304">
        <f t="shared" ca="1" si="251"/>
        <v>0</v>
      </c>
      <c r="R545" s="306">
        <f t="shared" ca="1" si="252"/>
        <v>0</v>
      </c>
      <c r="S545" s="307">
        <f t="shared" ca="1" si="253"/>
        <v>2.0843000000000003</v>
      </c>
      <c r="T545" s="304">
        <f t="shared" ca="1" si="233"/>
        <v>20.446983000000003</v>
      </c>
      <c r="U545" s="311">
        <f t="shared" ca="1" si="234"/>
        <v>0</v>
      </c>
      <c r="V545" s="306">
        <f t="shared" ca="1" si="235"/>
        <v>1.2251530125149306</v>
      </c>
      <c r="W545" s="304">
        <f t="shared" ca="1" si="236"/>
        <v>7.1936575720839926</v>
      </c>
      <c r="Y545" s="314" t="str">
        <f t="shared" ca="1" si="254"/>
        <v/>
      </c>
      <c r="Z545" s="315" t="str">
        <f t="shared" ca="1" si="255"/>
        <v/>
      </c>
      <c r="AA545" s="316" t="str">
        <f t="shared" ca="1" si="256"/>
        <v/>
      </c>
      <c r="AC545" s="310" t="e">
        <f t="shared" ca="1" si="257"/>
        <v>#N/A</v>
      </c>
      <c r="AD545" s="323" t="e">
        <f t="shared" ca="1" si="258"/>
        <v>#N/A</v>
      </c>
      <c r="AE545" s="324">
        <f t="shared" ca="1" si="237"/>
        <v>-1.2490037491460084</v>
      </c>
      <c r="AG545" s="306">
        <f t="shared" ca="1" si="259"/>
        <v>6.3307019737213253</v>
      </c>
      <c r="AH545" s="304">
        <f t="shared" ca="1" si="260"/>
        <v>-3.4512680203924813</v>
      </c>
    </row>
    <row r="546" spans="1:34" x14ac:dyDescent="0.2">
      <c r="A546" s="347">
        <f t="shared" ca="1" si="238"/>
        <v>1E-4</v>
      </c>
      <c r="B546" s="304">
        <f t="shared" ca="1" si="239"/>
        <v>12.024199999999919</v>
      </c>
      <c r="D546" s="306">
        <f t="shared" ca="1" si="240"/>
        <v>-0.26071316832263625</v>
      </c>
      <c r="E546" s="307">
        <f t="shared" ca="1" si="241"/>
        <v>-6.368506937264991</v>
      </c>
      <c r="F546" s="304">
        <f t="shared" ca="1" si="242"/>
        <v>6.3738412253623915</v>
      </c>
      <c r="G546" s="306">
        <f t="shared" ca="1" si="243"/>
        <v>3.9108897130400657</v>
      </c>
      <c r="H546" s="307">
        <f t="shared" ca="1" si="244"/>
        <v>-51.625913883685534</v>
      </c>
      <c r="I546" s="304">
        <f t="shared" ca="1" si="245"/>
        <v>51.773835502822052</v>
      </c>
      <c r="J546" s="306">
        <f t="shared" ca="1" si="246"/>
        <v>56.288824373840264</v>
      </c>
      <c r="K546" s="307">
        <f t="shared" ca="1" si="247"/>
        <v>-1.2541663086918422</v>
      </c>
      <c r="L546" s="304">
        <f t="shared" ca="1" si="232"/>
        <v>56.302794624413551</v>
      </c>
      <c r="M546" s="306">
        <f t="shared" ca="1" si="248"/>
        <v>-1.4951863492382227</v>
      </c>
      <c r="N546" s="304">
        <f t="shared" ca="1" si="249"/>
        <v>-85.667867396923711</v>
      </c>
      <c r="P546" s="310">
        <f t="shared" ca="1" si="250"/>
        <v>23</v>
      </c>
      <c r="Q546" s="304">
        <f t="shared" ca="1" si="251"/>
        <v>0</v>
      </c>
      <c r="R546" s="306">
        <f t="shared" ca="1" si="252"/>
        <v>0</v>
      </c>
      <c r="S546" s="307">
        <f t="shared" ca="1" si="253"/>
        <v>2.0843000000000003</v>
      </c>
      <c r="T546" s="304">
        <f t="shared" ca="1" si="233"/>
        <v>20.446983000000003</v>
      </c>
      <c r="U546" s="311">
        <f t="shared" ca="1" si="234"/>
        <v>0</v>
      </c>
      <c r="V546" s="306">
        <f t="shared" ca="1" si="235"/>
        <v>1.2251536450076344</v>
      </c>
      <c r="W546" s="304">
        <f t="shared" ca="1" si="236"/>
        <v>7.1938372092788905</v>
      </c>
      <c r="Y546" s="314" t="str">
        <f t="shared" ca="1" si="254"/>
        <v/>
      </c>
      <c r="Z546" s="315" t="str">
        <f t="shared" ca="1" si="255"/>
        <v/>
      </c>
      <c r="AA546" s="316" t="str">
        <f t="shared" ca="1" si="256"/>
        <v/>
      </c>
      <c r="AC546" s="310" t="e">
        <f t="shared" ca="1" si="257"/>
        <v>#N/A</v>
      </c>
      <c r="AD546" s="323" t="e">
        <f t="shared" ca="1" si="258"/>
        <v>#N/A</v>
      </c>
      <c r="AE546" s="324">
        <f t="shared" ca="1" si="237"/>
        <v>-1.2541663086918422</v>
      </c>
      <c r="AG546" s="306">
        <f t="shared" ca="1" si="259"/>
        <v>6.3306168485642011</v>
      </c>
      <c r="AH546" s="304">
        <f t="shared" ca="1" si="260"/>
        <v>-3.4513542062486167</v>
      </c>
    </row>
    <row r="547" spans="1:34" x14ac:dyDescent="0.2">
      <c r="A547" s="347">
        <f t="shared" ca="1" si="238"/>
        <v>1E-4</v>
      </c>
      <c r="B547" s="304">
        <f t="shared" ca="1" si="239"/>
        <v>12.024299999999918</v>
      </c>
      <c r="D547" s="306">
        <f t="shared" ca="1" si="240"/>
        <v>-0.26071475280106998</v>
      </c>
      <c r="E547" s="307">
        <f t="shared" ca="1" si="241"/>
        <v>-6.3684206244845072</v>
      </c>
      <c r="F547" s="304">
        <f t="shared" ca="1" si="242"/>
        <v>6.3737550496303008</v>
      </c>
      <c r="G547" s="306">
        <f t="shared" ca="1" si="243"/>
        <v>3.9108636415647857</v>
      </c>
      <c r="H547" s="307">
        <f t="shared" ca="1" si="244"/>
        <v>-51.626550725747983</v>
      </c>
      <c r="I547" s="304">
        <f t="shared" ca="1" si="245"/>
        <v>51.774468556047424</v>
      </c>
      <c r="J547" s="306">
        <f t="shared" ca="1" si="246"/>
        <v>56.288824373840264</v>
      </c>
      <c r="K547" s="307">
        <f t="shared" ca="1" si="247"/>
        <v>-1.259328931922314</v>
      </c>
      <c r="L547" s="304">
        <f t="shared" ca="1" si="232"/>
        <v>56.30290986039541</v>
      </c>
      <c r="M547" s="306">
        <f t="shared" ca="1" si="248"/>
        <v>-1.4951877804983977</v>
      </c>
      <c r="N547" s="304">
        <f t="shared" ca="1" si="249"/>
        <v>-85.667949402091125</v>
      </c>
      <c r="P547" s="310">
        <f t="shared" ca="1" si="250"/>
        <v>23</v>
      </c>
      <c r="Q547" s="304">
        <f t="shared" ca="1" si="251"/>
        <v>0</v>
      </c>
      <c r="R547" s="306">
        <f t="shared" ca="1" si="252"/>
        <v>0</v>
      </c>
      <c r="S547" s="307">
        <f t="shared" ca="1" si="253"/>
        <v>2.0843000000000003</v>
      </c>
      <c r="T547" s="304">
        <f t="shared" ca="1" si="233"/>
        <v>20.446983000000003</v>
      </c>
      <c r="U547" s="311">
        <f t="shared" ca="1" si="234"/>
        <v>0</v>
      </c>
      <c r="V547" s="306">
        <f t="shared" ca="1" si="235"/>
        <v>1.2251542775084672</v>
      </c>
      <c r="W547" s="304">
        <f t="shared" ca="1" si="236"/>
        <v>7.1940168464886574</v>
      </c>
      <c r="Y547" s="314" t="str">
        <f t="shared" ca="1" si="254"/>
        <v/>
      </c>
      <c r="Z547" s="315" t="str">
        <f t="shared" ca="1" si="255"/>
        <v/>
      </c>
      <c r="AA547" s="316" t="str">
        <f t="shared" ca="1" si="256"/>
        <v/>
      </c>
      <c r="AC547" s="310" t="e">
        <f t="shared" ca="1" si="257"/>
        <v>#N/A</v>
      </c>
      <c r="AD547" s="323" t="e">
        <f t="shared" ca="1" si="258"/>
        <v>#N/A</v>
      </c>
      <c r="AE547" s="324">
        <f t="shared" ca="1" si="237"/>
        <v>-1.259328931922314</v>
      </c>
      <c r="AG547" s="306">
        <f t="shared" ca="1" si="259"/>
        <v>6.3305317233468514</v>
      </c>
      <c r="AH547" s="304">
        <f t="shared" ca="1" si="260"/>
        <v>-3.4514403921119272</v>
      </c>
    </row>
    <row r="548" spans="1:34" x14ac:dyDescent="0.2">
      <c r="A548" s="347">
        <f t="shared" ca="1" si="238"/>
        <v>1E-4</v>
      </c>
      <c r="B548" s="304">
        <f t="shared" ca="1" si="239"/>
        <v>12.024399999999918</v>
      </c>
      <c r="D548" s="306">
        <f t="shared" ca="1" si="240"/>
        <v>-0.26071633718679904</v>
      </c>
      <c r="E548" s="307">
        <f t="shared" ca="1" si="241"/>
        <v>-6.3683343116969375</v>
      </c>
      <c r="F548" s="304">
        <f t="shared" ca="1" si="242"/>
        <v>6.3736688738914431</v>
      </c>
      <c r="G548" s="306">
        <f t="shared" ca="1" si="243"/>
        <v>3.9108375699310671</v>
      </c>
      <c r="H548" s="307">
        <f t="shared" ca="1" si="244"/>
        <v>-51.627187559179156</v>
      </c>
      <c r="I548" s="304">
        <f t="shared" ca="1" si="245"/>
        <v>51.775101600760259</v>
      </c>
      <c r="J548" s="306">
        <f t="shared" ca="1" si="246"/>
        <v>56.288824373840264</v>
      </c>
      <c r="K548" s="307">
        <f t="shared" ca="1" si="247"/>
        <v>-1.2644916188365602</v>
      </c>
      <c r="L548" s="304">
        <f t="shared" ca="1" si="232"/>
        <v>56.303025570950822</v>
      </c>
      <c r="M548" s="306">
        <f t="shared" ca="1" si="248"/>
        <v>-1.495189211714032</v>
      </c>
      <c r="N548" s="304">
        <f t="shared" ca="1" si="249"/>
        <v>-85.668031404706539</v>
      </c>
      <c r="P548" s="310">
        <f t="shared" ca="1" si="250"/>
        <v>23</v>
      </c>
      <c r="Q548" s="304">
        <f t="shared" ca="1" si="251"/>
        <v>0</v>
      </c>
      <c r="R548" s="306">
        <f t="shared" ca="1" si="252"/>
        <v>0</v>
      </c>
      <c r="S548" s="307">
        <f t="shared" ca="1" si="253"/>
        <v>2.0843000000000003</v>
      </c>
      <c r="T548" s="304">
        <f t="shared" ca="1" si="233"/>
        <v>20.446983000000003</v>
      </c>
      <c r="U548" s="311">
        <f t="shared" ca="1" si="234"/>
        <v>0</v>
      </c>
      <c r="V548" s="306">
        <f t="shared" ca="1" si="235"/>
        <v>1.2251549100174286</v>
      </c>
      <c r="W548" s="304">
        <f t="shared" ca="1" si="236"/>
        <v>7.1941964837132062</v>
      </c>
      <c r="Y548" s="314" t="str">
        <f t="shared" ca="1" si="254"/>
        <v/>
      </c>
      <c r="Z548" s="315" t="str">
        <f t="shared" ca="1" si="255"/>
        <v/>
      </c>
      <c r="AA548" s="316" t="str">
        <f t="shared" ca="1" si="256"/>
        <v/>
      </c>
      <c r="AC548" s="310" t="e">
        <f t="shared" ca="1" si="257"/>
        <v>#N/A</v>
      </c>
      <c r="AD548" s="323" t="e">
        <f t="shared" ca="1" si="258"/>
        <v>#N/A</v>
      </c>
      <c r="AE548" s="324">
        <f t="shared" ca="1" si="237"/>
        <v>-1.2644916188365602</v>
      </c>
      <c r="AG548" s="306">
        <f t="shared" ca="1" si="259"/>
        <v>6.3304465980693223</v>
      </c>
      <c r="AH548" s="304">
        <f t="shared" ca="1" si="260"/>
        <v>-3.4515265779823712</v>
      </c>
    </row>
    <row r="549" spans="1:34" x14ac:dyDescent="0.2">
      <c r="A549" s="347">
        <f t="shared" ca="1" si="238"/>
        <v>1E-4</v>
      </c>
      <c r="B549" s="304">
        <f t="shared" ca="1" si="239"/>
        <v>12.024499999999918</v>
      </c>
      <c r="D549" s="306">
        <f t="shared" ca="1" si="240"/>
        <v>-0.26071792147982431</v>
      </c>
      <c r="E549" s="307">
        <f t="shared" ca="1" si="241"/>
        <v>-6.3682479989023228</v>
      </c>
      <c r="F549" s="304">
        <f t="shared" ca="1" si="242"/>
        <v>6.3735826981458557</v>
      </c>
      <c r="G549" s="306">
        <f t="shared" ca="1" si="243"/>
        <v>3.9108114981389193</v>
      </c>
      <c r="H549" s="307">
        <f t="shared" ca="1" si="244"/>
        <v>-51.627824383979046</v>
      </c>
      <c r="I549" s="304">
        <f t="shared" ca="1" si="245"/>
        <v>51.775734636960557</v>
      </c>
      <c r="J549" s="306">
        <f t="shared" ca="1" si="246"/>
        <v>56.288824373840264</v>
      </c>
      <c r="K549" s="307">
        <f t="shared" ca="1" si="247"/>
        <v>-1.2696543694337181</v>
      </c>
      <c r="L549" s="304">
        <f t="shared" ca="1" si="232"/>
        <v>56.303141756094355</v>
      </c>
      <c r="M549" s="306">
        <f t="shared" ca="1" si="248"/>
        <v>-1.4951906428851276</v>
      </c>
      <c r="N549" s="304">
        <f t="shared" ca="1" si="249"/>
        <v>-85.668113404770082</v>
      </c>
      <c r="P549" s="310">
        <f t="shared" ca="1" si="250"/>
        <v>23</v>
      </c>
      <c r="Q549" s="304">
        <f t="shared" ca="1" si="251"/>
        <v>0</v>
      </c>
      <c r="R549" s="306">
        <f t="shared" ca="1" si="252"/>
        <v>0</v>
      </c>
      <c r="S549" s="307">
        <f t="shared" ca="1" si="253"/>
        <v>2.0843000000000003</v>
      </c>
      <c r="T549" s="304">
        <f t="shared" ca="1" si="233"/>
        <v>20.446983000000003</v>
      </c>
      <c r="U549" s="311">
        <f t="shared" ca="1" si="234"/>
        <v>0</v>
      </c>
      <c r="V549" s="306">
        <f t="shared" ca="1" si="235"/>
        <v>1.2251555425345184</v>
      </c>
      <c r="W549" s="304">
        <f t="shared" ca="1" si="236"/>
        <v>7.1943761209524473</v>
      </c>
      <c r="Y549" s="314" t="str">
        <f t="shared" ca="1" si="254"/>
        <v/>
      </c>
      <c r="Z549" s="315" t="str">
        <f t="shared" ca="1" si="255"/>
        <v/>
      </c>
      <c r="AA549" s="316" t="str">
        <f t="shared" ca="1" si="256"/>
        <v/>
      </c>
      <c r="AC549" s="310" t="e">
        <f t="shared" ca="1" si="257"/>
        <v>#N/A</v>
      </c>
      <c r="AD549" s="323" t="e">
        <f t="shared" ca="1" si="258"/>
        <v>#N/A</v>
      </c>
      <c r="AE549" s="324">
        <f t="shared" ca="1" si="237"/>
        <v>-1.2696543694337181</v>
      </c>
      <c r="AG549" s="306">
        <f t="shared" ca="1" si="259"/>
        <v>6.3303614727316564</v>
      </c>
      <c r="AH549" s="304">
        <f t="shared" ca="1" si="260"/>
        <v>-3.4516127638599077</v>
      </c>
    </row>
    <row r="550" spans="1:34" x14ac:dyDescent="0.2">
      <c r="A550" s="347">
        <f t="shared" ca="1" si="238"/>
        <v>1E-4</v>
      </c>
      <c r="B550" s="304">
        <f t="shared" ca="1" si="239"/>
        <v>12.024599999999918</v>
      </c>
      <c r="D550" s="306">
        <f t="shared" ca="1" si="240"/>
        <v>-0.26071950568014612</v>
      </c>
      <c r="E550" s="307">
        <f t="shared" ca="1" si="241"/>
        <v>-6.3681616861007067</v>
      </c>
      <c r="F550" s="304">
        <f t="shared" ca="1" si="242"/>
        <v>6.3734965223935829</v>
      </c>
      <c r="G550" s="306">
        <f t="shared" ca="1" si="243"/>
        <v>3.9107854261883515</v>
      </c>
      <c r="H550" s="307">
        <f t="shared" ca="1" si="244"/>
        <v>-51.628461200147655</v>
      </c>
      <c r="I550" s="304">
        <f t="shared" ca="1" si="245"/>
        <v>51.776367664648305</v>
      </c>
      <c r="J550" s="306">
        <f t="shared" ca="1" si="246"/>
        <v>56.288824373840264</v>
      </c>
      <c r="K550" s="307">
        <f t="shared" ca="1" si="247"/>
        <v>-1.2748171837129245</v>
      </c>
      <c r="L550" s="304">
        <f t="shared" ca="1" si="232"/>
        <v>56.303258415840588</v>
      </c>
      <c r="M550" s="306">
        <f t="shared" ca="1" si="248"/>
        <v>-1.4951920740116864</v>
      </c>
      <c r="N550" s="304">
        <f t="shared" ca="1" si="249"/>
        <v>-85.668195402281853</v>
      </c>
      <c r="P550" s="310">
        <f t="shared" ca="1" si="250"/>
        <v>23</v>
      </c>
      <c r="Q550" s="304">
        <f t="shared" ca="1" si="251"/>
        <v>0</v>
      </c>
      <c r="R550" s="306">
        <f t="shared" ca="1" si="252"/>
        <v>0</v>
      </c>
      <c r="S550" s="307">
        <f t="shared" ca="1" si="253"/>
        <v>2.0843000000000003</v>
      </c>
      <c r="T550" s="304">
        <f t="shared" ca="1" si="233"/>
        <v>20.446983000000003</v>
      </c>
      <c r="U550" s="311">
        <f t="shared" ca="1" si="234"/>
        <v>0</v>
      </c>
      <c r="V550" s="306">
        <f t="shared" ca="1" si="235"/>
        <v>1.2251561750597373</v>
      </c>
      <c r="W550" s="304">
        <f t="shared" ca="1" si="236"/>
        <v>7.1945557582063016</v>
      </c>
      <c r="Y550" s="314" t="str">
        <f t="shared" ca="1" si="254"/>
        <v/>
      </c>
      <c r="Z550" s="315" t="str">
        <f t="shared" ca="1" si="255"/>
        <v/>
      </c>
      <c r="AA550" s="316" t="str">
        <f t="shared" ca="1" si="256"/>
        <v/>
      </c>
      <c r="AC550" s="310" t="e">
        <f t="shared" ca="1" si="257"/>
        <v>#N/A</v>
      </c>
      <c r="AD550" s="323" t="e">
        <f t="shared" ca="1" si="258"/>
        <v>#N/A</v>
      </c>
      <c r="AE550" s="324">
        <f t="shared" ca="1" si="237"/>
        <v>-1.2748171837129245</v>
      </c>
      <c r="AG550" s="306">
        <f t="shared" ca="1" si="259"/>
        <v>6.3302763473339034</v>
      </c>
      <c r="AH550" s="304">
        <f t="shared" ca="1" si="260"/>
        <v>-3.4516989497444928</v>
      </c>
    </row>
    <row r="551" spans="1:34" x14ac:dyDescent="0.2">
      <c r="A551" s="347">
        <f t="shared" ca="1" si="238"/>
        <v>1E-4</v>
      </c>
      <c r="B551" s="304">
        <f t="shared" ca="1" si="239"/>
        <v>12.024699999999918</v>
      </c>
      <c r="D551" s="306">
        <f t="shared" ca="1" si="240"/>
        <v>-0.2607210897877672</v>
      </c>
      <c r="E551" s="307">
        <f t="shared" ca="1" si="241"/>
        <v>-6.3680753732921271</v>
      </c>
      <c r="F551" s="304">
        <f t="shared" ca="1" si="242"/>
        <v>6.3734103466346639</v>
      </c>
      <c r="G551" s="306">
        <f t="shared" ca="1" si="243"/>
        <v>3.9107593540793726</v>
      </c>
      <c r="H551" s="307">
        <f t="shared" ca="1" si="244"/>
        <v>-51.629098007684981</v>
      </c>
      <c r="I551" s="304">
        <f t="shared" ca="1" si="245"/>
        <v>51.777000683823516</v>
      </c>
      <c r="J551" s="306">
        <f t="shared" ca="1" si="246"/>
        <v>56.288824373840264</v>
      </c>
      <c r="K551" s="307">
        <f t="shared" ca="1" si="247"/>
        <v>-1.2799800616733161</v>
      </c>
      <c r="L551" s="304">
        <f t="shared" ca="1" si="232"/>
        <v>56.303375550204052</v>
      </c>
      <c r="M551" s="306">
        <f t="shared" ca="1" si="248"/>
        <v>-1.4951935050937111</v>
      </c>
      <c r="N551" s="304">
        <f t="shared" ca="1" si="249"/>
        <v>-85.668277397241994</v>
      </c>
      <c r="P551" s="310">
        <f t="shared" ca="1" si="250"/>
        <v>23</v>
      </c>
      <c r="Q551" s="304">
        <f t="shared" ca="1" si="251"/>
        <v>0</v>
      </c>
      <c r="R551" s="306">
        <f t="shared" ca="1" si="252"/>
        <v>0</v>
      </c>
      <c r="S551" s="307">
        <f t="shared" ca="1" si="253"/>
        <v>2.0843000000000003</v>
      </c>
      <c r="T551" s="304">
        <f t="shared" ca="1" si="233"/>
        <v>20.446983000000003</v>
      </c>
      <c r="U551" s="311">
        <f t="shared" ca="1" si="234"/>
        <v>0</v>
      </c>
      <c r="V551" s="306">
        <f t="shared" ca="1" si="235"/>
        <v>1.2251568075930848</v>
      </c>
      <c r="W551" s="304">
        <f t="shared" ca="1" si="236"/>
        <v>7.1947353954746811</v>
      </c>
      <c r="Y551" s="314" t="str">
        <f t="shared" ca="1" si="254"/>
        <v/>
      </c>
      <c r="Z551" s="315" t="str">
        <f t="shared" ca="1" si="255"/>
        <v/>
      </c>
      <c r="AA551" s="316" t="str">
        <f t="shared" ca="1" si="256"/>
        <v/>
      </c>
      <c r="AC551" s="310" t="e">
        <f t="shared" ca="1" si="257"/>
        <v>#N/A</v>
      </c>
      <c r="AD551" s="323" t="e">
        <f t="shared" ca="1" si="258"/>
        <v>#N/A</v>
      </c>
      <c r="AE551" s="324">
        <f t="shared" ca="1" si="237"/>
        <v>-1.2799800616733161</v>
      </c>
      <c r="AG551" s="306">
        <f t="shared" ca="1" si="259"/>
        <v>6.3301912218761034</v>
      </c>
      <c r="AH551" s="304">
        <f t="shared" ca="1" si="260"/>
        <v>-3.4517851356360891</v>
      </c>
    </row>
    <row r="552" spans="1:34" x14ac:dyDescent="0.2">
      <c r="A552" s="347">
        <f t="shared" ca="1" si="238"/>
        <v>1E-4</v>
      </c>
      <c r="B552" s="304">
        <f t="shared" ca="1" si="239"/>
        <v>12.024799999999917</v>
      </c>
      <c r="D552" s="306">
        <f t="shared" ca="1" si="240"/>
        <v>-0.26072267380268649</v>
      </c>
      <c r="E552" s="307">
        <f t="shared" ca="1" si="241"/>
        <v>-6.3679890604766261</v>
      </c>
      <c r="F552" s="304">
        <f t="shared" ca="1" si="242"/>
        <v>6.3733241708691386</v>
      </c>
      <c r="G552" s="306">
        <f t="shared" ca="1" si="243"/>
        <v>3.9107332818119924</v>
      </c>
      <c r="H552" s="307">
        <f t="shared" ca="1" si="244"/>
        <v>-51.629734806591031</v>
      </c>
      <c r="I552" s="304">
        <f t="shared" ca="1" si="245"/>
        <v>51.77763369448617</v>
      </c>
      <c r="J552" s="306">
        <f t="shared" ca="1" si="246"/>
        <v>56.288824373840264</v>
      </c>
      <c r="K552" s="307">
        <f t="shared" ca="1" si="247"/>
        <v>-1.2851430033140299</v>
      </c>
      <c r="L552" s="304">
        <f t="shared" ca="1" si="232"/>
        <v>56.303493159199292</v>
      </c>
      <c r="M552" s="306">
        <f t="shared" ca="1" si="248"/>
        <v>-1.4951949361312036</v>
      </c>
      <c r="N552" s="304">
        <f t="shared" ca="1" si="249"/>
        <v>-85.668359389650647</v>
      </c>
      <c r="P552" s="310">
        <f t="shared" ca="1" si="250"/>
        <v>23</v>
      </c>
      <c r="Q552" s="304">
        <f t="shared" ca="1" si="251"/>
        <v>0</v>
      </c>
      <c r="R552" s="306">
        <f t="shared" ca="1" si="252"/>
        <v>0</v>
      </c>
      <c r="S552" s="307">
        <f t="shared" ca="1" si="253"/>
        <v>2.0843000000000003</v>
      </c>
      <c r="T552" s="304">
        <f t="shared" ca="1" si="233"/>
        <v>20.446983000000003</v>
      </c>
      <c r="U552" s="311">
        <f t="shared" ca="1" si="234"/>
        <v>0</v>
      </c>
      <c r="V552" s="306">
        <f t="shared" ca="1" si="235"/>
        <v>1.2251574401345604</v>
      </c>
      <c r="W552" s="304">
        <f t="shared" ca="1" si="236"/>
        <v>7.1949150327575007</v>
      </c>
      <c r="Y552" s="314" t="str">
        <f t="shared" ca="1" si="254"/>
        <v/>
      </c>
      <c r="Z552" s="315" t="str">
        <f t="shared" ca="1" si="255"/>
        <v/>
      </c>
      <c r="AA552" s="316" t="str">
        <f t="shared" ca="1" si="256"/>
        <v/>
      </c>
      <c r="AC552" s="310" t="e">
        <f t="shared" ca="1" si="257"/>
        <v>#N/A</v>
      </c>
      <c r="AD552" s="323" t="e">
        <f t="shared" ca="1" si="258"/>
        <v>#N/A</v>
      </c>
      <c r="AE552" s="324">
        <f t="shared" ca="1" si="237"/>
        <v>-1.2851430033140299</v>
      </c>
      <c r="AG552" s="306">
        <f t="shared" ca="1" si="259"/>
        <v>6.3301060963583007</v>
      </c>
      <c r="AH552" s="304">
        <f t="shared" ca="1" si="260"/>
        <v>-3.4518713215346546</v>
      </c>
    </row>
    <row r="553" spans="1:34" x14ac:dyDescent="0.2">
      <c r="A553" s="347">
        <f t="shared" ca="1" si="238"/>
        <v>1E-4</v>
      </c>
      <c r="B553" s="304">
        <f t="shared" ca="1" si="239"/>
        <v>12.024899999999917</v>
      </c>
      <c r="D553" s="306">
        <f t="shared" ca="1" si="240"/>
        <v>-0.26072425772490559</v>
      </c>
      <c r="E553" s="307">
        <f t="shared" ca="1" si="241"/>
        <v>-6.3679027476542451</v>
      </c>
      <c r="F553" s="304">
        <f t="shared" ca="1" si="242"/>
        <v>6.3732379950970515</v>
      </c>
      <c r="G553" s="306">
        <f t="shared" ca="1" si="243"/>
        <v>3.9107072093862199</v>
      </c>
      <c r="H553" s="307">
        <f t="shared" ca="1" si="244"/>
        <v>-51.6303715968658</v>
      </c>
      <c r="I553" s="304">
        <f t="shared" ca="1" si="245"/>
        <v>51.778266696636265</v>
      </c>
      <c r="J553" s="306">
        <f t="shared" ca="1" si="246"/>
        <v>56.288824373840264</v>
      </c>
      <c r="K553" s="307">
        <f t="shared" ca="1" si="247"/>
        <v>-1.2903060086342026</v>
      </c>
      <c r="L553" s="304">
        <f t="shared" ca="1" si="232"/>
        <v>56.303611242840823</v>
      </c>
      <c r="M553" s="306">
        <f t="shared" ca="1" si="248"/>
        <v>-1.4951963671241661</v>
      </c>
      <c r="N553" s="304">
        <f t="shared" ca="1" si="249"/>
        <v>-85.668441379507911</v>
      </c>
      <c r="P553" s="310">
        <f t="shared" ca="1" si="250"/>
        <v>23</v>
      </c>
      <c r="Q553" s="304">
        <f t="shared" ca="1" si="251"/>
        <v>0</v>
      </c>
      <c r="R553" s="306">
        <f t="shared" ca="1" si="252"/>
        <v>0</v>
      </c>
      <c r="S553" s="307">
        <f t="shared" ca="1" si="253"/>
        <v>2.0843000000000003</v>
      </c>
      <c r="T553" s="304">
        <f t="shared" ca="1" si="233"/>
        <v>20.446983000000003</v>
      </c>
      <c r="U553" s="311">
        <f t="shared" ca="1" si="234"/>
        <v>0</v>
      </c>
      <c r="V553" s="306">
        <f t="shared" ca="1" si="235"/>
        <v>1.2251580726841647</v>
      </c>
      <c r="W553" s="304">
        <f t="shared" ca="1" si="236"/>
        <v>7.1950946700546732</v>
      </c>
      <c r="Y553" s="314" t="str">
        <f t="shared" ca="1" si="254"/>
        <v/>
      </c>
      <c r="Z553" s="315" t="str">
        <f t="shared" ca="1" si="255"/>
        <v/>
      </c>
      <c r="AA553" s="316" t="str">
        <f t="shared" ca="1" si="256"/>
        <v/>
      </c>
      <c r="AC553" s="310" t="e">
        <f t="shared" ca="1" si="257"/>
        <v>#N/A</v>
      </c>
      <c r="AD553" s="323" t="e">
        <f t="shared" ca="1" si="258"/>
        <v>#N/A</v>
      </c>
      <c r="AE553" s="324">
        <f t="shared" ca="1" si="237"/>
        <v>-1.2903060086342026</v>
      </c>
      <c r="AG553" s="306">
        <f t="shared" ca="1" si="259"/>
        <v>6.3300209707805406</v>
      </c>
      <c r="AH553" s="304">
        <f t="shared" ca="1" si="260"/>
        <v>-3.4519575074401478</v>
      </c>
    </row>
    <row r="554" spans="1:34" x14ac:dyDescent="0.2">
      <c r="A554" s="347">
        <f t="shared" ca="1" si="238"/>
        <v>1E-4</v>
      </c>
      <c r="B554" s="304">
        <f t="shared" ca="1" si="239"/>
        <v>12.024999999999917</v>
      </c>
      <c r="D554" s="306">
        <f t="shared" ca="1" si="240"/>
        <v>-0.26072584155442513</v>
      </c>
      <c r="E554" s="307">
        <f t="shared" ca="1" si="241"/>
        <v>-6.367816434825027</v>
      </c>
      <c r="F554" s="304">
        <f t="shared" ca="1" si="242"/>
        <v>6.3731518193184433</v>
      </c>
      <c r="G554" s="306">
        <f t="shared" ca="1" si="243"/>
        <v>3.9106811368020642</v>
      </c>
      <c r="H554" s="307">
        <f t="shared" ca="1" si="244"/>
        <v>-51.631008378509286</v>
      </c>
      <c r="I554" s="304">
        <f t="shared" ca="1" si="245"/>
        <v>51.778899690273796</v>
      </c>
      <c r="J554" s="306">
        <f t="shared" ca="1" si="246"/>
        <v>56.288824373840264</v>
      </c>
      <c r="K554" s="307">
        <f t="shared" ca="1" si="247"/>
        <v>-1.2954690776329714</v>
      </c>
      <c r="L554" s="304">
        <f t="shared" ca="1" si="232"/>
        <v>56.30372980114317</v>
      </c>
      <c r="M554" s="306">
        <f t="shared" ca="1" si="248"/>
        <v>-1.4951977980726008</v>
      </c>
      <c r="N554" s="304">
        <f t="shared" ca="1" si="249"/>
        <v>-85.668523366813915</v>
      </c>
      <c r="P554" s="310">
        <f t="shared" ca="1" si="250"/>
        <v>23</v>
      </c>
      <c r="Q554" s="304">
        <f t="shared" ca="1" si="251"/>
        <v>0</v>
      </c>
      <c r="R554" s="306">
        <f t="shared" ca="1" si="252"/>
        <v>0</v>
      </c>
      <c r="S554" s="307">
        <f t="shared" ca="1" si="253"/>
        <v>2.0843000000000003</v>
      </c>
      <c r="T554" s="304">
        <f t="shared" ca="1" si="233"/>
        <v>20.446983000000003</v>
      </c>
      <c r="U554" s="311">
        <f t="shared" ca="1" si="234"/>
        <v>0</v>
      </c>
      <c r="V554" s="306">
        <f t="shared" ca="1" si="235"/>
        <v>1.2251587052418966</v>
      </c>
      <c r="W554" s="304">
        <f t="shared" ca="1" si="236"/>
        <v>7.1952743073661134</v>
      </c>
      <c r="Y554" s="314" t="str">
        <f t="shared" ca="1" si="254"/>
        <v/>
      </c>
      <c r="Z554" s="315" t="str">
        <f t="shared" ca="1" si="255"/>
        <v/>
      </c>
      <c r="AA554" s="316" t="str">
        <f t="shared" ca="1" si="256"/>
        <v/>
      </c>
      <c r="AC554" s="310" t="e">
        <f t="shared" ca="1" si="257"/>
        <v>#N/A</v>
      </c>
      <c r="AD554" s="323" t="e">
        <f t="shared" ca="1" si="258"/>
        <v>#N/A</v>
      </c>
      <c r="AE554" s="324">
        <f t="shared" ca="1" si="237"/>
        <v>-1.2954690776329714</v>
      </c>
      <c r="AG554" s="306">
        <f t="shared" ca="1" si="259"/>
        <v>6.3299358451428684</v>
      </c>
      <c r="AH554" s="304">
        <f t="shared" ca="1" si="260"/>
        <v>-3.4520436933525271</v>
      </c>
    </row>
    <row r="555" spans="1:34" x14ac:dyDescent="0.2">
      <c r="A555" s="347">
        <f t="shared" ca="1" si="238"/>
        <v>1E-4</v>
      </c>
      <c r="B555" s="304">
        <f t="shared" ca="1" si="239"/>
        <v>12.025099999999917</v>
      </c>
      <c r="D555" s="306">
        <f t="shared" ca="1" si="240"/>
        <v>-0.26072742529124665</v>
      </c>
      <c r="E555" s="307">
        <f t="shared" ca="1" si="241"/>
        <v>-6.3677301219890099</v>
      </c>
      <c r="F555" s="304">
        <f t="shared" ca="1" si="242"/>
        <v>6.3730656435333515</v>
      </c>
      <c r="G555" s="306">
        <f t="shared" ca="1" si="243"/>
        <v>3.9106550640595352</v>
      </c>
      <c r="H555" s="307">
        <f t="shared" ca="1" si="244"/>
        <v>-51.631645151521482</v>
      </c>
      <c r="I555" s="304">
        <f t="shared" ca="1" si="245"/>
        <v>51.779532675398741</v>
      </c>
      <c r="J555" s="306">
        <f t="shared" ca="1" si="246"/>
        <v>56.288824373840264</v>
      </c>
      <c r="K555" s="307">
        <f t="shared" ca="1" si="247"/>
        <v>-1.300632210309473</v>
      </c>
      <c r="L555" s="304">
        <f t="shared" ca="1" si="232"/>
        <v>56.303848834120821</v>
      </c>
      <c r="M555" s="306">
        <f t="shared" ca="1" si="248"/>
        <v>-1.4951992289765097</v>
      </c>
      <c r="N555" s="304">
        <f t="shared" ca="1" si="249"/>
        <v>-85.668605351568786</v>
      </c>
      <c r="P555" s="310">
        <f t="shared" ca="1" si="250"/>
        <v>23</v>
      </c>
      <c r="Q555" s="304">
        <f t="shared" ca="1" si="251"/>
        <v>0</v>
      </c>
      <c r="R555" s="306">
        <f t="shared" ca="1" si="252"/>
        <v>0</v>
      </c>
      <c r="S555" s="307">
        <f t="shared" ca="1" si="253"/>
        <v>2.0843000000000003</v>
      </c>
      <c r="T555" s="304">
        <f t="shared" ca="1" si="233"/>
        <v>20.446983000000003</v>
      </c>
      <c r="U555" s="311">
        <f t="shared" ca="1" si="234"/>
        <v>0</v>
      </c>
      <c r="V555" s="306">
        <f t="shared" ca="1" si="235"/>
        <v>1.2251593378077572</v>
      </c>
      <c r="W555" s="304">
        <f t="shared" ca="1" si="236"/>
        <v>7.1954539446917307</v>
      </c>
      <c r="Y555" s="314" t="str">
        <f t="shared" ca="1" si="254"/>
        <v/>
      </c>
      <c r="Z555" s="315" t="str">
        <f t="shared" ca="1" si="255"/>
        <v/>
      </c>
      <c r="AA555" s="316" t="str">
        <f t="shared" ca="1" si="256"/>
        <v/>
      </c>
      <c r="AC555" s="310" t="e">
        <f t="shared" ca="1" si="257"/>
        <v>#N/A</v>
      </c>
      <c r="AD555" s="323" t="e">
        <f t="shared" ca="1" si="258"/>
        <v>#N/A</v>
      </c>
      <c r="AE555" s="324">
        <f t="shared" ca="1" si="237"/>
        <v>-1.300632210309473</v>
      </c>
      <c r="AG555" s="306">
        <f t="shared" ca="1" si="259"/>
        <v>6.3298507194453304</v>
      </c>
      <c r="AH555" s="304">
        <f t="shared" ca="1" si="260"/>
        <v>-3.4521298792717521</v>
      </c>
    </row>
    <row r="556" spans="1:34" x14ac:dyDescent="0.2">
      <c r="A556" s="347">
        <f t="shared" ca="1" si="238"/>
        <v>1E-4</v>
      </c>
      <c r="B556" s="304">
        <f t="shared" ca="1" si="239"/>
        <v>12.025199999999916</v>
      </c>
      <c r="D556" s="306">
        <f t="shared" ca="1" si="240"/>
        <v>-0.26072900893537065</v>
      </c>
      <c r="E556" s="307">
        <f t="shared" ca="1" si="241"/>
        <v>-6.36764380914624</v>
      </c>
      <c r="F556" s="304">
        <f t="shared" ca="1" si="242"/>
        <v>6.3729794677418239</v>
      </c>
      <c r="G556" s="306">
        <f t="shared" ca="1" si="243"/>
        <v>3.9106289911586418</v>
      </c>
      <c r="H556" s="307">
        <f t="shared" ca="1" si="244"/>
        <v>-51.632281915902396</v>
      </c>
      <c r="I556" s="304">
        <f t="shared" ca="1" si="245"/>
        <v>51.780165652011121</v>
      </c>
      <c r="J556" s="306">
        <f t="shared" ca="1" si="246"/>
        <v>56.288824373840264</v>
      </c>
      <c r="K556" s="307">
        <f t="shared" ca="1" si="247"/>
        <v>-1.3057954066628441</v>
      </c>
      <c r="L556" s="304">
        <f t="shared" ca="1" si="232"/>
        <v>56.30396834178827</v>
      </c>
      <c r="M556" s="306">
        <f t="shared" ca="1" si="248"/>
        <v>-1.4952006598358949</v>
      </c>
      <c r="N556" s="304">
        <f t="shared" ca="1" si="249"/>
        <v>-85.668687333772638</v>
      </c>
      <c r="P556" s="310">
        <f t="shared" ca="1" si="250"/>
        <v>23</v>
      </c>
      <c r="Q556" s="304">
        <f t="shared" ca="1" si="251"/>
        <v>0</v>
      </c>
      <c r="R556" s="306">
        <f t="shared" ca="1" si="252"/>
        <v>0</v>
      </c>
      <c r="S556" s="307">
        <f t="shared" ca="1" si="253"/>
        <v>2.0843000000000003</v>
      </c>
      <c r="T556" s="304">
        <f t="shared" ca="1" si="233"/>
        <v>20.446983000000003</v>
      </c>
      <c r="U556" s="311">
        <f t="shared" ca="1" si="234"/>
        <v>0</v>
      </c>
      <c r="V556" s="306">
        <f t="shared" ca="1" si="235"/>
        <v>1.225159970381746</v>
      </c>
      <c r="W556" s="304">
        <f t="shared" ca="1" si="236"/>
        <v>7.1956335820314496</v>
      </c>
      <c r="Y556" s="314" t="str">
        <f t="shared" ca="1" si="254"/>
        <v/>
      </c>
      <c r="Z556" s="315" t="str">
        <f t="shared" ca="1" si="255"/>
        <v/>
      </c>
      <c r="AA556" s="316" t="str">
        <f t="shared" ca="1" si="256"/>
        <v/>
      </c>
      <c r="AC556" s="310" t="e">
        <f t="shared" ca="1" si="257"/>
        <v>#N/A</v>
      </c>
      <c r="AD556" s="323" t="e">
        <f t="shared" ca="1" si="258"/>
        <v>#N/A</v>
      </c>
      <c r="AE556" s="324">
        <f t="shared" ca="1" si="237"/>
        <v>-1.3057954066628441</v>
      </c>
      <c r="AG556" s="306">
        <f t="shared" ca="1" si="259"/>
        <v>6.3297655936879673</v>
      </c>
      <c r="AH556" s="304">
        <f t="shared" ca="1" si="260"/>
        <v>-3.4522160651977787</v>
      </c>
    </row>
    <row r="557" spans="1:34" x14ac:dyDescent="0.2">
      <c r="A557" s="347">
        <f t="shared" ca="1" si="238"/>
        <v>1E-4</v>
      </c>
      <c r="B557" s="304">
        <f t="shared" ca="1" si="239"/>
        <v>12.025299999999916</v>
      </c>
      <c r="D557" s="306">
        <f t="shared" ca="1" si="240"/>
        <v>-0.26073059248679908</v>
      </c>
      <c r="E557" s="307">
        <f t="shared" ca="1" si="241"/>
        <v>-6.3675574962967518</v>
      </c>
      <c r="F557" s="304">
        <f t="shared" ca="1" si="242"/>
        <v>6.3728932919438934</v>
      </c>
      <c r="G557" s="306">
        <f t="shared" ca="1" si="243"/>
        <v>3.9106029180993933</v>
      </c>
      <c r="H557" s="307">
        <f t="shared" ca="1" si="244"/>
        <v>-51.632918671652028</v>
      </c>
      <c r="I557" s="304">
        <f t="shared" ca="1" si="245"/>
        <v>51.780798620110907</v>
      </c>
      <c r="J557" s="306">
        <f t="shared" ca="1" si="246"/>
        <v>56.288824373840264</v>
      </c>
      <c r="K557" s="307">
        <f t="shared" ca="1" si="247"/>
        <v>-1.3109586666922217</v>
      </c>
      <c r="L557" s="304">
        <f t="shared" ca="1" si="232"/>
        <v>56.304088324159991</v>
      </c>
      <c r="M557" s="306">
        <f t="shared" ca="1" si="248"/>
        <v>-1.4952020906507588</v>
      </c>
      <c r="N557" s="304">
        <f t="shared" ca="1" si="249"/>
        <v>-85.668769313425599</v>
      </c>
      <c r="P557" s="310">
        <f t="shared" ca="1" si="250"/>
        <v>23</v>
      </c>
      <c r="Q557" s="304">
        <f t="shared" ca="1" si="251"/>
        <v>0</v>
      </c>
      <c r="R557" s="306">
        <f t="shared" ca="1" si="252"/>
        <v>0</v>
      </c>
      <c r="S557" s="307">
        <f t="shared" ca="1" si="253"/>
        <v>2.0843000000000003</v>
      </c>
      <c r="T557" s="304">
        <f t="shared" ca="1" si="233"/>
        <v>20.446983000000003</v>
      </c>
      <c r="U557" s="311">
        <f t="shared" ca="1" si="234"/>
        <v>0</v>
      </c>
      <c r="V557" s="306">
        <f t="shared" ca="1" si="235"/>
        <v>1.225160602963862</v>
      </c>
      <c r="W557" s="304">
        <f t="shared" ca="1" si="236"/>
        <v>7.1958132193851707</v>
      </c>
      <c r="Y557" s="314" t="str">
        <f t="shared" ca="1" si="254"/>
        <v/>
      </c>
      <c r="Z557" s="315" t="str">
        <f t="shared" ca="1" si="255"/>
        <v/>
      </c>
      <c r="AA557" s="316" t="str">
        <f t="shared" ca="1" si="256"/>
        <v/>
      </c>
      <c r="AC557" s="310" t="e">
        <f t="shared" ca="1" si="257"/>
        <v>#N/A</v>
      </c>
      <c r="AD557" s="323" t="e">
        <f t="shared" ca="1" si="258"/>
        <v>#N/A</v>
      </c>
      <c r="AE557" s="324">
        <f t="shared" ca="1" si="237"/>
        <v>-1.3109586666922217</v>
      </c>
      <c r="AG557" s="306">
        <f t="shared" ca="1" si="259"/>
        <v>6.3296804678708272</v>
      </c>
      <c r="AH557" s="304">
        <f t="shared" ca="1" si="260"/>
        <v>-3.452302251130571</v>
      </c>
    </row>
    <row r="558" spans="1:34" x14ac:dyDescent="0.2">
      <c r="A558" s="347">
        <f t="shared" ca="1" si="238"/>
        <v>1E-4</v>
      </c>
      <c r="B558" s="304">
        <f t="shared" ca="1" si="239"/>
        <v>12.025399999999916</v>
      </c>
      <c r="D558" s="306">
        <f t="shared" ca="1" si="240"/>
        <v>-0.26073217594553127</v>
      </c>
      <c r="E558" s="307">
        <f t="shared" ca="1" si="241"/>
        <v>-6.3674711834405944</v>
      </c>
      <c r="F558" s="304">
        <f t="shared" ca="1" si="242"/>
        <v>6.3728071161396098</v>
      </c>
      <c r="G558" s="306">
        <f t="shared" ca="1" si="243"/>
        <v>3.9105768448817986</v>
      </c>
      <c r="H558" s="307">
        <f t="shared" ca="1" si="244"/>
        <v>-51.633555418770371</v>
      </c>
      <c r="I558" s="304">
        <f t="shared" ca="1" si="245"/>
        <v>51.781431579698108</v>
      </c>
      <c r="J558" s="306">
        <f t="shared" ca="1" si="246"/>
        <v>56.288824373840264</v>
      </c>
      <c r="K558" s="307">
        <f t="shared" ca="1" si="247"/>
        <v>-1.3161219903967429</v>
      </c>
      <c r="L558" s="304">
        <f t="shared" ca="1" si="232"/>
        <v>56.304208781250445</v>
      </c>
      <c r="M558" s="306">
        <f t="shared" ca="1" si="248"/>
        <v>-1.4952035214211037</v>
      </c>
      <c r="N558" s="304">
        <f t="shared" ca="1" si="249"/>
        <v>-85.668851290527812</v>
      </c>
      <c r="P558" s="310">
        <f t="shared" ca="1" si="250"/>
        <v>23</v>
      </c>
      <c r="Q558" s="304">
        <f t="shared" ca="1" si="251"/>
        <v>0</v>
      </c>
      <c r="R558" s="306">
        <f t="shared" ca="1" si="252"/>
        <v>0</v>
      </c>
      <c r="S558" s="307">
        <f t="shared" ca="1" si="253"/>
        <v>2.0843000000000003</v>
      </c>
      <c r="T558" s="304">
        <f t="shared" ca="1" si="233"/>
        <v>20.446983000000003</v>
      </c>
      <c r="U558" s="311">
        <f t="shared" ca="1" si="234"/>
        <v>0</v>
      </c>
      <c r="V558" s="306">
        <f t="shared" ca="1" si="235"/>
        <v>1.2251612355541064</v>
      </c>
      <c r="W558" s="304">
        <f t="shared" ca="1" si="236"/>
        <v>7.195992856752822</v>
      </c>
      <c r="Y558" s="314" t="str">
        <f t="shared" ca="1" si="254"/>
        <v/>
      </c>
      <c r="Z558" s="315" t="str">
        <f t="shared" ca="1" si="255"/>
        <v/>
      </c>
      <c r="AA558" s="316" t="str">
        <f t="shared" ca="1" si="256"/>
        <v/>
      </c>
      <c r="AC558" s="310" t="e">
        <f t="shared" ca="1" si="257"/>
        <v>#N/A</v>
      </c>
      <c r="AD558" s="323" t="e">
        <f t="shared" ca="1" si="258"/>
        <v>#N/A</v>
      </c>
      <c r="AE558" s="324">
        <f t="shared" ca="1" si="237"/>
        <v>-1.3161219903967429</v>
      </c>
      <c r="AG558" s="306">
        <f t="shared" ca="1" si="259"/>
        <v>6.3295953419939561</v>
      </c>
      <c r="AH558" s="304">
        <f t="shared" ca="1" si="260"/>
        <v>-3.452388437070081</v>
      </c>
    </row>
    <row r="559" spans="1:34" x14ac:dyDescent="0.2">
      <c r="A559" s="347">
        <f t="shared" ca="1" si="238"/>
        <v>1E-4</v>
      </c>
      <c r="B559" s="304">
        <f t="shared" ca="1" si="239"/>
        <v>12.025499999999916</v>
      </c>
      <c r="D559" s="306">
        <f t="shared" ca="1" si="240"/>
        <v>-0.2607337593115685</v>
      </c>
      <c r="E559" s="307">
        <f t="shared" ca="1" si="241"/>
        <v>-6.3673848705778013</v>
      </c>
      <c r="F559" s="304">
        <f t="shared" ca="1" si="242"/>
        <v>6.3727209403290077</v>
      </c>
      <c r="G559" s="306">
        <f t="shared" ca="1" si="243"/>
        <v>3.9105507715058674</v>
      </c>
      <c r="H559" s="307">
        <f t="shared" ca="1" si="244"/>
        <v>-51.634192157257431</v>
      </c>
      <c r="I559" s="304">
        <f t="shared" ca="1" si="245"/>
        <v>51.782064530772715</v>
      </c>
      <c r="J559" s="306">
        <f t="shared" ca="1" si="246"/>
        <v>56.288824373840264</v>
      </c>
      <c r="K559" s="307">
        <f t="shared" ca="1" si="247"/>
        <v>-1.3212853777755442</v>
      </c>
      <c r="L559" s="304">
        <f t="shared" ca="1" si="232"/>
        <v>56.30432971307409</v>
      </c>
      <c r="M559" s="306">
        <f t="shared" ca="1" si="248"/>
        <v>-1.4952049521469313</v>
      </c>
      <c r="N559" s="304">
        <f t="shared" ca="1" si="249"/>
        <v>-85.668933265079374</v>
      </c>
      <c r="P559" s="310">
        <f t="shared" ca="1" si="250"/>
        <v>23</v>
      </c>
      <c r="Q559" s="304">
        <f t="shared" ca="1" si="251"/>
        <v>0</v>
      </c>
      <c r="R559" s="306">
        <f t="shared" ca="1" si="252"/>
        <v>0</v>
      </c>
      <c r="S559" s="307">
        <f t="shared" ca="1" si="253"/>
        <v>2.0843000000000003</v>
      </c>
      <c r="T559" s="304">
        <f t="shared" ca="1" si="233"/>
        <v>20.446983000000003</v>
      </c>
      <c r="U559" s="311">
        <f t="shared" ca="1" si="234"/>
        <v>0</v>
      </c>
      <c r="V559" s="306">
        <f t="shared" ca="1" si="235"/>
        <v>1.2251618681524787</v>
      </c>
      <c r="W559" s="304">
        <f t="shared" ca="1" si="236"/>
        <v>7.1961724941343119</v>
      </c>
      <c r="Y559" s="314" t="str">
        <f t="shared" ca="1" si="254"/>
        <v/>
      </c>
      <c r="Z559" s="315" t="str">
        <f t="shared" ca="1" si="255"/>
        <v/>
      </c>
      <c r="AA559" s="316" t="str">
        <f t="shared" ca="1" si="256"/>
        <v/>
      </c>
      <c r="AC559" s="310" t="e">
        <f t="shared" ca="1" si="257"/>
        <v>#N/A</v>
      </c>
      <c r="AD559" s="323" t="e">
        <f t="shared" ca="1" si="258"/>
        <v>#N/A</v>
      </c>
      <c r="AE559" s="324">
        <f t="shared" ca="1" si="237"/>
        <v>-1.3212853777755442</v>
      </c>
      <c r="AG559" s="306">
        <f t="shared" ca="1" si="259"/>
        <v>6.3295102160573942</v>
      </c>
      <c r="AH559" s="304">
        <f t="shared" ca="1" si="260"/>
        <v>-3.4524746230162746</v>
      </c>
    </row>
    <row r="560" spans="1:34" x14ac:dyDescent="0.2">
      <c r="A560" s="347">
        <f t="shared" ca="1" si="238"/>
        <v>1E-4</v>
      </c>
      <c r="B560" s="304">
        <f t="shared" ca="1" si="239"/>
        <v>12.025599999999915</v>
      </c>
      <c r="D560" s="306">
        <f t="shared" ca="1" si="240"/>
        <v>-0.26073534258491277</v>
      </c>
      <c r="E560" s="307">
        <f t="shared" ca="1" si="241"/>
        <v>-6.3672985577084171</v>
      </c>
      <c r="F560" s="304">
        <f t="shared" ca="1" si="242"/>
        <v>6.3726347645121288</v>
      </c>
      <c r="G560" s="306">
        <f t="shared" ca="1" si="243"/>
        <v>3.9105246979716091</v>
      </c>
      <c r="H560" s="307">
        <f t="shared" ca="1" si="244"/>
        <v>-51.634828887113201</v>
      </c>
      <c r="I560" s="304">
        <f t="shared" ca="1" si="245"/>
        <v>51.782697473334714</v>
      </c>
      <c r="J560" s="306">
        <f t="shared" ca="1" si="246"/>
        <v>56.288824373840264</v>
      </c>
      <c r="K560" s="307">
        <f t="shared" ca="1" si="247"/>
        <v>-1.3264488288277627</v>
      </c>
      <c r="L560" s="304">
        <f t="shared" ca="1" si="232"/>
        <v>56.30445111964535</v>
      </c>
      <c r="M560" s="306">
        <f t="shared" ca="1" si="248"/>
        <v>-1.4952063828282443</v>
      </c>
      <c r="N560" s="304">
        <f t="shared" ca="1" si="249"/>
        <v>-85.669015237080444</v>
      </c>
      <c r="P560" s="310">
        <f t="shared" ca="1" si="250"/>
        <v>23</v>
      </c>
      <c r="Q560" s="304">
        <f t="shared" ca="1" si="251"/>
        <v>0</v>
      </c>
      <c r="R560" s="306">
        <f t="shared" ca="1" si="252"/>
        <v>0</v>
      </c>
      <c r="S560" s="307">
        <f t="shared" ca="1" si="253"/>
        <v>2.0843000000000003</v>
      </c>
      <c r="T560" s="304">
        <f t="shared" ca="1" si="233"/>
        <v>20.446983000000003</v>
      </c>
      <c r="U560" s="311">
        <f t="shared" ca="1" si="234"/>
        <v>0</v>
      </c>
      <c r="V560" s="306">
        <f t="shared" ca="1" si="235"/>
        <v>1.2251625007589784</v>
      </c>
      <c r="W560" s="304">
        <f t="shared" ca="1" si="236"/>
        <v>7.19635213152955</v>
      </c>
      <c r="Y560" s="314" t="str">
        <f t="shared" ca="1" si="254"/>
        <v/>
      </c>
      <c r="Z560" s="315" t="str">
        <f t="shared" ca="1" si="255"/>
        <v/>
      </c>
      <c r="AA560" s="316" t="str">
        <f t="shared" ca="1" si="256"/>
        <v/>
      </c>
      <c r="AC560" s="310" t="e">
        <f t="shared" ca="1" si="257"/>
        <v>#N/A</v>
      </c>
      <c r="AD560" s="323" t="e">
        <f t="shared" ca="1" si="258"/>
        <v>#N/A</v>
      </c>
      <c r="AE560" s="324">
        <f t="shared" ca="1" si="237"/>
        <v>-1.3264488288277627</v>
      </c>
      <c r="AG560" s="306">
        <f t="shared" ca="1" si="259"/>
        <v>6.3294250900611848</v>
      </c>
      <c r="AH560" s="304">
        <f t="shared" ca="1" si="260"/>
        <v>-3.4525608089691078</v>
      </c>
    </row>
    <row r="561" spans="1:34" x14ac:dyDescent="0.2">
      <c r="A561" s="347">
        <f t="shared" ca="1" si="238"/>
        <v>1E-4</v>
      </c>
      <c r="B561" s="304">
        <f t="shared" ca="1" si="239"/>
        <v>12.025699999999915</v>
      </c>
      <c r="D561" s="306">
        <f t="shared" ca="1" si="240"/>
        <v>-0.26073692576556318</v>
      </c>
      <c r="E561" s="307">
        <f t="shared" ca="1" si="241"/>
        <v>-6.3672122448324853</v>
      </c>
      <c r="F561" s="304">
        <f t="shared" ca="1" si="242"/>
        <v>6.3725485886890194</v>
      </c>
      <c r="G561" s="306">
        <f t="shared" ca="1" si="243"/>
        <v>3.9104986242790325</v>
      </c>
      <c r="H561" s="307">
        <f t="shared" ca="1" si="244"/>
        <v>-51.635465608337682</v>
      </c>
      <c r="I561" s="304">
        <f t="shared" ca="1" si="245"/>
        <v>51.783330407384106</v>
      </c>
      <c r="J561" s="306">
        <f t="shared" ca="1" si="246"/>
        <v>56.288824373840264</v>
      </c>
      <c r="K561" s="307">
        <f t="shared" ca="1" si="247"/>
        <v>-1.3316123435525353</v>
      </c>
      <c r="L561" s="304">
        <f t="shared" ca="1" si="232"/>
        <v>56.304573000978664</v>
      </c>
      <c r="M561" s="306">
        <f t="shared" ca="1" si="248"/>
        <v>-1.4952078134650442</v>
      </c>
      <c r="N561" s="304">
        <f t="shared" ca="1" si="249"/>
        <v>-85.669097206531092</v>
      </c>
      <c r="P561" s="310">
        <f t="shared" ca="1" si="250"/>
        <v>23</v>
      </c>
      <c r="Q561" s="304">
        <f t="shared" ca="1" si="251"/>
        <v>0</v>
      </c>
      <c r="R561" s="306">
        <f t="shared" ca="1" si="252"/>
        <v>0</v>
      </c>
      <c r="S561" s="307">
        <f t="shared" ca="1" si="253"/>
        <v>2.0843000000000003</v>
      </c>
      <c r="T561" s="304">
        <f t="shared" ca="1" si="233"/>
        <v>20.446983000000003</v>
      </c>
      <c r="U561" s="311">
        <f t="shared" ca="1" si="234"/>
        <v>0</v>
      </c>
      <c r="V561" s="306">
        <f t="shared" ca="1" si="235"/>
        <v>1.2251631333736062</v>
      </c>
      <c r="W561" s="304">
        <f t="shared" ca="1" si="236"/>
        <v>7.1965317689384616</v>
      </c>
      <c r="Y561" s="314" t="str">
        <f t="shared" ca="1" si="254"/>
        <v/>
      </c>
      <c r="Z561" s="315" t="str">
        <f t="shared" ca="1" si="255"/>
        <v/>
      </c>
      <c r="AA561" s="316" t="str">
        <f t="shared" ca="1" si="256"/>
        <v/>
      </c>
      <c r="AC561" s="310" t="e">
        <f t="shared" ca="1" si="257"/>
        <v>#N/A</v>
      </c>
      <c r="AD561" s="323" t="e">
        <f t="shared" ca="1" si="258"/>
        <v>#N/A</v>
      </c>
      <c r="AE561" s="324">
        <f t="shared" ca="1" si="237"/>
        <v>-1.3316123435525353</v>
      </c>
      <c r="AG561" s="306">
        <f t="shared" ca="1" si="259"/>
        <v>6.3293399640053822</v>
      </c>
      <c r="AH561" s="304">
        <f t="shared" ca="1" si="260"/>
        <v>-3.4526469949285366</v>
      </c>
    </row>
    <row r="562" spans="1:34" x14ac:dyDescent="0.2">
      <c r="A562" s="347">
        <f t="shared" ca="1" si="238"/>
        <v>1E-4</v>
      </c>
      <c r="B562" s="304">
        <f t="shared" ca="1" si="239"/>
        <v>12.025799999999915</v>
      </c>
      <c r="D562" s="306">
        <f t="shared" ca="1" si="240"/>
        <v>-0.26073850885352307</v>
      </c>
      <c r="E562" s="307">
        <f t="shared" ca="1" si="241"/>
        <v>-6.3671259319500422</v>
      </c>
      <c r="F562" s="304">
        <f t="shared" ca="1" si="242"/>
        <v>6.372462412859714</v>
      </c>
      <c r="G562" s="306">
        <f t="shared" ca="1" si="243"/>
        <v>3.910472550428147</v>
      </c>
      <c r="H562" s="307">
        <f t="shared" ca="1" si="244"/>
        <v>-51.636102320930874</v>
      </c>
      <c r="I562" s="304">
        <f t="shared" ca="1" si="245"/>
        <v>51.783963332920891</v>
      </c>
      <c r="J562" s="306">
        <f t="shared" ca="1" si="246"/>
        <v>56.288824373840264</v>
      </c>
      <c r="K562" s="307">
        <f t="shared" ca="1" si="247"/>
        <v>-1.3367759219489987</v>
      </c>
      <c r="L562" s="304">
        <f t="shared" ca="1" si="232"/>
        <v>56.304695357088441</v>
      </c>
      <c r="M562" s="306">
        <f t="shared" ca="1" si="248"/>
        <v>-1.4952092440573337</v>
      </c>
      <c r="N562" s="304">
        <f t="shared" ca="1" si="249"/>
        <v>-85.669179173431488</v>
      </c>
      <c r="P562" s="310">
        <f t="shared" ca="1" si="250"/>
        <v>23</v>
      </c>
      <c r="Q562" s="304">
        <f t="shared" ca="1" si="251"/>
        <v>0</v>
      </c>
      <c r="R562" s="306">
        <f t="shared" ca="1" si="252"/>
        <v>0</v>
      </c>
      <c r="S562" s="307">
        <f t="shared" ca="1" si="253"/>
        <v>2.0843000000000003</v>
      </c>
      <c r="T562" s="304">
        <f t="shared" ca="1" si="233"/>
        <v>20.446983000000003</v>
      </c>
      <c r="U562" s="311">
        <f t="shared" ca="1" si="234"/>
        <v>0</v>
      </c>
      <c r="V562" s="306">
        <f t="shared" ca="1" si="235"/>
        <v>1.2251637659963606</v>
      </c>
      <c r="W562" s="304">
        <f t="shared" ca="1" si="236"/>
        <v>7.1967114063609463</v>
      </c>
      <c r="Y562" s="314" t="str">
        <f t="shared" ca="1" si="254"/>
        <v/>
      </c>
      <c r="Z562" s="315" t="str">
        <f t="shared" ca="1" si="255"/>
        <v/>
      </c>
      <c r="AA562" s="316" t="str">
        <f t="shared" ca="1" si="256"/>
        <v/>
      </c>
      <c r="AC562" s="310" t="e">
        <f t="shared" ca="1" si="257"/>
        <v>#N/A</v>
      </c>
      <c r="AD562" s="323" t="e">
        <f t="shared" ca="1" si="258"/>
        <v>#N/A</v>
      </c>
      <c r="AE562" s="324">
        <f t="shared" ca="1" si="237"/>
        <v>-1.3367759219489987</v>
      </c>
      <c r="AG562" s="306">
        <f t="shared" ca="1" si="259"/>
        <v>6.3292548378900158</v>
      </c>
      <c r="AH562" s="304">
        <f t="shared" ca="1" si="260"/>
        <v>-3.4527331808945259</v>
      </c>
    </row>
    <row r="563" spans="1:34" x14ac:dyDescent="0.2">
      <c r="A563" s="347">
        <f t="shared" ca="1" si="238"/>
        <v>1E-4</v>
      </c>
      <c r="B563" s="304">
        <f t="shared" ca="1" si="239"/>
        <v>12.025899999999915</v>
      </c>
      <c r="D563" s="306">
        <f t="shared" ca="1" si="240"/>
        <v>-0.2607400918487911</v>
      </c>
      <c r="E563" s="307">
        <f t="shared" ca="1" si="241"/>
        <v>-6.367039619061134</v>
      </c>
      <c r="F563" s="304">
        <f t="shared" ca="1" si="242"/>
        <v>6.3723762370242598</v>
      </c>
      <c r="G563" s="306">
        <f t="shared" ca="1" si="243"/>
        <v>3.9104464764189619</v>
      </c>
      <c r="H563" s="307">
        <f t="shared" ca="1" si="244"/>
        <v>-51.636739024892783</v>
      </c>
      <c r="I563" s="304">
        <f t="shared" ca="1" si="245"/>
        <v>51.784596249945047</v>
      </c>
      <c r="J563" s="306">
        <f t="shared" ca="1" si="246"/>
        <v>56.288824373840264</v>
      </c>
      <c r="K563" s="307">
        <f t="shared" ca="1" si="247"/>
        <v>-1.3419395640162899</v>
      </c>
      <c r="L563" s="304">
        <f t="shared" ca="1" si="232"/>
        <v>56.304818187989085</v>
      </c>
      <c r="M563" s="306">
        <f t="shared" ca="1" si="248"/>
        <v>-1.4952106746051148</v>
      </c>
      <c r="N563" s="304">
        <f t="shared" ca="1" si="249"/>
        <v>-85.669261137781731</v>
      </c>
      <c r="P563" s="310">
        <f t="shared" ca="1" si="250"/>
        <v>23</v>
      </c>
      <c r="Q563" s="304">
        <f t="shared" ca="1" si="251"/>
        <v>0</v>
      </c>
      <c r="R563" s="306">
        <f t="shared" ca="1" si="252"/>
        <v>0</v>
      </c>
      <c r="S563" s="307">
        <f t="shared" ca="1" si="253"/>
        <v>2.0843000000000003</v>
      </c>
      <c r="T563" s="304">
        <f t="shared" ca="1" si="233"/>
        <v>20.446983000000003</v>
      </c>
      <c r="U563" s="311">
        <f t="shared" ca="1" si="234"/>
        <v>0</v>
      </c>
      <c r="V563" s="306">
        <f t="shared" ca="1" si="235"/>
        <v>1.2251643986272431</v>
      </c>
      <c r="W563" s="304">
        <f t="shared" ca="1" si="236"/>
        <v>7.1968910437969305</v>
      </c>
      <c r="Y563" s="314" t="str">
        <f t="shared" ca="1" si="254"/>
        <v/>
      </c>
      <c r="Z563" s="315" t="str">
        <f t="shared" ca="1" si="255"/>
        <v/>
      </c>
      <c r="AA563" s="316" t="str">
        <f t="shared" ca="1" si="256"/>
        <v/>
      </c>
      <c r="AC563" s="310" t="e">
        <f t="shared" ca="1" si="257"/>
        <v>#N/A</v>
      </c>
      <c r="AD563" s="323" t="e">
        <f t="shared" ca="1" si="258"/>
        <v>#N/A</v>
      </c>
      <c r="AE563" s="324">
        <f t="shared" ca="1" si="237"/>
        <v>-1.3419395640162899</v>
      </c>
      <c r="AG563" s="306">
        <f t="shared" ca="1" si="259"/>
        <v>6.3291697117151475</v>
      </c>
      <c r="AH563" s="304">
        <f t="shared" ca="1" si="260"/>
        <v>-3.4528193668670273</v>
      </c>
    </row>
    <row r="564" spans="1:34" x14ac:dyDescent="0.2">
      <c r="A564" s="347">
        <f t="shared" ca="1" si="238"/>
        <v>1E-4</v>
      </c>
      <c r="B564" s="304">
        <f t="shared" ca="1" si="239"/>
        <v>12.025999999999915</v>
      </c>
      <c r="D564" s="306">
        <f t="shared" ca="1" si="240"/>
        <v>-0.26074167475136928</v>
      </c>
      <c r="E564" s="307">
        <f t="shared" ca="1" si="241"/>
        <v>-6.3669533061657981</v>
      </c>
      <c r="F564" s="304">
        <f t="shared" ca="1" si="242"/>
        <v>6.372290061182694</v>
      </c>
      <c r="G564" s="306">
        <f t="shared" ca="1" si="243"/>
        <v>3.9104204022514866</v>
      </c>
      <c r="H564" s="307">
        <f t="shared" ca="1" si="244"/>
        <v>-51.637375720223403</v>
      </c>
      <c r="I564" s="304">
        <f t="shared" ca="1" si="245"/>
        <v>51.785229158456588</v>
      </c>
      <c r="J564" s="306">
        <f t="shared" ca="1" si="246"/>
        <v>56.288824373840264</v>
      </c>
      <c r="K564" s="307">
        <f t="shared" ca="1" si="247"/>
        <v>-1.3471032697535457</v>
      </c>
      <c r="L564" s="304">
        <f t="shared" ca="1" si="232"/>
        <v>56.304941493694976</v>
      </c>
      <c r="M564" s="306">
        <f t="shared" ca="1" si="248"/>
        <v>-1.4952121051083898</v>
      </c>
      <c r="N564" s="304">
        <f t="shared" ca="1" si="249"/>
        <v>-85.669343099581965</v>
      </c>
      <c r="P564" s="310">
        <f t="shared" ca="1" si="250"/>
        <v>23</v>
      </c>
      <c r="Q564" s="304">
        <f t="shared" ca="1" si="251"/>
        <v>0</v>
      </c>
      <c r="R564" s="306">
        <f t="shared" ca="1" si="252"/>
        <v>0</v>
      </c>
      <c r="S564" s="307">
        <f t="shared" ca="1" si="253"/>
        <v>2.0843000000000003</v>
      </c>
      <c r="T564" s="304">
        <f t="shared" ca="1" si="233"/>
        <v>20.446983000000003</v>
      </c>
      <c r="U564" s="311">
        <f t="shared" ca="1" si="234"/>
        <v>0</v>
      </c>
      <c r="V564" s="306">
        <f t="shared" ca="1" si="235"/>
        <v>1.2251650312662528</v>
      </c>
      <c r="W564" s="304">
        <f t="shared" ca="1" si="236"/>
        <v>7.1970706812463261</v>
      </c>
      <c r="Y564" s="314" t="str">
        <f t="shared" ca="1" si="254"/>
        <v/>
      </c>
      <c r="Z564" s="315" t="str">
        <f t="shared" ca="1" si="255"/>
        <v/>
      </c>
      <c r="AA564" s="316" t="str">
        <f t="shared" ca="1" si="256"/>
        <v/>
      </c>
      <c r="AC564" s="310" t="e">
        <f t="shared" ca="1" si="257"/>
        <v>#N/A</v>
      </c>
      <c r="AD564" s="323" t="e">
        <f t="shared" ca="1" si="258"/>
        <v>#N/A</v>
      </c>
      <c r="AE564" s="324">
        <f t="shared" ca="1" si="237"/>
        <v>-1.3471032697535457</v>
      </c>
      <c r="AG564" s="306">
        <f t="shared" ca="1" si="259"/>
        <v>6.3290845854808095</v>
      </c>
      <c r="AH564" s="304">
        <f t="shared" ca="1" si="260"/>
        <v>-3.4529055528460058</v>
      </c>
    </row>
    <row r="565" spans="1:34" x14ac:dyDescent="0.2">
      <c r="A565" s="347">
        <f t="shared" ca="1" si="238"/>
        <v>1E-4</v>
      </c>
      <c r="B565" s="304">
        <f t="shared" ca="1" si="239"/>
        <v>12.026099999999914</v>
      </c>
      <c r="D565" s="306">
        <f t="shared" ca="1" si="240"/>
        <v>-0.26074325756125805</v>
      </c>
      <c r="E565" s="307">
        <f t="shared" ca="1" si="241"/>
        <v>-6.3668669932640771</v>
      </c>
      <c r="F565" s="304">
        <f t="shared" ca="1" si="242"/>
        <v>6.3722038853350575</v>
      </c>
      <c r="G565" s="306">
        <f t="shared" ca="1" si="243"/>
        <v>3.9103943279257303</v>
      </c>
      <c r="H565" s="307">
        <f t="shared" ca="1" si="244"/>
        <v>-51.638012406922726</v>
      </c>
      <c r="I565" s="304">
        <f t="shared" ca="1" si="245"/>
        <v>51.785862058455486</v>
      </c>
      <c r="J565" s="306">
        <f t="shared" ca="1" si="246"/>
        <v>56.288824373840264</v>
      </c>
      <c r="K565" s="307">
        <f t="shared" ca="1" si="247"/>
        <v>-1.352267039159903</v>
      </c>
      <c r="L565" s="304">
        <f t="shared" ca="1" si="232"/>
        <v>56.30506527422051</v>
      </c>
      <c r="M565" s="306">
        <f t="shared" ca="1" si="248"/>
        <v>-1.4952135355671605</v>
      </c>
      <c r="N565" s="304">
        <f t="shared" ca="1" si="249"/>
        <v>-85.669425058832303</v>
      </c>
      <c r="P565" s="310">
        <f t="shared" ca="1" si="250"/>
        <v>23</v>
      </c>
      <c r="Q565" s="304">
        <f t="shared" ca="1" si="251"/>
        <v>0</v>
      </c>
      <c r="R565" s="306">
        <f t="shared" ca="1" si="252"/>
        <v>0</v>
      </c>
      <c r="S565" s="307">
        <f t="shared" ca="1" si="253"/>
        <v>2.0843000000000003</v>
      </c>
      <c r="T565" s="304">
        <f t="shared" ca="1" si="233"/>
        <v>20.446983000000003</v>
      </c>
      <c r="U565" s="311">
        <f t="shared" ca="1" si="234"/>
        <v>0</v>
      </c>
      <c r="V565" s="306">
        <f t="shared" ca="1" si="235"/>
        <v>1.2251656639133899</v>
      </c>
      <c r="W565" s="304">
        <f t="shared" ca="1" si="236"/>
        <v>7.1972503187090426</v>
      </c>
      <c r="Y565" s="314" t="str">
        <f t="shared" ca="1" si="254"/>
        <v/>
      </c>
      <c r="Z565" s="315" t="str">
        <f t="shared" ca="1" si="255"/>
        <v/>
      </c>
      <c r="AA565" s="316" t="str">
        <f t="shared" ca="1" si="256"/>
        <v/>
      </c>
      <c r="AC565" s="310" t="e">
        <f t="shared" ca="1" si="257"/>
        <v>#N/A</v>
      </c>
      <c r="AD565" s="323" t="e">
        <f t="shared" ca="1" si="258"/>
        <v>#N/A</v>
      </c>
      <c r="AE565" s="324">
        <f t="shared" ca="1" si="237"/>
        <v>-1.352267039159903</v>
      </c>
      <c r="AG565" s="306">
        <f t="shared" ca="1" si="259"/>
        <v>6.3289994591870489</v>
      </c>
      <c r="AH565" s="304">
        <f t="shared" ca="1" si="260"/>
        <v>-3.4529917388314182</v>
      </c>
    </row>
    <row r="566" spans="1:34" x14ac:dyDescent="0.2">
      <c r="A566" s="347">
        <f t="shared" ca="1" si="238"/>
        <v>1E-4</v>
      </c>
      <c r="B566" s="304">
        <f t="shared" ca="1" si="239"/>
        <v>12.026199999999914</v>
      </c>
      <c r="D566" s="306">
        <f t="shared" ca="1" si="240"/>
        <v>-0.2607448402784589</v>
      </c>
      <c r="E566" s="307">
        <f t="shared" ca="1" si="241"/>
        <v>-6.3667806803560119</v>
      </c>
      <c r="F566" s="304">
        <f t="shared" ca="1" si="242"/>
        <v>6.3721177094813939</v>
      </c>
      <c r="G566" s="306">
        <f t="shared" ca="1" si="243"/>
        <v>3.9103682534417024</v>
      </c>
      <c r="H566" s="307">
        <f t="shared" ca="1" si="244"/>
        <v>-51.63864908499076</v>
      </c>
      <c r="I566" s="304">
        <f t="shared" ca="1" si="245"/>
        <v>51.786494949941748</v>
      </c>
      <c r="J566" s="306">
        <f t="shared" ca="1" si="246"/>
        <v>56.288824373840264</v>
      </c>
      <c r="K566" s="307">
        <f t="shared" ca="1" si="247"/>
        <v>-1.3574308722344988</v>
      </c>
      <c r="L566" s="304">
        <f t="shared" ca="1" si="232"/>
        <v>56.305189529580034</v>
      </c>
      <c r="M566" s="306">
        <f t="shared" ca="1" si="248"/>
        <v>-1.4952149659814293</v>
      </c>
      <c r="N566" s="304">
        <f t="shared" ca="1" si="249"/>
        <v>-85.669507015532858</v>
      </c>
      <c r="P566" s="310">
        <f t="shared" ca="1" si="250"/>
        <v>23</v>
      </c>
      <c r="Q566" s="304">
        <f t="shared" ca="1" si="251"/>
        <v>0</v>
      </c>
      <c r="R566" s="306">
        <f t="shared" ca="1" si="252"/>
        <v>0</v>
      </c>
      <c r="S566" s="307">
        <f t="shared" ca="1" si="253"/>
        <v>2.0843000000000003</v>
      </c>
      <c r="T566" s="304">
        <f t="shared" ca="1" si="233"/>
        <v>20.446983000000003</v>
      </c>
      <c r="U566" s="311">
        <f t="shared" ca="1" si="234"/>
        <v>0</v>
      </c>
      <c r="V566" s="306">
        <f t="shared" ca="1" si="235"/>
        <v>1.2251662965686536</v>
      </c>
      <c r="W566" s="304">
        <f t="shared" ca="1" si="236"/>
        <v>7.1974299561849957</v>
      </c>
      <c r="Y566" s="314" t="str">
        <f t="shared" ca="1" si="254"/>
        <v/>
      </c>
      <c r="Z566" s="315" t="str">
        <f t="shared" ca="1" si="255"/>
        <v/>
      </c>
      <c r="AA566" s="316" t="str">
        <f t="shared" ca="1" si="256"/>
        <v/>
      </c>
      <c r="AC566" s="310" t="e">
        <f t="shared" ca="1" si="257"/>
        <v>#N/A</v>
      </c>
      <c r="AD566" s="323" t="e">
        <f t="shared" ca="1" si="258"/>
        <v>#N/A</v>
      </c>
      <c r="AE566" s="324">
        <f t="shared" ca="1" si="237"/>
        <v>-1.3574308722344988</v>
      </c>
      <c r="AG566" s="306">
        <f t="shared" ca="1" si="259"/>
        <v>6.3289143328339135</v>
      </c>
      <c r="AH566" s="304">
        <f t="shared" ca="1" si="260"/>
        <v>-3.453077924823222</v>
      </c>
    </row>
    <row r="567" spans="1:34" x14ac:dyDescent="0.2">
      <c r="A567" s="347">
        <f t="shared" ca="1" si="238"/>
        <v>1E-4</v>
      </c>
      <c r="B567" s="304">
        <f t="shared" ca="1" si="239"/>
        <v>12.026299999999914</v>
      </c>
      <c r="D567" s="306">
        <f t="shared" ca="1" si="240"/>
        <v>-0.26074642290297256</v>
      </c>
      <c r="E567" s="307">
        <f t="shared" ca="1" si="241"/>
        <v>-6.3666943674416459</v>
      </c>
      <c r="F567" s="304">
        <f t="shared" ca="1" si="242"/>
        <v>6.3720315336217439</v>
      </c>
      <c r="G567" s="306">
        <f t="shared" ca="1" si="243"/>
        <v>3.9103421787994121</v>
      </c>
      <c r="H567" s="307">
        <f t="shared" ca="1" si="244"/>
        <v>-51.639285754427505</v>
      </c>
      <c r="I567" s="304">
        <f t="shared" ca="1" si="245"/>
        <v>51.787127832915367</v>
      </c>
      <c r="J567" s="306">
        <f t="shared" ca="1" si="246"/>
        <v>56.288824373840264</v>
      </c>
      <c r="K567" s="307">
        <f t="shared" ca="1" si="247"/>
        <v>-1.3625947689764697</v>
      </c>
      <c r="L567" s="304">
        <f t="shared" ca="1" si="232"/>
        <v>56.305314259787913</v>
      </c>
      <c r="M567" s="306">
        <f t="shared" ca="1" si="248"/>
        <v>-1.4952163963511984</v>
      </c>
      <c r="N567" s="304">
        <f t="shared" ca="1" si="249"/>
        <v>-85.669588969683772</v>
      </c>
      <c r="P567" s="310">
        <f t="shared" ca="1" si="250"/>
        <v>23</v>
      </c>
      <c r="Q567" s="304">
        <f t="shared" ca="1" si="251"/>
        <v>0</v>
      </c>
      <c r="R567" s="306">
        <f t="shared" ca="1" si="252"/>
        <v>0</v>
      </c>
      <c r="S567" s="307">
        <f t="shared" ca="1" si="253"/>
        <v>2.0843000000000003</v>
      </c>
      <c r="T567" s="304">
        <f t="shared" ca="1" si="233"/>
        <v>20.446983000000003</v>
      </c>
      <c r="U567" s="311">
        <f t="shared" ca="1" si="234"/>
        <v>0</v>
      </c>
      <c r="V567" s="306">
        <f t="shared" ca="1" si="235"/>
        <v>1.2251669292320446</v>
      </c>
      <c r="W567" s="304">
        <f t="shared" ca="1" si="236"/>
        <v>7.1976095936741009</v>
      </c>
      <c r="Y567" s="314" t="str">
        <f t="shared" ca="1" si="254"/>
        <v/>
      </c>
      <c r="Z567" s="315" t="str">
        <f t="shared" ca="1" si="255"/>
        <v/>
      </c>
      <c r="AA567" s="316" t="str">
        <f t="shared" ca="1" si="256"/>
        <v/>
      </c>
      <c r="AC567" s="310" t="e">
        <f t="shared" ca="1" si="257"/>
        <v>#N/A</v>
      </c>
      <c r="AD567" s="323" t="e">
        <f t="shared" ca="1" si="258"/>
        <v>#N/A</v>
      </c>
      <c r="AE567" s="324">
        <f t="shared" ca="1" si="237"/>
        <v>-1.3625947689764697</v>
      </c>
      <c r="AG567" s="306">
        <f t="shared" ca="1" si="259"/>
        <v>6.3288292064214478</v>
      </c>
      <c r="AH567" s="304">
        <f t="shared" ca="1" si="260"/>
        <v>-3.4531641108213762</v>
      </c>
    </row>
    <row r="568" spans="1:34" x14ac:dyDescent="0.2">
      <c r="A568" s="347">
        <f t="shared" ca="1" si="238"/>
        <v>1E-4</v>
      </c>
      <c r="B568" s="304">
        <f t="shared" ca="1" si="239"/>
        <v>12.026399999999914</v>
      </c>
      <c r="D568" s="306">
        <f t="shared" ca="1" si="240"/>
        <v>-0.26074800543479976</v>
      </c>
      <c r="E568" s="307">
        <f t="shared" ca="1" si="241"/>
        <v>-6.3666080545210182</v>
      </c>
      <c r="F568" s="304">
        <f t="shared" ca="1" si="242"/>
        <v>6.3719453577561485</v>
      </c>
      <c r="G568" s="306">
        <f t="shared" ca="1" si="243"/>
        <v>3.9103161039988685</v>
      </c>
      <c r="H568" s="307">
        <f t="shared" ca="1" si="244"/>
        <v>-51.639922415232959</v>
      </c>
      <c r="I568" s="304">
        <f t="shared" ca="1" si="245"/>
        <v>51.787760707376336</v>
      </c>
      <c r="J568" s="306">
        <f t="shared" ca="1" si="246"/>
        <v>56.288824373840264</v>
      </c>
      <c r="K568" s="307">
        <f t="shared" ca="1" si="247"/>
        <v>-1.3677587293849527</v>
      </c>
      <c r="L568" s="304">
        <f t="shared" ca="1" si="232"/>
        <v>56.30543946485848</v>
      </c>
      <c r="M568" s="306">
        <f t="shared" ca="1" si="248"/>
        <v>-1.49521782667647</v>
      </c>
      <c r="N568" s="304">
        <f t="shared" ca="1" si="249"/>
        <v>-85.66967092128516</v>
      </c>
      <c r="P568" s="310">
        <f t="shared" ca="1" si="250"/>
        <v>23</v>
      </c>
      <c r="Q568" s="304">
        <f t="shared" ca="1" si="251"/>
        <v>0</v>
      </c>
      <c r="R568" s="306">
        <f t="shared" ca="1" si="252"/>
        <v>0</v>
      </c>
      <c r="S568" s="307">
        <f t="shared" ca="1" si="253"/>
        <v>2.0843000000000003</v>
      </c>
      <c r="T568" s="304">
        <f t="shared" ca="1" si="233"/>
        <v>20.446983000000003</v>
      </c>
      <c r="U568" s="311">
        <f t="shared" ca="1" si="234"/>
        <v>0</v>
      </c>
      <c r="V568" s="306">
        <f t="shared" ca="1" si="235"/>
        <v>1.2251675619035627</v>
      </c>
      <c r="W568" s="304">
        <f t="shared" ca="1" si="236"/>
        <v>7.197789231176273</v>
      </c>
      <c r="Y568" s="314" t="str">
        <f t="shared" ca="1" si="254"/>
        <v/>
      </c>
      <c r="Z568" s="315" t="str">
        <f t="shared" ca="1" si="255"/>
        <v/>
      </c>
      <c r="AA568" s="316" t="str">
        <f t="shared" ca="1" si="256"/>
        <v/>
      </c>
      <c r="AC568" s="310" t="e">
        <f t="shared" ca="1" si="257"/>
        <v>#N/A</v>
      </c>
      <c r="AD568" s="323" t="e">
        <f t="shared" ca="1" si="258"/>
        <v>#N/A</v>
      </c>
      <c r="AE568" s="324">
        <f t="shared" ca="1" si="237"/>
        <v>-1.3677587293849527</v>
      </c>
      <c r="AG568" s="306">
        <f t="shared" ca="1" si="259"/>
        <v>6.3287440799496935</v>
      </c>
      <c r="AH568" s="304">
        <f t="shared" ca="1" si="260"/>
        <v>-3.4532502968258409</v>
      </c>
    </row>
    <row r="569" spans="1:34" x14ac:dyDescent="0.2">
      <c r="A569" s="347">
        <f t="shared" ca="1" si="238"/>
        <v>1E-4</v>
      </c>
      <c r="B569" s="304">
        <f t="shared" ca="1" si="239"/>
        <v>12.026499999999913</v>
      </c>
      <c r="D569" s="306">
        <f t="shared" ca="1" si="240"/>
        <v>-0.2607495878739412</v>
      </c>
      <c r="E569" s="307">
        <f t="shared" ca="1" si="241"/>
        <v>-6.3665217415941697</v>
      </c>
      <c r="F569" s="304">
        <f t="shared" ca="1" si="242"/>
        <v>6.3718591818846475</v>
      </c>
      <c r="G569" s="306">
        <f t="shared" ca="1" si="243"/>
        <v>3.9102900290400813</v>
      </c>
      <c r="H569" s="307">
        <f t="shared" ca="1" si="244"/>
        <v>-51.640559067407118</v>
      </c>
      <c r="I569" s="304">
        <f t="shared" ca="1" si="245"/>
        <v>51.788393573324647</v>
      </c>
      <c r="J569" s="306">
        <f t="shared" ca="1" si="246"/>
        <v>56.288824373840264</v>
      </c>
      <c r="K569" s="307">
        <f t="shared" ca="1" si="247"/>
        <v>-1.3729227534590847</v>
      </c>
      <c r="L569" s="304">
        <f t="shared" ca="1" si="232"/>
        <v>56.305565144806067</v>
      </c>
      <c r="M569" s="306">
        <f t="shared" ca="1" si="248"/>
        <v>-1.495219256957246</v>
      </c>
      <c r="N569" s="304">
        <f t="shared" ca="1" si="249"/>
        <v>-85.669752870337149</v>
      </c>
      <c r="P569" s="310">
        <f t="shared" ca="1" si="250"/>
        <v>23</v>
      </c>
      <c r="Q569" s="304">
        <f t="shared" ca="1" si="251"/>
        <v>0</v>
      </c>
      <c r="R569" s="306">
        <f t="shared" ca="1" si="252"/>
        <v>0</v>
      </c>
      <c r="S569" s="307">
        <f t="shared" ca="1" si="253"/>
        <v>2.0843000000000003</v>
      </c>
      <c r="T569" s="304">
        <f t="shared" ca="1" si="233"/>
        <v>20.446983000000003</v>
      </c>
      <c r="U569" s="311">
        <f t="shared" ca="1" si="234"/>
        <v>0</v>
      </c>
      <c r="V569" s="306">
        <f t="shared" ca="1" si="235"/>
        <v>1.2251681945832076</v>
      </c>
      <c r="W569" s="304">
        <f t="shared" ca="1" si="236"/>
        <v>7.1979688686914276</v>
      </c>
      <c r="Y569" s="314" t="str">
        <f t="shared" ca="1" si="254"/>
        <v/>
      </c>
      <c r="Z569" s="315" t="str">
        <f t="shared" ca="1" si="255"/>
        <v/>
      </c>
      <c r="AA569" s="316" t="str">
        <f t="shared" ca="1" si="256"/>
        <v/>
      </c>
      <c r="AC569" s="310" t="e">
        <f t="shared" ca="1" si="257"/>
        <v>#N/A</v>
      </c>
      <c r="AD569" s="323" t="e">
        <f t="shared" ca="1" si="258"/>
        <v>#N/A</v>
      </c>
      <c r="AE569" s="324">
        <f t="shared" ca="1" si="237"/>
        <v>-1.3729227534590847</v>
      </c>
      <c r="AG569" s="306">
        <f t="shared" ca="1" si="259"/>
        <v>6.3286589534186959</v>
      </c>
      <c r="AH569" s="304">
        <f t="shared" ca="1" si="260"/>
        <v>-3.4533364828365745</v>
      </c>
    </row>
    <row r="570" spans="1:34" x14ac:dyDescent="0.2">
      <c r="A570" s="347">
        <f t="shared" ca="1" si="238"/>
        <v>1E-4</v>
      </c>
      <c r="B570" s="304">
        <f t="shared" ca="1" si="239"/>
        <v>12.026599999999913</v>
      </c>
      <c r="D570" s="306">
        <f t="shared" ca="1" si="240"/>
        <v>-0.26075117022039845</v>
      </c>
      <c r="E570" s="307">
        <f t="shared" ca="1" si="241"/>
        <v>-6.3664354286611413</v>
      </c>
      <c r="F570" s="304">
        <f t="shared" ca="1" si="242"/>
        <v>6.3717730060072819</v>
      </c>
      <c r="G570" s="306">
        <f t="shared" ca="1" si="243"/>
        <v>3.9102639539230593</v>
      </c>
      <c r="H570" s="307">
        <f t="shared" ca="1" si="244"/>
        <v>-51.641195710949987</v>
      </c>
      <c r="I570" s="304">
        <f t="shared" ca="1" si="245"/>
        <v>51.789026430760302</v>
      </c>
      <c r="J570" s="306">
        <f t="shared" ca="1" si="246"/>
        <v>56.288824373840264</v>
      </c>
      <c r="K570" s="307">
        <f t="shared" ca="1" si="247"/>
        <v>-1.3780868411980025</v>
      </c>
      <c r="L570" s="304">
        <f t="shared" ca="1" si="232"/>
        <v>56.305691299644991</v>
      </c>
      <c r="M570" s="306">
        <f t="shared" ca="1" si="248"/>
        <v>-1.4952206871935287</v>
      </c>
      <c r="N570" s="304">
        <f t="shared" ca="1" si="249"/>
        <v>-85.669834816839852</v>
      </c>
      <c r="P570" s="310">
        <f t="shared" ca="1" si="250"/>
        <v>23</v>
      </c>
      <c r="Q570" s="304">
        <f t="shared" ca="1" si="251"/>
        <v>0</v>
      </c>
      <c r="R570" s="306">
        <f t="shared" ca="1" si="252"/>
        <v>0</v>
      </c>
      <c r="S570" s="307">
        <f t="shared" ca="1" si="253"/>
        <v>2.0843000000000003</v>
      </c>
      <c r="T570" s="304">
        <f t="shared" ca="1" si="233"/>
        <v>20.446983000000003</v>
      </c>
      <c r="U570" s="311">
        <f t="shared" ca="1" si="234"/>
        <v>0</v>
      </c>
      <c r="V570" s="306">
        <f t="shared" ca="1" si="235"/>
        <v>1.2251688272709791</v>
      </c>
      <c r="W570" s="304">
        <f t="shared" ca="1" si="236"/>
        <v>7.1981485062194741</v>
      </c>
      <c r="Y570" s="314" t="str">
        <f t="shared" ca="1" si="254"/>
        <v/>
      </c>
      <c r="Z570" s="315" t="str">
        <f t="shared" ca="1" si="255"/>
        <v/>
      </c>
      <c r="AA570" s="316" t="str">
        <f t="shared" ca="1" si="256"/>
        <v/>
      </c>
      <c r="AC570" s="310" t="e">
        <f t="shared" ca="1" si="257"/>
        <v>#N/A</v>
      </c>
      <c r="AD570" s="323" t="e">
        <f t="shared" ca="1" si="258"/>
        <v>#N/A</v>
      </c>
      <c r="AE570" s="324">
        <f t="shared" ca="1" si="237"/>
        <v>-1.3780868411980025</v>
      </c>
      <c r="AG570" s="306">
        <f t="shared" ca="1" si="259"/>
        <v>6.3285738268285003</v>
      </c>
      <c r="AH570" s="304">
        <f t="shared" ca="1" si="260"/>
        <v>-3.4534226688535368</v>
      </c>
    </row>
    <row r="571" spans="1:34" x14ac:dyDescent="0.2">
      <c r="A571" s="347">
        <f t="shared" ca="1" si="238"/>
        <v>1E-4</v>
      </c>
      <c r="B571" s="304">
        <f t="shared" ca="1" si="239"/>
        <v>12.026699999999913</v>
      </c>
      <c r="D571" s="306">
        <f t="shared" ca="1" si="240"/>
        <v>-0.26075275247417207</v>
      </c>
      <c r="E571" s="307">
        <f t="shared" ca="1" si="241"/>
        <v>-6.3663491157219774</v>
      </c>
      <c r="F571" s="304">
        <f t="shared" ca="1" si="242"/>
        <v>6.371686830124097</v>
      </c>
      <c r="G571" s="306">
        <f t="shared" ca="1" si="243"/>
        <v>3.9102378786478118</v>
      </c>
      <c r="H571" s="307">
        <f t="shared" ca="1" si="244"/>
        <v>-51.641832345861559</v>
      </c>
      <c r="I571" s="304">
        <f t="shared" ca="1" si="245"/>
        <v>51.789659279683285</v>
      </c>
      <c r="J571" s="306">
        <f t="shared" ca="1" si="246"/>
        <v>56.288824373840264</v>
      </c>
      <c r="K571" s="307">
        <f t="shared" ca="1" si="247"/>
        <v>-1.3832509926008432</v>
      </c>
      <c r="L571" s="304">
        <f t="shared" ca="1" si="232"/>
        <v>56.305817929389548</v>
      </c>
      <c r="M571" s="306">
        <f t="shared" ca="1" si="248"/>
        <v>-1.4952221173853204</v>
      </c>
      <c r="N571" s="304">
        <f t="shared" ca="1" si="249"/>
        <v>-85.669916760793413</v>
      </c>
      <c r="P571" s="310">
        <f t="shared" ca="1" si="250"/>
        <v>23</v>
      </c>
      <c r="Q571" s="304">
        <f t="shared" ca="1" si="251"/>
        <v>0</v>
      </c>
      <c r="R571" s="306">
        <f t="shared" ca="1" si="252"/>
        <v>0</v>
      </c>
      <c r="S571" s="307">
        <f t="shared" ca="1" si="253"/>
        <v>2.0843000000000003</v>
      </c>
      <c r="T571" s="304">
        <f t="shared" ca="1" si="233"/>
        <v>20.446983000000003</v>
      </c>
      <c r="U571" s="311">
        <f t="shared" ca="1" si="234"/>
        <v>0</v>
      </c>
      <c r="V571" s="306">
        <f t="shared" ca="1" si="235"/>
        <v>1.225169459966877</v>
      </c>
      <c r="W571" s="304">
        <f t="shared" ca="1" si="236"/>
        <v>7.1983281437603273</v>
      </c>
      <c r="Y571" s="314" t="str">
        <f t="shared" ca="1" si="254"/>
        <v/>
      </c>
      <c r="Z571" s="315" t="str">
        <f t="shared" ca="1" si="255"/>
        <v/>
      </c>
      <c r="AA571" s="316" t="str">
        <f t="shared" ca="1" si="256"/>
        <v/>
      </c>
      <c r="AC571" s="310" t="e">
        <f t="shared" ca="1" si="257"/>
        <v>#N/A</v>
      </c>
      <c r="AD571" s="323" t="e">
        <f t="shared" ca="1" si="258"/>
        <v>#N/A</v>
      </c>
      <c r="AE571" s="324">
        <f t="shared" ca="1" si="237"/>
        <v>-1.3832509926008432</v>
      </c>
      <c r="AG571" s="306">
        <f t="shared" ca="1" si="259"/>
        <v>6.3284887001791521</v>
      </c>
      <c r="AH571" s="304">
        <f t="shared" ca="1" si="260"/>
        <v>-3.4535088548766844</v>
      </c>
    </row>
    <row r="572" spans="1:34" x14ac:dyDescent="0.2">
      <c r="A572" s="347">
        <f t="shared" ca="1" si="238"/>
        <v>1E-4</v>
      </c>
      <c r="B572" s="304">
        <f t="shared" ca="1" si="239"/>
        <v>12.026799999999913</v>
      </c>
      <c r="D572" s="306">
        <f t="shared" ca="1" si="240"/>
        <v>-0.26075433463526276</v>
      </c>
      <c r="E572" s="307">
        <f t="shared" ca="1" si="241"/>
        <v>-6.366262802776717</v>
      </c>
      <c r="F572" s="304">
        <f t="shared" ca="1" si="242"/>
        <v>6.37160065423513</v>
      </c>
      <c r="G572" s="306">
        <f t="shared" ca="1" si="243"/>
        <v>3.9102118032143482</v>
      </c>
      <c r="H572" s="307">
        <f t="shared" ca="1" si="244"/>
        <v>-51.642468972141835</v>
      </c>
      <c r="I572" s="304">
        <f t="shared" ca="1" si="245"/>
        <v>51.790292120093596</v>
      </c>
      <c r="J572" s="306">
        <f t="shared" ca="1" si="246"/>
        <v>56.288824373840264</v>
      </c>
      <c r="K572" s="307">
        <f t="shared" ca="1" si="247"/>
        <v>-1.3884152076667433</v>
      </c>
      <c r="L572" s="304">
        <f t="shared" ca="1" si="232"/>
        <v>56.305945034054034</v>
      </c>
      <c r="M572" s="306">
        <f t="shared" ca="1" si="248"/>
        <v>-1.495223547532623</v>
      </c>
      <c r="N572" s="304">
        <f t="shared" ca="1" si="249"/>
        <v>-85.66999870219793</v>
      </c>
      <c r="P572" s="310">
        <f t="shared" ca="1" si="250"/>
        <v>23</v>
      </c>
      <c r="Q572" s="304">
        <f t="shared" ca="1" si="251"/>
        <v>0</v>
      </c>
      <c r="R572" s="306">
        <f t="shared" ca="1" si="252"/>
        <v>0</v>
      </c>
      <c r="S572" s="307">
        <f t="shared" ca="1" si="253"/>
        <v>2.0843000000000003</v>
      </c>
      <c r="T572" s="304">
        <f t="shared" ca="1" si="233"/>
        <v>20.446983000000003</v>
      </c>
      <c r="U572" s="311">
        <f t="shared" ca="1" si="234"/>
        <v>0</v>
      </c>
      <c r="V572" s="306">
        <f t="shared" ca="1" si="235"/>
        <v>1.2251700926709019</v>
      </c>
      <c r="W572" s="304">
        <f t="shared" ca="1" si="236"/>
        <v>7.198507781313908</v>
      </c>
      <c r="Y572" s="314" t="str">
        <f t="shared" ca="1" si="254"/>
        <v/>
      </c>
      <c r="Z572" s="315" t="str">
        <f t="shared" ca="1" si="255"/>
        <v/>
      </c>
      <c r="AA572" s="316" t="str">
        <f t="shared" ca="1" si="256"/>
        <v/>
      </c>
      <c r="AC572" s="310" t="e">
        <f t="shared" ca="1" si="257"/>
        <v>#N/A</v>
      </c>
      <c r="AD572" s="323" t="e">
        <f t="shared" ca="1" si="258"/>
        <v>#N/A</v>
      </c>
      <c r="AE572" s="324">
        <f t="shared" ca="1" si="237"/>
        <v>-1.3884152076667433</v>
      </c>
      <c r="AG572" s="306">
        <f t="shared" ca="1" si="259"/>
        <v>6.3284035734706974</v>
      </c>
      <c r="AH572" s="304">
        <f t="shared" ca="1" si="260"/>
        <v>-3.4535950409059764</v>
      </c>
    </row>
    <row r="573" spans="1:34" x14ac:dyDescent="0.2">
      <c r="A573" s="347">
        <f t="shared" ca="1" si="238"/>
        <v>1E-4</v>
      </c>
      <c r="B573" s="304">
        <f t="shared" ca="1" si="239"/>
        <v>12.026899999999912</v>
      </c>
      <c r="D573" s="306">
        <f t="shared" ca="1" si="240"/>
        <v>-0.26075591670367221</v>
      </c>
      <c r="E573" s="307">
        <f t="shared" ca="1" si="241"/>
        <v>-6.3661764898254001</v>
      </c>
      <c r="F573" s="304">
        <f t="shared" ca="1" si="242"/>
        <v>6.3715144783404227</v>
      </c>
      <c r="G573" s="306">
        <f t="shared" ca="1" si="243"/>
        <v>3.9101857276226779</v>
      </c>
      <c r="H573" s="307">
        <f t="shared" ca="1" si="244"/>
        <v>-51.643105589790814</v>
      </c>
      <c r="I573" s="304">
        <f t="shared" ca="1" si="245"/>
        <v>51.790924951991222</v>
      </c>
      <c r="J573" s="306">
        <f t="shared" ca="1" si="246"/>
        <v>56.288824373840264</v>
      </c>
      <c r="K573" s="307">
        <f t="shared" ca="1" si="247"/>
        <v>-1.3935794863948399</v>
      </c>
      <c r="L573" s="304">
        <f t="shared" ca="1" si="232"/>
        <v>56.306072613652738</v>
      </c>
      <c r="M573" s="306">
        <f t="shared" ca="1" si="248"/>
        <v>-1.4952249776354389</v>
      </c>
      <c r="N573" s="304">
        <f t="shared" ca="1" si="249"/>
        <v>-85.670080641053559</v>
      </c>
      <c r="P573" s="310">
        <f t="shared" ca="1" si="250"/>
        <v>23</v>
      </c>
      <c r="Q573" s="304">
        <f t="shared" ca="1" si="251"/>
        <v>0</v>
      </c>
      <c r="R573" s="306">
        <f t="shared" ca="1" si="252"/>
        <v>0</v>
      </c>
      <c r="S573" s="307">
        <f t="shared" ca="1" si="253"/>
        <v>2.0843000000000003</v>
      </c>
      <c r="T573" s="304">
        <f t="shared" ca="1" si="233"/>
        <v>20.446983000000003</v>
      </c>
      <c r="U573" s="311">
        <f t="shared" ca="1" si="234"/>
        <v>0</v>
      </c>
      <c r="V573" s="306">
        <f t="shared" ca="1" si="235"/>
        <v>1.2251707253830528</v>
      </c>
      <c r="W573" s="304">
        <f t="shared" ca="1" si="236"/>
        <v>7.1986874188801204</v>
      </c>
      <c r="Y573" s="314" t="str">
        <f t="shared" ca="1" si="254"/>
        <v/>
      </c>
      <c r="Z573" s="315" t="str">
        <f t="shared" ca="1" si="255"/>
        <v/>
      </c>
      <c r="AA573" s="316" t="str">
        <f t="shared" ca="1" si="256"/>
        <v/>
      </c>
      <c r="AC573" s="310" t="e">
        <f t="shared" ca="1" si="257"/>
        <v>#N/A</v>
      </c>
      <c r="AD573" s="323" t="e">
        <f t="shared" ca="1" si="258"/>
        <v>#N/A</v>
      </c>
      <c r="AE573" s="324">
        <f t="shared" ca="1" si="237"/>
        <v>-1.3935794863948399</v>
      </c>
      <c r="AG573" s="306">
        <f t="shared" ca="1" si="259"/>
        <v>6.3283184467031743</v>
      </c>
      <c r="AH573" s="304">
        <f t="shared" ca="1" si="260"/>
        <v>-3.4536812269413746</v>
      </c>
    </row>
    <row r="574" spans="1:34" x14ac:dyDescent="0.2">
      <c r="A574" s="347">
        <f t="shared" ca="1" si="238"/>
        <v>1E-4</v>
      </c>
      <c r="B574" s="304">
        <f t="shared" ca="1" si="239"/>
        <v>12.026999999999912</v>
      </c>
      <c r="D574" s="306">
        <f t="shared" ca="1" si="240"/>
        <v>-0.26075749867939996</v>
      </c>
      <c r="E574" s="307">
        <f t="shared" ca="1" si="241"/>
        <v>-6.3660901768680711</v>
      </c>
      <c r="F574" s="304">
        <f t="shared" ca="1" si="242"/>
        <v>6.3714283024400178</v>
      </c>
      <c r="G574" s="306">
        <f t="shared" ca="1" si="243"/>
        <v>3.9101596518728101</v>
      </c>
      <c r="H574" s="307">
        <f t="shared" ca="1" si="244"/>
        <v>-51.643742198808503</v>
      </c>
      <c r="I574" s="304">
        <f t="shared" ca="1" si="245"/>
        <v>51.791557775376177</v>
      </c>
      <c r="J574" s="306">
        <f t="shared" ca="1" si="246"/>
        <v>56.288824373840264</v>
      </c>
      <c r="K574" s="307">
        <f t="shared" ca="1" si="247"/>
        <v>-1.3987438287842697</v>
      </c>
      <c r="L574" s="304">
        <f t="shared" ca="1" si="232"/>
        <v>56.306200668199907</v>
      </c>
      <c r="M574" s="306">
        <f t="shared" ca="1" si="248"/>
        <v>-1.49522640769377</v>
      </c>
      <c r="N574" s="304">
        <f t="shared" ca="1" si="249"/>
        <v>-85.670162577360387</v>
      </c>
      <c r="P574" s="310">
        <f t="shared" ca="1" si="250"/>
        <v>23</v>
      </c>
      <c r="Q574" s="304">
        <f t="shared" ca="1" si="251"/>
        <v>0</v>
      </c>
      <c r="R574" s="306">
        <f t="shared" ca="1" si="252"/>
        <v>0</v>
      </c>
      <c r="S574" s="307">
        <f t="shared" ca="1" si="253"/>
        <v>2.0843000000000003</v>
      </c>
      <c r="T574" s="304">
        <f t="shared" ca="1" si="233"/>
        <v>20.446983000000003</v>
      </c>
      <c r="U574" s="311">
        <f t="shared" ca="1" si="234"/>
        <v>0</v>
      </c>
      <c r="V574" s="306">
        <f t="shared" ca="1" si="235"/>
        <v>1.2251713581033306</v>
      </c>
      <c r="W574" s="304">
        <f t="shared" ca="1" si="236"/>
        <v>7.1988670564588908</v>
      </c>
      <c r="Y574" s="314" t="str">
        <f t="shared" ca="1" si="254"/>
        <v/>
      </c>
      <c r="Z574" s="315" t="str">
        <f t="shared" ca="1" si="255"/>
        <v/>
      </c>
      <c r="AA574" s="316" t="str">
        <f t="shared" ca="1" si="256"/>
        <v/>
      </c>
      <c r="AC574" s="310" t="e">
        <f t="shared" ca="1" si="257"/>
        <v>#N/A</v>
      </c>
      <c r="AD574" s="323" t="e">
        <f t="shared" ca="1" si="258"/>
        <v>#N/A</v>
      </c>
      <c r="AE574" s="324">
        <f t="shared" ca="1" si="237"/>
        <v>-1.3987438287842697</v>
      </c>
      <c r="AG574" s="306">
        <f t="shared" ca="1" si="259"/>
        <v>6.3282333198766363</v>
      </c>
      <c r="AH574" s="304">
        <f t="shared" ca="1" si="260"/>
        <v>-3.4537674129828333</v>
      </c>
    </row>
    <row r="575" spans="1:34" x14ac:dyDescent="0.2">
      <c r="A575" s="347">
        <f t="shared" ca="1" si="238"/>
        <v>1E-4</v>
      </c>
      <c r="B575" s="304">
        <f t="shared" ca="1" si="239"/>
        <v>12.027099999999912</v>
      </c>
      <c r="D575" s="306">
        <f t="shared" ca="1" si="240"/>
        <v>-0.26075908056244884</v>
      </c>
      <c r="E575" s="307">
        <f t="shared" ca="1" si="241"/>
        <v>-6.3660038639047674</v>
      </c>
      <c r="F575" s="304">
        <f t="shared" ca="1" si="242"/>
        <v>6.3713421265339534</v>
      </c>
      <c r="G575" s="306">
        <f t="shared" ca="1" si="243"/>
        <v>3.9101335759647537</v>
      </c>
      <c r="H575" s="307">
        <f t="shared" ca="1" si="244"/>
        <v>-51.644378799194897</v>
      </c>
      <c r="I575" s="304">
        <f t="shared" ca="1" si="245"/>
        <v>51.792190590248431</v>
      </c>
      <c r="J575" s="306">
        <f t="shared" ca="1" si="246"/>
        <v>56.288824373840264</v>
      </c>
      <c r="K575" s="307">
        <f t="shared" ca="1" si="247"/>
        <v>-1.4039082348341698</v>
      </c>
      <c r="L575" s="304">
        <f t="shared" ca="1" si="232"/>
        <v>56.306329197709822</v>
      </c>
      <c r="M575" s="306">
        <f t="shared" ca="1" si="248"/>
        <v>-1.4952278377076187</v>
      </c>
      <c r="N575" s="304">
        <f t="shared" ca="1" si="249"/>
        <v>-85.670244511118554</v>
      </c>
      <c r="P575" s="310">
        <f t="shared" ca="1" si="250"/>
        <v>23</v>
      </c>
      <c r="Q575" s="304">
        <f t="shared" ca="1" si="251"/>
        <v>0</v>
      </c>
      <c r="R575" s="306">
        <f t="shared" ca="1" si="252"/>
        <v>0</v>
      </c>
      <c r="S575" s="307">
        <f t="shared" ca="1" si="253"/>
        <v>2.0843000000000003</v>
      </c>
      <c r="T575" s="304">
        <f t="shared" ca="1" si="233"/>
        <v>20.446983000000003</v>
      </c>
      <c r="U575" s="311">
        <f t="shared" ca="1" si="234"/>
        <v>0</v>
      </c>
      <c r="V575" s="306">
        <f t="shared" ca="1" si="235"/>
        <v>1.2251719908317347</v>
      </c>
      <c r="W575" s="304">
        <f t="shared" ca="1" si="236"/>
        <v>7.1990466940501268</v>
      </c>
      <c r="Y575" s="314" t="str">
        <f t="shared" ca="1" si="254"/>
        <v/>
      </c>
      <c r="Z575" s="315" t="str">
        <f t="shared" ca="1" si="255"/>
        <v/>
      </c>
      <c r="AA575" s="316" t="str">
        <f t="shared" ca="1" si="256"/>
        <v/>
      </c>
      <c r="AC575" s="310" t="e">
        <f t="shared" ca="1" si="257"/>
        <v>#N/A</v>
      </c>
      <c r="AD575" s="323" t="e">
        <f t="shared" ca="1" si="258"/>
        <v>#N/A</v>
      </c>
      <c r="AE575" s="324">
        <f t="shared" ca="1" si="237"/>
        <v>-1.4039082348341698</v>
      </c>
      <c r="AG575" s="306">
        <f t="shared" ca="1" si="259"/>
        <v>6.3281481929911187</v>
      </c>
      <c r="AH575" s="304">
        <f t="shared" ca="1" si="260"/>
        <v>-3.453853599030317</v>
      </c>
    </row>
    <row r="576" spans="1:34" x14ac:dyDescent="0.2">
      <c r="A576" s="347">
        <f t="shared" ca="1" si="238"/>
        <v>1E-4</v>
      </c>
      <c r="B576" s="304">
        <f t="shared" ca="1" si="239"/>
        <v>12.027199999999912</v>
      </c>
      <c r="D576" s="306">
        <f t="shared" ca="1" si="240"/>
        <v>-0.26076066235281847</v>
      </c>
      <c r="E576" s="307">
        <f t="shared" ca="1" si="241"/>
        <v>-6.3659175509355297</v>
      </c>
      <c r="F576" s="304">
        <f t="shared" ca="1" si="242"/>
        <v>6.3712559506222703</v>
      </c>
      <c r="G576" s="306">
        <f t="shared" ca="1" si="243"/>
        <v>3.9101074998985186</v>
      </c>
      <c r="H576" s="307">
        <f t="shared" ca="1" si="244"/>
        <v>-51.645015390949993</v>
      </c>
      <c r="I576" s="304">
        <f t="shared" ca="1" si="245"/>
        <v>51.792823396607993</v>
      </c>
      <c r="J576" s="306">
        <f t="shared" ca="1" si="246"/>
        <v>56.288824373840264</v>
      </c>
      <c r="K576" s="307">
        <f t="shared" ca="1" si="247"/>
        <v>-1.4090727045436771</v>
      </c>
      <c r="L576" s="304">
        <f t="shared" ca="1" si="232"/>
        <v>56.306458202196701</v>
      </c>
      <c r="M576" s="306">
        <f t="shared" ca="1" si="248"/>
        <v>-1.4952292676769872</v>
      </c>
      <c r="N576" s="304">
        <f t="shared" ca="1" si="249"/>
        <v>-85.670326442328204</v>
      </c>
      <c r="P576" s="310">
        <f t="shared" ca="1" si="250"/>
        <v>23</v>
      </c>
      <c r="Q576" s="304">
        <f t="shared" ca="1" si="251"/>
        <v>0</v>
      </c>
      <c r="R576" s="306">
        <f t="shared" ca="1" si="252"/>
        <v>0</v>
      </c>
      <c r="S576" s="307">
        <f t="shared" ca="1" si="253"/>
        <v>2.0843000000000003</v>
      </c>
      <c r="T576" s="304">
        <f t="shared" ca="1" si="233"/>
        <v>20.446983000000003</v>
      </c>
      <c r="U576" s="311">
        <f t="shared" ca="1" si="234"/>
        <v>0</v>
      </c>
      <c r="V576" s="306">
        <f t="shared" ca="1" si="235"/>
        <v>1.2251726235682647</v>
      </c>
      <c r="W576" s="304">
        <f t="shared" ca="1" si="236"/>
        <v>7.1992263316537404</v>
      </c>
      <c r="Y576" s="314" t="str">
        <f t="shared" ca="1" si="254"/>
        <v/>
      </c>
      <c r="Z576" s="315" t="str">
        <f t="shared" ca="1" si="255"/>
        <v/>
      </c>
      <c r="AA576" s="316" t="str">
        <f t="shared" ca="1" si="256"/>
        <v/>
      </c>
      <c r="AC576" s="310" t="e">
        <f t="shared" ca="1" si="257"/>
        <v>#N/A</v>
      </c>
      <c r="AD576" s="323" t="e">
        <f t="shared" ca="1" si="258"/>
        <v>#N/A</v>
      </c>
      <c r="AE576" s="324">
        <f t="shared" ca="1" si="237"/>
        <v>-1.4090727045436771</v>
      </c>
      <c r="AG576" s="306">
        <f t="shared" ca="1" si="259"/>
        <v>6.3280630660466706</v>
      </c>
      <c r="AH576" s="304">
        <f t="shared" ca="1" si="260"/>
        <v>-3.4539397850837816</v>
      </c>
    </row>
    <row r="577" spans="1:34" x14ac:dyDescent="0.2">
      <c r="A577" s="347">
        <f t="shared" ca="1" si="238"/>
        <v>1E-4</v>
      </c>
      <c r="B577" s="304">
        <f t="shared" ca="1" si="239"/>
        <v>12.027299999999912</v>
      </c>
      <c r="D577" s="306">
        <f t="shared" ca="1" si="240"/>
        <v>-0.26076224405050946</v>
      </c>
      <c r="E577" s="307">
        <f t="shared" ca="1" si="241"/>
        <v>-6.3658312379604052</v>
      </c>
      <c r="F577" s="304">
        <f t="shared" ca="1" si="242"/>
        <v>6.3711697747050158</v>
      </c>
      <c r="G577" s="306">
        <f t="shared" ca="1" si="243"/>
        <v>3.9100814236741135</v>
      </c>
      <c r="H577" s="307">
        <f t="shared" ca="1" si="244"/>
        <v>-51.645651974073786</v>
      </c>
      <c r="I577" s="304">
        <f t="shared" ca="1" si="245"/>
        <v>51.793456194454848</v>
      </c>
      <c r="J577" s="306">
        <f t="shared" ca="1" si="246"/>
        <v>56.288824373840264</v>
      </c>
      <c r="K577" s="307">
        <f t="shared" ca="1" si="247"/>
        <v>-1.4142372379119283</v>
      </c>
      <c r="L577" s="304">
        <f t="shared" ca="1" si="232"/>
        <v>56.306587681674785</v>
      </c>
      <c r="M577" s="306">
        <f t="shared" ca="1" si="248"/>
        <v>-1.4952306976018774</v>
      </c>
      <c r="N577" s="304">
        <f t="shared" ca="1" si="249"/>
        <v>-85.670408370989435</v>
      </c>
      <c r="P577" s="310">
        <f t="shared" ca="1" si="250"/>
        <v>23</v>
      </c>
      <c r="Q577" s="304">
        <f t="shared" ca="1" si="251"/>
        <v>0</v>
      </c>
      <c r="R577" s="306">
        <f t="shared" ca="1" si="252"/>
        <v>0</v>
      </c>
      <c r="S577" s="307">
        <f t="shared" ca="1" si="253"/>
        <v>2.0843000000000003</v>
      </c>
      <c r="T577" s="304">
        <f t="shared" ca="1" si="233"/>
        <v>20.446983000000003</v>
      </c>
      <c r="U577" s="311">
        <f t="shared" ca="1" si="234"/>
        <v>0</v>
      </c>
      <c r="V577" s="306">
        <f t="shared" ca="1" si="235"/>
        <v>1.2251732563129205</v>
      </c>
      <c r="W577" s="304">
        <f t="shared" ca="1" si="236"/>
        <v>7.1994059692696446</v>
      </c>
      <c r="Y577" s="314" t="str">
        <f t="shared" ca="1" si="254"/>
        <v/>
      </c>
      <c r="Z577" s="315" t="str">
        <f t="shared" ca="1" si="255"/>
        <v/>
      </c>
      <c r="AA577" s="316" t="str">
        <f t="shared" ca="1" si="256"/>
        <v/>
      </c>
      <c r="AC577" s="310" t="e">
        <f t="shared" ca="1" si="257"/>
        <v>#N/A</v>
      </c>
      <c r="AD577" s="323" t="e">
        <f t="shared" ca="1" si="258"/>
        <v>#N/A</v>
      </c>
      <c r="AE577" s="324">
        <f t="shared" ca="1" si="237"/>
        <v>-1.4142372379119283</v>
      </c>
      <c r="AG577" s="306">
        <f t="shared" ca="1" si="259"/>
        <v>6.3279779390433379</v>
      </c>
      <c r="AH577" s="304">
        <f t="shared" ca="1" si="260"/>
        <v>-3.4540259711431847</v>
      </c>
    </row>
    <row r="578" spans="1:34" x14ac:dyDescent="0.2">
      <c r="A578" s="347">
        <f t="shared" ca="1" si="238"/>
        <v>1E-4</v>
      </c>
      <c r="B578" s="304">
        <f t="shared" ca="1" si="239"/>
        <v>12.027399999999911</v>
      </c>
      <c r="D578" s="306">
        <f t="shared" ca="1" si="240"/>
        <v>-0.26076382565552325</v>
      </c>
      <c r="E578" s="307">
        <f t="shared" ca="1" si="241"/>
        <v>-6.3657449249794311</v>
      </c>
      <c r="F578" s="304">
        <f t="shared" ca="1" si="242"/>
        <v>6.3710835987822261</v>
      </c>
      <c r="G578" s="306">
        <f t="shared" ca="1" si="243"/>
        <v>3.9100553472915478</v>
      </c>
      <c r="H578" s="307">
        <f t="shared" ca="1" si="244"/>
        <v>-51.646288548566282</v>
      </c>
      <c r="I578" s="304">
        <f t="shared" ca="1" si="245"/>
        <v>51.794088983788988</v>
      </c>
      <c r="J578" s="306">
        <f t="shared" ca="1" si="246"/>
        <v>56.288824373840264</v>
      </c>
      <c r="K578" s="307">
        <f t="shared" ca="1" si="247"/>
        <v>-1.4194018349380604</v>
      </c>
      <c r="L578" s="304">
        <f t="shared" ca="1" si="232"/>
        <v>56.306717636158297</v>
      </c>
      <c r="M578" s="306">
        <f t="shared" ca="1" si="248"/>
        <v>-1.4952321274822915</v>
      </c>
      <c r="N578" s="304">
        <f t="shared" ca="1" si="249"/>
        <v>-85.670490297102376</v>
      </c>
      <c r="P578" s="310">
        <f t="shared" ca="1" si="250"/>
        <v>23</v>
      </c>
      <c r="Q578" s="304">
        <f t="shared" ca="1" si="251"/>
        <v>0</v>
      </c>
      <c r="R578" s="306">
        <f t="shared" ca="1" si="252"/>
        <v>0</v>
      </c>
      <c r="S578" s="307">
        <f t="shared" ca="1" si="253"/>
        <v>2.0843000000000003</v>
      </c>
      <c r="T578" s="304">
        <f t="shared" ca="1" si="233"/>
        <v>20.446983000000003</v>
      </c>
      <c r="U578" s="311">
        <f t="shared" ca="1" si="234"/>
        <v>0</v>
      </c>
      <c r="V578" s="306">
        <f t="shared" ca="1" si="235"/>
        <v>1.2251738890657029</v>
      </c>
      <c r="W578" s="304">
        <f t="shared" ca="1" si="236"/>
        <v>7.1995856068977613</v>
      </c>
      <c r="Y578" s="314" t="str">
        <f t="shared" ca="1" si="254"/>
        <v/>
      </c>
      <c r="Z578" s="315" t="str">
        <f t="shared" ca="1" si="255"/>
        <v/>
      </c>
      <c r="AA578" s="316" t="str">
        <f t="shared" ca="1" si="256"/>
        <v/>
      </c>
      <c r="AC578" s="310" t="e">
        <f t="shared" ca="1" si="257"/>
        <v>#N/A</v>
      </c>
      <c r="AD578" s="323" t="e">
        <f t="shared" ca="1" si="258"/>
        <v>#N/A</v>
      </c>
      <c r="AE578" s="324">
        <f t="shared" ca="1" si="237"/>
        <v>-1.4194018349380604</v>
      </c>
      <c r="AG578" s="306">
        <f t="shared" ca="1" si="259"/>
        <v>6.327892811981167</v>
      </c>
      <c r="AH578" s="304">
        <f t="shared" ca="1" si="260"/>
        <v>-3.4541121572084843</v>
      </c>
    </row>
    <row r="579" spans="1:34" x14ac:dyDescent="0.2">
      <c r="A579" s="347">
        <f t="shared" ca="1" si="238"/>
        <v>1E-4</v>
      </c>
      <c r="B579" s="304">
        <f t="shared" ca="1" si="239"/>
        <v>12.027499999999911</v>
      </c>
      <c r="D579" s="306">
        <f t="shared" ca="1" si="240"/>
        <v>-0.26076540716786156</v>
      </c>
      <c r="E579" s="307">
        <f t="shared" ca="1" si="241"/>
        <v>-6.3656586119926484</v>
      </c>
      <c r="F579" s="304">
        <f t="shared" ca="1" si="242"/>
        <v>6.370997422853943</v>
      </c>
      <c r="G579" s="306">
        <f t="shared" ca="1" si="243"/>
        <v>3.9100292707508308</v>
      </c>
      <c r="H579" s="307">
        <f t="shared" ca="1" si="244"/>
        <v>-51.646925114427482</v>
      </c>
      <c r="I579" s="304">
        <f t="shared" ca="1" si="245"/>
        <v>51.794721764610422</v>
      </c>
      <c r="J579" s="306">
        <f t="shared" ca="1" si="246"/>
        <v>56.288824373840264</v>
      </c>
      <c r="K579" s="307">
        <f t="shared" ca="1" si="247"/>
        <v>-1.4245664956212101</v>
      </c>
      <c r="L579" s="304">
        <f t="shared" ca="1" si="232"/>
        <v>56.306848065661434</v>
      </c>
      <c r="M579" s="306">
        <f t="shared" ca="1" si="248"/>
        <v>-1.495233557318232</v>
      </c>
      <c r="N579" s="304">
        <f t="shared" ca="1" si="249"/>
        <v>-85.670572220667168</v>
      </c>
      <c r="P579" s="310">
        <f t="shared" ca="1" si="250"/>
        <v>23</v>
      </c>
      <c r="Q579" s="304">
        <f t="shared" ca="1" si="251"/>
        <v>0</v>
      </c>
      <c r="R579" s="306">
        <f t="shared" ca="1" si="252"/>
        <v>0</v>
      </c>
      <c r="S579" s="307">
        <f t="shared" ca="1" si="253"/>
        <v>2.0843000000000003</v>
      </c>
      <c r="T579" s="304">
        <f t="shared" ca="1" si="233"/>
        <v>20.446983000000003</v>
      </c>
      <c r="U579" s="311">
        <f t="shared" ca="1" si="234"/>
        <v>0</v>
      </c>
      <c r="V579" s="306">
        <f t="shared" ca="1" si="235"/>
        <v>1.225174521826611</v>
      </c>
      <c r="W579" s="304">
        <f t="shared" ca="1" si="236"/>
        <v>7.1997652445380007</v>
      </c>
      <c r="Y579" s="314" t="str">
        <f t="shared" ca="1" si="254"/>
        <v/>
      </c>
      <c r="Z579" s="315" t="str">
        <f t="shared" ca="1" si="255"/>
        <v/>
      </c>
      <c r="AA579" s="316" t="str">
        <f t="shared" ca="1" si="256"/>
        <v/>
      </c>
      <c r="AC579" s="310" t="e">
        <f t="shared" ca="1" si="257"/>
        <v>#N/A</v>
      </c>
      <c r="AD579" s="323" t="e">
        <f t="shared" ca="1" si="258"/>
        <v>#N/A</v>
      </c>
      <c r="AE579" s="324">
        <f t="shared" ca="1" si="237"/>
        <v>-1.4245664956212101</v>
      </c>
      <c r="AG579" s="306">
        <f t="shared" ca="1" si="259"/>
        <v>6.3278076848601987</v>
      </c>
      <c r="AH579" s="304">
        <f t="shared" ca="1" si="260"/>
        <v>-3.4541983432796433</v>
      </c>
    </row>
    <row r="580" spans="1:34" x14ac:dyDescent="0.2">
      <c r="A580" s="347">
        <f t="shared" ca="1" si="238"/>
        <v>1E-4</v>
      </c>
      <c r="B580" s="304">
        <f t="shared" ca="1" si="239"/>
        <v>12.027599999999911</v>
      </c>
      <c r="D580" s="306">
        <f t="shared" ca="1" si="240"/>
        <v>-0.26076698858752345</v>
      </c>
      <c r="E580" s="307">
        <f t="shared" ca="1" si="241"/>
        <v>-6.3655722990000987</v>
      </c>
      <c r="F580" s="304">
        <f t="shared" ca="1" si="242"/>
        <v>6.3709112469202083</v>
      </c>
      <c r="G580" s="306">
        <f t="shared" ca="1" si="243"/>
        <v>3.9100031940519719</v>
      </c>
      <c r="H580" s="307">
        <f t="shared" ca="1" si="244"/>
        <v>-51.647561671657385</v>
      </c>
      <c r="I580" s="304">
        <f t="shared" ca="1" si="245"/>
        <v>51.795354536919135</v>
      </c>
      <c r="J580" s="306">
        <f t="shared" ca="1" si="246"/>
        <v>56.288824373840264</v>
      </c>
      <c r="K580" s="307">
        <f t="shared" ca="1" si="247"/>
        <v>-1.4297312199605143</v>
      </c>
      <c r="L580" s="304">
        <f t="shared" ref="L580:L643" ca="1" si="261">SQRT(pos_x^2+pos_z^2)</f>
        <v>56.306978970198386</v>
      </c>
      <c r="M580" s="306">
        <f t="shared" ca="1" si="248"/>
        <v>-1.4952349871097006</v>
      </c>
      <c r="N580" s="304">
        <f t="shared" ca="1" si="249"/>
        <v>-85.670654141683897</v>
      </c>
      <c r="P580" s="310">
        <f t="shared" ca="1" si="250"/>
        <v>23</v>
      </c>
      <c r="Q580" s="304">
        <f t="shared" ca="1" si="251"/>
        <v>0</v>
      </c>
      <c r="R580" s="306">
        <f t="shared" ca="1" si="252"/>
        <v>0</v>
      </c>
      <c r="S580" s="307">
        <f t="shared" ca="1" si="253"/>
        <v>2.0843000000000003</v>
      </c>
      <c r="T580" s="304">
        <f t="shared" ref="T580:T643" ca="1" si="262">m*g</f>
        <v>20.446983000000003</v>
      </c>
      <c r="U580" s="311">
        <f t="shared" ref="U580:U643" ca="1" si="263">IF(pos_xz&lt;L_rampe,Poids*COS(Beta),0)</f>
        <v>0</v>
      </c>
      <c r="V580" s="306">
        <f t="shared" ref="V580:V643" ca="1" si="264">Rho_moyen*(20000-Alt_rampe-pos_z)/(20000+Alt_rampe+pos_z)</f>
        <v>1.2251751545956449</v>
      </c>
      <c r="W580" s="304">
        <f t="shared" ref="W580:W643" ca="1" si="265">1/2*Rho*Sref*Cx*vit_xz^2</f>
        <v>7.1999448821902767</v>
      </c>
      <c r="Y580" s="314" t="str">
        <f t="shared" ca="1" si="254"/>
        <v/>
      </c>
      <c r="Z580" s="315" t="str">
        <f t="shared" ca="1" si="255"/>
        <v/>
      </c>
      <c r="AA580" s="316" t="str">
        <f t="shared" ca="1" si="256"/>
        <v/>
      </c>
      <c r="AC580" s="310" t="e">
        <f t="shared" ca="1" si="257"/>
        <v>#N/A</v>
      </c>
      <c r="AD580" s="323" t="e">
        <f t="shared" ca="1" si="258"/>
        <v>#N/A</v>
      </c>
      <c r="AE580" s="324">
        <f t="shared" ref="AE580:AE643" ca="1" si="266">IF(t&lt;T_para, pos_z, NA())</f>
        <v>-1.4297312199605143</v>
      </c>
      <c r="AG580" s="306">
        <f t="shared" ca="1" si="259"/>
        <v>6.3277225576804756</v>
      </c>
      <c r="AH580" s="304">
        <f t="shared" ca="1" si="260"/>
        <v>-3.4542845293566184</v>
      </c>
    </row>
    <row r="581" spans="1:34" x14ac:dyDescent="0.2">
      <c r="A581" s="347">
        <f t="shared" ref="A581:A644" ca="1" si="267">IF(B580+0.01&lt;=T_ini+ROUNDUP(Temps_fin_propu,0), 0.01, IF(K580&gt;0, 0.1, 0.0001))</f>
        <v>1E-4</v>
      </c>
      <c r="B581" s="304">
        <f t="shared" ref="B581:B644" ca="1" si="268">B580+pas</f>
        <v>12.027699999999911</v>
      </c>
      <c r="D581" s="306">
        <f t="shared" ref="D581:D644" ca="1" si="269">IF(AND(L580&lt;L_rampe,Poussee&lt;Poids*SIN(M580)),0,(-W580+Poussee)/m*COS(M580)-U580/m*SIN(M580))</f>
        <v>-0.26076856991451197</v>
      </c>
      <c r="E581" s="307">
        <f t="shared" ref="E581:E644" ca="1" si="270">IF(AND(L580&lt;L_rampe,Poussee&lt;Poids*SIN(M580)),0,(-W580+Poussee)/m*SIN(M580)+U580/m*COS(M580)-Poids/m)</f>
        <v>-6.3654859860018229</v>
      </c>
      <c r="F581" s="304">
        <f t="shared" ref="F581:F644" ca="1" si="271">SQRT(acc_x^2+acc_z^2)</f>
        <v>6.3708250709810628</v>
      </c>
      <c r="G581" s="306">
        <f t="shared" ref="G581:G644" ca="1" si="272">G580+acc_x*pas</f>
        <v>3.9099771171949804</v>
      </c>
      <c r="H581" s="307">
        <f t="shared" ref="H581:H644" ca="1" si="273">H580+acc_z*pas</f>
        <v>-51.648198220255985</v>
      </c>
      <c r="I581" s="304">
        <f t="shared" ref="I581:I644" ca="1" si="274">SQRT(vit_x^2+vit_z^2)</f>
        <v>51.795987300715119</v>
      </c>
      <c r="J581" s="306">
        <f t="shared" ref="J581:J644" ca="1" si="275">J580+0.5*(vit_x+G580)*pas*(K580&gt;=0)</f>
        <v>56.288824373840264</v>
      </c>
      <c r="K581" s="307">
        <f t="shared" ref="K581:K644" ca="1" si="276">K580+0.5*(vit_z+H580)*pas</f>
        <v>-1.4348960079551101</v>
      </c>
      <c r="L581" s="304">
        <f t="shared" ca="1" si="261"/>
        <v>56.307110349783351</v>
      </c>
      <c r="M581" s="306">
        <f t="shared" ref="M581:M644" ca="1" si="277">IF(AND(L580&gt;L_rampe,G581&gt;0),ATAN2(G581,H581),$M$4)</f>
        <v>-1.4952364168566998</v>
      </c>
      <c r="N581" s="304">
        <f t="shared" ref="N581:N644" ca="1" si="278">DEGREES(Beta)</f>
        <v>-85.67073606015272</v>
      </c>
      <c r="P581" s="310">
        <f t="shared" ref="P581:P644" ca="1" si="279">MATCH(t-pas/2-T_ini,CdP_t)</f>
        <v>23</v>
      </c>
      <c r="Q581" s="304">
        <f t="shared" ref="Q581:Q644" ca="1" si="280">(INDEX(CdP,2,i_P+1)-INDEX(CdP,2,i_P+0))/(INDEX(CdP,1,i_P+1)-INDEX(CdP,1,i_P+0))*(t-pas/2-T_ini-INDEX(CdP,1,i_P+0))+INDEX(CdP,2,i_P+0)</f>
        <v>0</v>
      </c>
      <c r="R581" s="306">
        <f t="shared" ref="R581:R644" ca="1" si="281">Poussee/(g*ISP)</f>
        <v>0</v>
      </c>
      <c r="S581" s="307">
        <f t="shared" ref="S581:S644" ca="1" si="282">S580-Débit*pas</f>
        <v>2.0843000000000003</v>
      </c>
      <c r="T581" s="304">
        <f t="shared" ca="1" si="262"/>
        <v>20.446983000000003</v>
      </c>
      <c r="U581" s="311">
        <f t="shared" ca="1" si="263"/>
        <v>0</v>
      </c>
      <c r="V581" s="306">
        <f t="shared" ca="1" si="264"/>
        <v>1.2251757873728046</v>
      </c>
      <c r="W581" s="304">
        <f t="shared" ca="1" si="265"/>
        <v>7.2001245198545032</v>
      </c>
      <c r="Y581" s="314" t="str">
        <f t="shared" ref="Y581:Y644" ca="1" si="283">IF(AND(pos_z&lt;=0,K580&gt;0),"Impact balistique","") &amp; IF(AND(H582&lt;0,vit_z&gt;=0),"Apogée","") &amp; IF(AND(Poussee=0,Q580&gt;0),"Fin de propulsion","") &amp; IF(AND(L582&gt;L_rampe,pos_xz&lt;=L_rampe),"Sortie de rampe","")</f>
        <v/>
      </c>
      <c r="Z581" s="315" t="str">
        <f t="shared" ref="Z581:Z644" ca="1" si="284">IF(ABS(t-T_para)&lt;pas/2,"Para","")</f>
        <v/>
      </c>
      <c r="AA581" s="316" t="str">
        <f t="shared" ref="AA581:AA644" ca="1" si="285">IF(ABS(t-T_satellite)&lt;pas/2,"Satellite","")</f>
        <v/>
      </c>
      <c r="AC581" s="310" t="e">
        <f t="shared" ref="AC581:AC644" ca="1" si="286">IF(ABS(t-ROUND(t,0))&lt;0.001,t,NA())</f>
        <v>#N/A</v>
      </c>
      <c r="AD581" s="323" t="e">
        <f t="shared" ref="AD581:AD644" ca="1" si="287">IF(ABS(t-ROUND(t,0))&lt;0.001,pos_x,NA())</f>
        <v>#N/A</v>
      </c>
      <c r="AE581" s="324">
        <f t="shared" ca="1" si="266"/>
        <v>-1.4348960079551101</v>
      </c>
      <c r="AG581" s="306">
        <f t="shared" ref="AG581:AG644" ca="1" si="288">IF(AND(L580&lt;L_rampe,Poussee&lt;Poids*SIN(M580)),0,(-W580+Poussee)/m-Poids*SIN(M580)/m)</f>
        <v>6.3276374304420475</v>
      </c>
      <c r="AH581" s="304">
        <f t="shared" ref="AH581:AH644" ca="1" si="289">IF(AND(L580&lt;L_rampe,Poussee&lt;Poids*SIN(M580)), g*SIN(M580), (-W580+Poussee)/m)</f>
        <v>-3.4543707154393686</v>
      </c>
    </row>
    <row r="582" spans="1:34" x14ac:dyDescent="0.2">
      <c r="A582" s="347">
        <f t="shared" ca="1" si="267"/>
        <v>1E-4</v>
      </c>
      <c r="B582" s="304">
        <f t="shared" ca="1" si="268"/>
        <v>12.02779999999991</v>
      </c>
      <c r="D582" s="306">
        <f t="shared" ca="1" si="269"/>
        <v>-0.26077015114882623</v>
      </c>
      <c r="E582" s="307">
        <f t="shared" ca="1" si="270"/>
        <v>-6.3653996729978637</v>
      </c>
      <c r="F582" s="304">
        <f t="shared" ca="1" si="271"/>
        <v>6.3707388950365473</v>
      </c>
      <c r="G582" s="306">
        <f t="shared" ca="1" si="272"/>
        <v>3.9099510401798656</v>
      </c>
      <c r="H582" s="307">
        <f t="shared" ca="1" si="273"/>
        <v>-51.648834760223288</v>
      </c>
      <c r="I582" s="304">
        <f t="shared" ca="1" si="274"/>
        <v>51.796620055998375</v>
      </c>
      <c r="J582" s="306">
        <f t="shared" ca="1" si="275"/>
        <v>56.288824373840264</v>
      </c>
      <c r="K582" s="307">
        <f t="shared" ca="1" si="276"/>
        <v>-1.440060859604134</v>
      </c>
      <c r="L582" s="304">
        <f t="shared" ca="1" si="261"/>
        <v>56.307242204430487</v>
      </c>
      <c r="M582" s="306">
        <f t="shared" ca="1" si="277"/>
        <v>-1.4952378465592315</v>
      </c>
      <c r="N582" s="304">
        <f t="shared" ca="1" si="278"/>
        <v>-85.670817976073749</v>
      </c>
      <c r="P582" s="310">
        <f t="shared" ca="1" si="279"/>
        <v>23</v>
      </c>
      <c r="Q582" s="304">
        <f t="shared" ca="1" si="280"/>
        <v>0</v>
      </c>
      <c r="R582" s="306">
        <f t="shared" ca="1" si="281"/>
        <v>0</v>
      </c>
      <c r="S582" s="307">
        <f t="shared" ca="1" si="282"/>
        <v>2.0843000000000003</v>
      </c>
      <c r="T582" s="304">
        <f t="shared" ca="1" si="262"/>
        <v>20.446983000000003</v>
      </c>
      <c r="U582" s="311">
        <f t="shared" ca="1" si="263"/>
        <v>0</v>
      </c>
      <c r="V582" s="306">
        <f t="shared" ca="1" si="264"/>
        <v>1.2251764201580897</v>
      </c>
      <c r="W582" s="304">
        <f t="shared" ca="1" si="265"/>
        <v>7.2003041575305957</v>
      </c>
      <c r="Y582" s="314" t="str">
        <f t="shared" ca="1" si="283"/>
        <v/>
      </c>
      <c r="Z582" s="315" t="str">
        <f t="shared" ca="1" si="284"/>
        <v/>
      </c>
      <c r="AA582" s="316" t="str">
        <f t="shared" ca="1" si="285"/>
        <v/>
      </c>
      <c r="AC582" s="310" t="e">
        <f t="shared" ca="1" si="286"/>
        <v>#N/A</v>
      </c>
      <c r="AD582" s="323" t="e">
        <f t="shared" ca="1" si="287"/>
        <v>#N/A</v>
      </c>
      <c r="AE582" s="324">
        <f t="shared" ca="1" si="266"/>
        <v>-1.440060859604134</v>
      </c>
      <c r="AG582" s="306">
        <f t="shared" ca="1" si="288"/>
        <v>6.327552303144957</v>
      </c>
      <c r="AH582" s="304">
        <f t="shared" ca="1" si="289"/>
        <v>-3.4544569015278523</v>
      </c>
    </row>
    <row r="583" spans="1:34" x14ac:dyDescent="0.2">
      <c r="A583" s="347">
        <f t="shared" ca="1" si="267"/>
        <v>1E-4</v>
      </c>
      <c r="B583" s="304">
        <f t="shared" ca="1" si="268"/>
        <v>12.02789999999991</v>
      </c>
      <c r="D583" s="306">
        <f t="shared" ca="1" si="269"/>
        <v>-0.26077173229046846</v>
      </c>
      <c r="E583" s="307">
        <f t="shared" ca="1" si="270"/>
        <v>-6.365313359988261</v>
      </c>
      <c r="F583" s="304">
        <f t="shared" ca="1" si="271"/>
        <v>6.3706527190867037</v>
      </c>
      <c r="G583" s="306">
        <f t="shared" ca="1" si="272"/>
        <v>3.9099249630066364</v>
      </c>
      <c r="H583" s="307">
        <f t="shared" ca="1" si="273"/>
        <v>-51.649471291559287</v>
      </c>
      <c r="I583" s="304">
        <f t="shared" ca="1" si="274"/>
        <v>51.797252802768888</v>
      </c>
      <c r="J583" s="306">
        <f t="shared" ca="1" si="275"/>
        <v>56.288824373840264</v>
      </c>
      <c r="K583" s="307">
        <f t="shared" ca="1" si="276"/>
        <v>-1.4452257749067232</v>
      </c>
      <c r="L583" s="304">
        <f t="shared" ca="1" si="261"/>
        <v>56.307374534153951</v>
      </c>
      <c r="M583" s="306">
        <f t="shared" ca="1" si="277"/>
        <v>-1.4952392762172981</v>
      </c>
      <c r="N583" s="304">
        <f t="shared" ca="1" si="278"/>
        <v>-85.670899889447114</v>
      </c>
      <c r="P583" s="310">
        <f t="shared" ca="1" si="279"/>
        <v>23</v>
      </c>
      <c r="Q583" s="304">
        <f t="shared" ca="1" si="280"/>
        <v>0</v>
      </c>
      <c r="R583" s="306">
        <f t="shared" ca="1" si="281"/>
        <v>0</v>
      </c>
      <c r="S583" s="307">
        <f t="shared" ca="1" si="282"/>
        <v>2.0843000000000003</v>
      </c>
      <c r="T583" s="304">
        <f t="shared" ca="1" si="262"/>
        <v>20.446983000000003</v>
      </c>
      <c r="U583" s="311">
        <f t="shared" ca="1" si="263"/>
        <v>0</v>
      </c>
      <c r="V583" s="306">
        <f t="shared" ca="1" si="264"/>
        <v>1.2251770529515007</v>
      </c>
      <c r="W583" s="304">
        <f t="shared" ca="1" si="265"/>
        <v>7.2004837952184699</v>
      </c>
      <c r="Y583" s="314" t="str">
        <f t="shared" ca="1" si="283"/>
        <v/>
      </c>
      <c r="Z583" s="315" t="str">
        <f t="shared" ca="1" si="284"/>
        <v/>
      </c>
      <c r="AA583" s="316" t="str">
        <f t="shared" ca="1" si="285"/>
        <v/>
      </c>
      <c r="AC583" s="310" t="e">
        <f t="shared" ca="1" si="286"/>
        <v>#N/A</v>
      </c>
      <c r="AD583" s="323" t="e">
        <f t="shared" ca="1" si="287"/>
        <v>#N/A</v>
      </c>
      <c r="AE583" s="324">
        <f t="shared" ca="1" si="266"/>
        <v>-1.4452257749067232</v>
      </c>
      <c r="AG583" s="306">
        <f t="shared" ca="1" si="288"/>
        <v>6.3274671757892476</v>
      </c>
      <c r="AH583" s="304">
        <f t="shared" ca="1" si="289"/>
        <v>-3.4545430876220289</v>
      </c>
    </row>
    <row r="584" spans="1:34" x14ac:dyDescent="0.2">
      <c r="A584" s="347">
        <f t="shared" ca="1" si="267"/>
        <v>1E-4</v>
      </c>
      <c r="B584" s="304">
        <f t="shared" ca="1" si="268"/>
        <v>12.02799999999991</v>
      </c>
      <c r="D584" s="306">
        <f t="shared" ca="1" si="269"/>
        <v>-0.26077331333943871</v>
      </c>
      <c r="E584" s="307">
        <f t="shared" ca="1" si="270"/>
        <v>-6.3652270469730547</v>
      </c>
      <c r="F584" s="304">
        <f t="shared" ca="1" si="271"/>
        <v>6.3705665431315719</v>
      </c>
      <c r="G584" s="306">
        <f t="shared" ca="1" si="272"/>
        <v>3.9098988856753025</v>
      </c>
      <c r="H584" s="307">
        <f t="shared" ca="1" si="273"/>
        <v>-51.650107814263983</v>
      </c>
      <c r="I584" s="304">
        <f t="shared" ca="1" si="274"/>
        <v>51.797885541026659</v>
      </c>
      <c r="J584" s="306">
        <f t="shared" ca="1" si="275"/>
        <v>56.288824373840264</v>
      </c>
      <c r="K584" s="307">
        <f t="shared" ca="1" si="276"/>
        <v>-1.4503907538620144</v>
      </c>
      <c r="L584" s="304">
        <f t="shared" ca="1" si="261"/>
        <v>56.307507338967888</v>
      </c>
      <c r="M584" s="306">
        <f t="shared" ca="1" si="277"/>
        <v>-1.4952407058309016</v>
      </c>
      <c r="N584" s="304">
        <f t="shared" ca="1" si="278"/>
        <v>-85.670981800272926</v>
      </c>
      <c r="P584" s="310">
        <f t="shared" ca="1" si="279"/>
        <v>23</v>
      </c>
      <c r="Q584" s="304">
        <f t="shared" ca="1" si="280"/>
        <v>0</v>
      </c>
      <c r="R584" s="306">
        <f t="shared" ca="1" si="281"/>
        <v>0</v>
      </c>
      <c r="S584" s="307">
        <f t="shared" ca="1" si="282"/>
        <v>2.0843000000000003</v>
      </c>
      <c r="T584" s="304">
        <f t="shared" ca="1" si="262"/>
        <v>20.446983000000003</v>
      </c>
      <c r="U584" s="311">
        <f t="shared" ca="1" si="263"/>
        <v>0</v>
      </c>
      <c r="V584" s="306">
        <f t="shared" ca="1" si="264"/>
        <v>1.225177685753037</v>
      </c>
      <c r="W584" s="304">
        <f t="shared" ca="1" si="265"/>
        <v>7.2006634329180352</v>
      </c>
      <c r="Y584" s="314" t="str">
        <f t="shared" ca="1" si="283"/>
        <v/>
      </c>
      <c r="Z584" s="315" t="str">
        <f t="shared" ca="1" si="284"/>
        <v/>
      </c>
      <c r="AA584" s="316" t="str">
        <f t="shared" ca="1" si="285"/>
        <v/>
      </c>
      <c r="AC584" s="310" t="e">
        <f t="shared" ca="1" si="286"/>
        <v>#N/A</v>
      </c>
      <c r="AD584" s="323" t="e">
        <f t="shared" ca="1" si="287"/>
        <v>#N/A</v>
      </c>
      <c r="AE584" s="324">
        <f t="shared" ca="1" si="266"/>
        <v>-1.4503907538620144</v>
      </c>
      <c r="AG584" s="306">
        <f t="shared" ca="1" si="288"/>
        <v>6.3273820483749645</v>
      </c>
      <c r="AH584" s="304">
        <f t="shared" ca="1" si="289"/>
        <v>-3.4546292737218582</v>
      </c>
    </row>
    <row r="585" spans="1:34" x14ac:dyDescent="0.2">
      <c r="A585" s="347">
        <f t="shared" ca="1" si="267"/>
        <v>1E-4</v>
      </c>
      <c r="B585" s="304">
        <f t="shared" ca="1" si="268"/>
        <v>12.02809999999991</v>
      </c>
      <c r="D585" s="306">
        <f t="shared" ca="1" si="269"/>
        <v>-0.26077489429573825</v>
      </c>
      <c r="E585" s="307">
        <f t="shared" ca="1" si="270"/>
        <v>-6.3651407339522894</v>
      </c>
      <c r="F585" s="304">
        <f t="shared" ca="1" si="271"/>
        <v>6.3704803671711954</v>
      </c>
      <c r="G585" s="306">
        <f t="shared" ca="1" si="272"/>
        <v>3.9098728081858729</v>
      </c>
      <c r="H585" s="307">
        <f t="shared" ca="1" si="273"/>
        <v>-51.650744328337375</v>
      </c>
      <c r="I585" s="304">
        <f t="shared" ca="1" si="274"/>
        <v>51.798518270771673</v>
      </c>
      <c r="J585" s="306">
        <f t="shared" ca="1" si="275"/>
        <v>56.288824373840264</v>
      </c>
      <c r="K585" s="307">
        <f t="shared" ca="1" si="276"/>
        <v>-1.4555557964691446</v>
      </c>
      <c r="L585" s="304">
        <f t="shared" ca="1" si="261"/>
        <v>56.307640618886431</v>
      </c>
      <c r="M585" s="306">
        <f t="shared" ca="1" si="277"/>
        <v>-1.4952421354000442</v>
      </c>
      <c r="N585" s="304">
        <f t="shared" ca="1" si="278"/>
        <v>-85.671063708551316</v>
      </c>
      <c r="P585" s="310">
        <f t="shared" ca="1" si="279"/>
        <v>23</v>
      </c>
      <c r="Q585" s="304">
        <f t="shared" ca="1" si="280"/>
        <v>0</v>
      </c>
      <c r="R585" s="306">
        <f t="shared" ca="1" si="281"/>
        <v>0</v>
      </c>
      <c r="S585" s="307">
        <f t="shared" ca="1" si="282"/>
        <v>2.0843000000000003</v>
      </c>
      <c r="T585" s="304">
        <f t="shared" ca="1" si="262"/>
        <v>20.446983000000003</v>
      </c>
      <c r="U585" s="311">
        <f t="shared" ca="1" si="263"/>
        <v>0</v>
      </c>
      <c r="V585" s="306">
        <f t="shared" ca="1" si="264"/>
        <v>1.2251783185626988</v>
      </c>
      <c r="W585" s="304">
        <f t="shared" ca="1" si="265"/>
        <v>7.2008430706292081</v>
      </c>
      <c r="Y585" s="314" t="str">
        <f t="shared" ca="1" si="283"/>
        <v/>
      </c>
      <c r="Z585" s="315" t="str">
        <f t="shared" ca="1" si="284"/>
        <v/>
      </c>
      <c r="AA585" s="316" t="str">
        <f t="shared" ca="1" si="285"/>
        <v/>
      </c>
      <c r="AC585" s="310" t="e">
        <f t="shared" ca="1" si="286"/>
        <v>#N/A</v>
      </c>
      <c r="AD585" s="323" t="e">
        <f t="shared" ca="1" si="287"/>
        <v>#N/A</v>
      </c>
      <c r="AE585" s="324">
        <f t="shared" ca="1" si="266"/>
        <v>-1.4555557964691446</v>
      </c>
      <c r="AG585" s="306">
        <f t="shared" ca="1" si="288"/>
        <v>6.3272969209021532</v>
      </c>
      <c r="AH585" s="304">
        <f t="shared" ca="1" si="289"/>
        <v>-3.4547154598272964</v>
      </c>
    </row>
    <row r="586" spans="1:34" x14ac:dyDescent="0.2">
      <c r="A586" s="347">
        <f t="shared" ca="1" si="267"/>
        <v>1E-4</v>
      </c>
      <c r="B586" s="304">
        <f t="shared" ca="1" si="268"/>
        <v>12.028199999999909</v>
      </c>
      <c r="D586" s="306">
        <f t="shared" ca="1" si="269"/>
        <v>-0.26077647515936792</v>
      </c>
      <c r="E586" s="307">
        <f t="shared" ca="1" si="270"/>
        <v>-6.365054420926004</v>
      </c>
      <c r="F586" s="304">
        <f t="shared" ca="1" si="271"/>
        <v>6.3703941912056123</v>
      </c>
      <c r="G586" s="306">
        <f t="shared" ca="1" si="272"/>
        <v>3.9098467305383569</v>
      </c>
      <c r="H586" s="307">
        <f t="shared" ca="1" si="273"/>
        <v>-51.65138083377947</v>
      </c>
      <c r="I586" s="304">
        <f t="shared" ca="1" si="274"/>
        <v>51.799150992003938</v>
      </c>
      <c r="J586" s="306">
        <f t="shared" ca="1" si="275"/>
        <v>56.288824373840264</v>
      </c>
      <c r="K586" s="307">
        <f t="shared" ca="1" si="276"/>
        <v>-1.4607209027272503</v>
      </c>
      <c r="L586" s="304">
        <f t="shared" ca="1" si="261"/>
        <v>56.307774373923699</v>
      </c>
      <c r="M586" s="306">
        <f t="shared" ca="1" si="277"/>
        <v>-1.495243564924728</v>
      </c>
      <c r="N586" s="304">
        <f t="shared" ca="1" si="278"/>
        <v>-85.671145614282409</v>
      </c>
      <c r="P586" s="310">
        <f t="shared" ca="1" si="279"/>
        <v>23</v>
      </c>
      <c r="Q586" s="304">
        <f t="shared" ca="1" si="280"/>
        <v>0</v>
      </c>
      <c r="R586" s="306">
        <f t="shared" ca="1" si="281"/>
        <v>0</v>
      </c>
      <c r="S586" s="307">
        <f t="shared" ca="1" si="282"/>
        <v>2.0843000000000003</v>
      </c>
      <c r="T586" s="304">
        <f t="shared" ca="1" si="262"/>
        <v>20.446983000000003</v>
      </c>
      <c r="U586" s="311">
        <f t="shared" ca="1" si="263"/>
        <v>0</v>
      </c>
      <c r="V586" s="306">
        <f t="shared" ca="1" si="264"/>
        <v>1.2251789513804854</v>
      </c>
      <c r="W586" s="304">
        <f t="shared" ca="1" si="265"/>
        <v>7.2010227083519034</v>
      </c>
      <c r="Y586" s="314" t="str">
        <f t="shared" ca="1" si="283"/>
        <v/>
      </c>
      <c r="Z586" s="315" t="str">
        <f t="shared" ca="1" si="284"/>
        <v/>
      </c>
      <c r="AA586" s="316" t="str">
        <f t="shared" ca="1" si="285"/>
        <v/>
      </c>
      <c r="AC586" s="310" t="e">
        <f t="shared" ca="1" si="286"/>
        <v>#N/A</v>
      </c>
      <c r="AD586" s="323" t="e">
        <f t="shared" ca="1" si="287"/>
        <v>#N/A</v>
      </c>
      <c r="AE586" s="324">
        <f t="shared" ca="1" si="266"/>
        <v>-1.4607209027272503</v>
      </c>
      <c r="AG586" s="306">
        <f t="shared" ca="1" si="288"/>
        <v>6.3272117933708589</v>
      </c>
      <c r="AH586" s="304">
        <f t="shared" ca="1" si="289"/>
        <v>-3.454801645938304</v>
      </c>
    </row>
    <row r="587" spans="1:34" x14ac:dyDescent="0.2">
      <c r="A587" s="347">
        <f t="shared" ca="1" si="267"/>
        <v>1E-4</v>
      </c>
      <c r="B587" s="304">
        <f t="shared" ca="1" si="268"/>
        <v>12.028299999999909</v>
      </c>
      <c r="D587" s="306">
        <f t="shared" ca="1" si="269"/>
        <v>-0.26077805593032921</v>
      </c>
      <c r="E587" s="307">
        <f t="shared" ca="1" si="270"/>
        <v>-6.3649681078942404</v>
      </c>
      <c r="F587" s="304">
        <f t="shared" ca="1" si="271"/>
        <v>6.3703080152348672</v>
      </c>
      <c r="G587" s="306">
        <f t="shared" ca="1" si="272"/>
        <v>3.9098206527327637</v>
      </c>
      <c r="H587" s="307">
        <f t="shared" ca="1" si="273"/>
        <v>-51.652017330590262</v>
      </c>
      <c r="I587" s="304">
        <f t="shared" ca="1" si="274"/>
        <v>51.799783704723438</v>
      </c>
      <c r="J587" s="306">
        <f t="shared" ca="1" si="275"/>
        <v>56.288824373840264</v>
      </c>
      <c r="K587" s="307">
        <f t="shared" ca="1" si="276"/>
        <v>-1.4658860726354688</v>
      </c>
      <c r="L587" s="304">
        <f t="shared" ca="1" si="261"/>
        <v>56.307908604093804</v>
      </c>
      <c r="M587" s="306">
        <f t="shared" ca="1" si="277"/>
        <v>-1.4952449944049553</v>
      </c>
      <c r="N587" s="304">
        <f t="shared" ca="1" si="278"/>
        <v>-85.671227517466335</v>
      </c>
      <c r="P587" s="310">
        <f t="shared" ca="1" si="279"/>
        <v>23</v>
      </c>
      <c r="Q587" s="304">
        <f t="shared" ca="1" si="280"/>
        <v>0</v>
      </c>
      <c r="R587" s="306">
        <f t="shared" ca="1" si="281"/>
        <v>0</v>
      </c>
      <c r="S587" s="307">
        <f t="shared" ca="1" si="282"/>
        <v>2.0843000000000003</v>
      </c>
      <c r="T587" s="304">
        <f t="shared" ca="1" si="262"/>
        <v>20.446983000000003</v>
      </c>
      <c r="U587" s="311">
        <f t="shared" ca="1" si="263"/>
        <v>0</v>
      </c>
      <c r="V587" s="306">
        <f t="shared" ca="1" si="264"/>
        <v>1.2251795842063971</v>
      </c>
      <c r="W587" s="304">
        <f t="shared" ca="1" si="265"/>
        <v>7.2012023460860348</v>
      </c>
      <c r="Y587" s="314" t="str">
        <f t="shared" ca="1" si="283"/>
        <v/>
      </c>
      <c r="Z587" s="315" t="str">
        <f t="shared" ca="1" si="284"/>
        <v/>
      </c>
      <c r="AA587" s="316" t="str">
        <f t="shared" ca="1" si="285"/>
        <v/>
      </c>
      <c r="AC587" s="310" t="e">
        <f t="shared" ca="1" si="286"/>
        <v>#N/A</v>
      </c>
      <c r="AD587" s="323" t="e">
        <f t="shared" ca="1" si="287"/>
        <v>#N/A</v>
      </c>
      <c r="AE587" s="324">
        <f t="shared" ca="1" si="266"/>
        <v>-1.4658860726354688</v>
      </c>
      <c r="AG587" s="306">
        <f t="shared" ca="1" si="288"/>
        <v>6.3271266657811225</v>
      </c>
      <c r="AH587" s="304">
        <f t="shared" ca="1" si="289"/>
        <v>-3.45488783205484</v>
      </c>
    </row>
    <row r="588" spans="1:34" x14ac:dyDescent="0.2">
      <c r="A588" s="347">
        <f t="shared" ca="1" si="267"/>
        <v>1E-4</v>
      </c>
      <c r="B588" s="304">
        <f t="shared" ca="1" si="268"/>
        <v>12.028399999999909</v>
      </c>
      <c r="D588" s="306">
        <f t="shared" ca="1" si="269"/>
        <v>-0.26077963660862191</v>
      </c>
      <c r="E588" s="307">
        <f t="shared" ca="1" si="270"/>
        <v>-6.3648817948570411</v>
      </c>
      <c r="F588" s="304">
        <f t="shared" ca="1" si="271"/>
        <v>6.3702218392589991</v>
      </c>
      <c r="G588" s="306">
        <f t="shared" ca="1" si="272"/>
        <v>3.9097945747691027</v>
      </c>
      <c r="H588" s="307">
        <f t="shared" ca="1" si="273"/>
        <v>-51.65265381876975</v>
      </c>
      <c r="I588" s="304">
        <f t="shared" ca="1" si="274"/>
        <v>51.800416408930182</v>
      </c>
      <c r="J588" s="306">
        <f t="shared" ca="1" si="275"/>
        <v>56.288824373840264</v>
      </c>
      <c r="K588" s="307">
        <f t="shared" ca="1" si="276"/>
        <v>-1.4710513061929367</v>
      </c>
      <c r="L588" s="304">
        <f t="shared" ca="1" si="261"/>
        <v>56.308043309410834</v>
      </c>
      <c r="M588" s="306">
        <f t="shared" ca="1" si="277"/>
        <v>-1.4952464238407281</v>
      </c>
      <c r="N588" s="304">
        <f t="shared" ca="1" si="278"/>
        <v>-85.671309418103206</v>
      </c>
      <c r="P588" s="310">
        <f t="shared" ca="1" si="279"/>
        <v>23</v>
      </c>
      <c r="Q588" s="304">
        <f t="shared" ca="1" si="280"/>
        <v>0</v>
      </c>
      <c r="R588" s="306">
        <f t="shared" ca="1" si="281"/>
        <v>0</v>
      </c>
      <c r="S588" s="307">
        <f t="shared" ca="1" si="282"/>
        <v>2.0843000000000003</v>
      </c>
      <c r="T588" s="304">
        <f t="shared" ca="1" si="262"/>
        <v>20.446983000000003</v>
      </c>
      <c r="U588" s="311">
        <f t="shared" ca="1" si="263"/>
        <v>0</v>
      </c>
      <c r="V588" s="306">
        <f t="shared" ca="1" si="264"/>
        <v>1.2251802170404347</v>
      </c>
      <c r="W588" s="304">
        <f t="shared" ca="1" si="265"/>
        <v>7.2013819838315243</v>
      </c>
      <c r="Y588" s="314" t="str">
        <f t="shared" ca="1" si="283"/>
        <v/>
      </c>
      <c r="Z588" s="315" t="str">
        <f t="shared" ca="1" si="284"/>
        <v/>
      </c>
      <c r="AA588" s="316" t="str">
        <f t="shared" ca="1" si="285"/>
        <v/>
      </c>
      <c r="AC588" s="310" t="e">
        <f t="shared" ca="1" si="286"/>
        <v>#N/A</v>
      </c>
      <c r="AD588" s="323" t="e">
        <f t="shared" ca="1" si="287"/>
        <v>#N/A</v>
      </c>
      <c r="AE588" s="324">
        <f t="shared" ca="1" si="266"/>
        <v>-1.4710513061929367</v>
      </c>
      <c r="AG588" s="306">
        <f t="shared" ca="1" si="288"/>
        <v>6.3270415381329936</v>
      </c>
      <c r="AH588" s="304">
        <f t="shared" ca="1" si="289"/>
        <v>-3.4549740181768622</v>
      </c>
    </row>
    <row r="589" spans="1:34" x14ac:dyDescent="0.2">
      <c r="A589" s="347">
        <f t="shared" ca="1" si="267"/>
        <v>1E-4</v>
      </c>
      <c r="B589" s="304">
        <f t="shared" ca="1" si="268"/>
        <v>12.028499999999909</v>
      </c>
      <c r="D589" s="306">
        <f t="shared" ca="1" si="269"/>
        <v>-0.26078121719424791</v>
      </c>
      <c r="E589" s="307">
        <f t="shared" ca="1" si="270"/>
        <v>-6.3647954818144417</v>
      </c>
      <c r="F589" s="304">
        <f t="shared" ca="1" si="271"/>
        <v>6.370135663278047</v>
      </c>
      <c r="G589" s="306">
        <f t="shared" ca="1" si="272"/>
        <v>3.9097684966473834</v>
      </c>
      <c r="H589" s="307">
        <f t="shared" ca="1" si="273"/>
        <v>-51.653290298317934</v>
      </c>
      <c r="I589" s="304">
        <f t="shared" ca="1" si="274"/>
        <v>51.801049104624148</v>
      </c>
      <c r="J589" s="306">
        <f t="shared" ca="1" si="275"/>
        <v>56.288824373840264</v>
      </c>
      <c r="K589" s="307">
        <f t="shared" ca="1" si="276"/>
        <v>-1.4762166033987911</v>
      </c>
      <c r="L589" s="304">
        <f t="shared" ca="1" si="261"/>
        <v>56.308178489888874</v>
      </c>
      <c r="M589" s="306">
        <f t="shared" ca="1" si="277"/>
        <v>-1.4952478532320486</v>
      </c>
      <c r="N589" s="304">
        <f t="shared" ca="1" si="278"/>
        <v>-85.671391316193137</v>
      </c>
      <c r="P589" s="310">
        <f t="shared" ca="1" si="279"/>
        <v>23</v>
      </c>
      <c r="Q589" s="304">
        <f t="shared" ca="1" si="280"/>
        <v>0</v>
      </c>
      <c r="R589" s="306">
        <f t="shared" ca="1" si="281"/>
        <v>0</v>
      </c>
      <c r="S589" s="307">
        <f t="shared" ca="1" si="282"/>
        <v>2.0843000000000003</v>
      </c>
      <c r="T589" s="304">
        <f t="shared" ca="1" si="262"/>
        <v>20.446983000000003</v>
      </c>
      <c r="U589" s="311">
        <f t="shared" ca="1" si="263"/>
        <v>0</v>
      </c>
      <c r="V589" s="306">
        <f t="shared" ca="1" si="264"/>
        <v>1.2251808498825965</v>
      </c>
      <c r="W589" s="304">
        <f t="shared" ca="1" si="265"/>
        <v>7.2015616215882723</v>
      </c>
      <c r="Y589" s="314" t="str">
        <f t="shared" ca="1" si="283"/>
        <v/>
      </c>
      <c r="Z589" s="315" t="str">
        <f t="shared" ca="1" si="284"/>
        <v/>
      </c>
      <c r="AA589" s="316" t="str">
        <f t="shared" ca="1" si="285"/>
        <v/>
      </c>
      <c r="AC589" s="310" t="e">
        <f t="shared" ca="1" si="286"/>
        <v>#N/A</v>
      </c>
      <c r="AD589" s="323" t="e">
        <f t="shared" ca="1" si="287"/>
        <v>#N/A</v>
      </c>
      <c r="AE589" s="324">
        <f t="shared" ca="1" si="266"/>
        <v>-1.4762166033987911</v>
      </c>
      <c r="AG589" s="306">
        <f t="shared" ca="1" si="288"/>
        <v>6.3269564104265088</v>
      </c>
      <c r="AH589" s="304">
        <f t="shared" ca="1" si="289"/>
        <v>-3.4550602043043339</v>
      </c>
    </row>
    <row r="590" spans="1:34" x14ac:dyDescent="0.2">
      <c r="A590" s="347">
        <f t="shared" ca="1" si="267"/>
        <v>1E-4</v>
      </c>
      <c r="B590" s="304">
        <f t="shared" ca="1" si="268"/>
        <v>12.028599999999908</v>
      </c>
      <c r="D590" s="306">
        <f t="shared" ca="1" si="269"/>
        <v>-0.26078279768720813</v>
      </c>
      <c r="E590" s="307">
        <f t="shared" ca="1" si="270"/>
        <v>-6.3647091687664901</v>
      </c>
      <c r="F590" s="304">
        <f t="shared" ca="1" si="271"/>
        <v>6.3700494872920563</v>
      </c>
      <c r="G590" s="306">
        <f t="shared" ca="1" si="272"/>
        <v>3.9097424183676148</v>
      </c>
      <c r="H590" s="307">
        <f t="shared" ca="1" si="273"/>
        <v>-51.653926769234808</v>
      </c>
      <c r="I590" s="304">
        <f t="shared" ca="1" si="274"/>
        <v>51.801681791805322</v>
      </c>
      <c r="J590" s="306">
        <f t="shared" ca="1" si="275"/>
        <v>56.288824373840264</v>
      </c>
      <c r="K590" s="307">
        <f t="shared" ca="1" si="276"/>
        <v>-1.4813819642521688</v>
      </c>
      <c r="L590" s="304">
        <f t="shared" ca="1" si="261"/>
        <v>56.308314145542006</v>
      </c>
      <c r="M590" s="306">
        <f t="shared" ca="1" si="277"/>
        <v>-1.4952492825789192</v>
      </c>
      <c r="N590" s="304">
        <f t="shared" ca="1" si="278"/>
        <v>-85.671473211736284</v>
      </c>
      <c r="P590" s="310">
        <f t="shared" ca="1" si="279"/>
        <v>23</v>
      </c>
      <c r="Q590" s="304">
        <f t="shared" ca="1" si="280"/>
        <v>0</v>
      </c>
      <c r="R590" s="306">
        <f t="shared" ca="1" si="281"/>
        <v>0</v>
      </c>
      <c r="S590" s="307">
        <f t="shared" ca="1" si="282"/>
        <v>2.0843000000000003</v>
      </c>
      <c r="T590" s="304">
        <f t="shared" ca="1" si="262"/>
        <v>20.446983000000003</v>
      </c>
      <c r="U590" s="311">
        <f t="shared" ca="1" si="263"/>
        <v>0</v>
      </c>
      <c r="V590" s="306">
        <f t="shared" ca="1" si="264"/>
        <v>1.2251814827328833</v>
      </c>
      <c r="W590" s="304">
        <f t="shared" ca="1" si="265"/>
        <v>7.2017412593561971</v>
      </c>
      <c r="Y590" s="314" t="str">
        <f t="shared" ca="1" si="283"/>
        <v/>
      </c>
      <c r="Z590" s="315" t="str">
        <f t="shared" ca="1" si="284"/>
        <v/>
      </c>
      <c r="AA590" s="316" t="str">
        <f t="shared" ca="1" si="285"/>
        <v/>
      </c>
      <c r="AC590" s="310" t="e">
        <f t="shared" ca="1" si="286"/>
        <v>#N/A</v>
      </c>
      <c r="AD590" s="323" t="e">
        <f t="shared" ca="1" si="287"/>
        <v>#N/A</v>
      </c>
      <c r="AE590" s="324">
        <f t="shared" ca="1" si="266"/>
        <v>-1.4813819642521688</v>
      </c>
      <c r="AG590" s="306">
        <f t="shared" ca="1" si="288"/>
        <v>6.3268712826617239</v>
      </c>
      <c r="AH590" s="304">
        <f t="shared" ca="1" si="289"/>
        <v>-3.4551463904372075</v>
      </c>
    </row>
    <row r="591" spans="1:34" x14ac:dyDescent="0.2">
      <c r="A591" s="347">
        <f t="shared" ca="1" si="267"/>
        <v>1E-4</v>
      </c>
      <c r="B591" s="304">
        <f t="shared" ca="1" si="268"/>
        <v>12.028699999999908</v>
      </c>
      <c r="D591" s="306">
        <f t="shared" ca="1" si="269"/>
        <v>-0.26078437808750182</v>
      </c>
      <c r="E591" s="307">
        <f t="shared" ca="1" si="270"/>
        <v>-6.3646228557132254</v>
      </c>
      <c r="F591" s="304">
        <f t="shared" ca="1" si="271"/>
        <v>6.369963311301067</v>
      </c>
      <c r="G591" s="306">
        <f t="shared" ca="1" si="272"/>
        <v>3.9097163399298061</v>
      </c>
      <c r="H591" s="307">
        <f t="shared" ca="1" si="273"/>
        <v>-51.654563231520378</v>
      </c>
      <c r="I591" s="304">
        <f t="shared" ca="1" si="274"/>
        <v>51.802314470473725</v>
      </c>
      <c r="J591" s="306">
        <f t="shared" ca="1" si="275"/>
        <v>56.288824373840264</v>
      </c>
      <c r="K591" s="307">
        <f t="shared" ca="1" si="276"/>
        <v>-1.4865473887522065</v>
      </c>
      <c r="L591" s="304">
        <f t="shared" ca="1" si="261"/>
        <v>56.308450276384271</v>
      </c>
      <c r="M591" s="306">
        <f t="shared" ca="1" si="277"/>
        <v>-1.4952507118813416</v>
      </c>
      <c r="N591" s="304">
        <f t="shared" ca="1" si="278"/>
        <v>-85.671555104732732</v>
      </c>
      <c r="P591" s="310">
        <f t="shared" ca="1" si="279"/>
        <v>23</v>
      </c>
      <c r="Q591" s="304">
        <f t="shared" ca="1" si="280"/>
        <v>0</v>
      </c>
      <c r="R591" s="306">
        <f t="shared" ca="1" si="281"/>
        <v>0</v>
      </c>
      <c r="S591" s="307">
        <f t="shared" ca="1" si="282"/>
        <v>2.0843000000000003</v>
      </c>
      <c r="T591" s="304">
        <f t="shared" ca="1" si="262"/>
        <v>20.446983000000003</v>
      </c>
      <c r="U591" s="311">
        <f t="shared" ca="1" si="263"/>
        <v>0</v>
      </c>
      <c r="V591" s="306">
        <f t="shared" ca="1" si="264"/>
        <v>1.225182115591295</v>
      </c>
      <c r="W591" s="304">
        <f t="shared" ca="1" si="265"/>
        <v>7.2019208971352224</v>
      </c>
      <c r="Y591" s="314" t="str">
        <f t="shared" ca="1" si="283"/>
        <v/>
      </c>
      <c r="Z591" s="315" t="str">
        <f t="shared" ca="1" si="284"/>
        <v/>
      </c>
      <c r="AA591" s="316" t="str">
        <f t="shared" ca="1" si="285"/>
        <v/>
      </c>
      <c r="AC591" s="310" t="e">
        <f t="shared" ca="1" si="286"/>
        <v>#N/A</v>
      </c>
      <c r="AD591" s="323" t="e">
        <f t="shared" ca="1" si="287"/>
        <v>#N/A</v>
      </c>
      <c r="AE591" s="324">
        <f t="shared" ca="1" si="266"/>
        <v>-1.4865473887522065</v>
      </c>
      <c r="AG591" s="306">
        <f t="shared" ca="1" si="288"/>
        <v>6.3267861548386781</v>
      </c>
      <c r="AH591" s="304">
        <f t="shared" ca="1" si="289"/>
        <v>-3.455232576575443</v>
      </c>
    </row>
    <row r="592" spans="1:34" x14ac:dyDescent="0.2">
      <c r="A592" s="347">
        <f t="shared" ca="1" si="267"/>
        <v>1E-4</v>
      </c>
      <c r="B592" s="304">
        <f t="shared" ca="1" si="268"/>
        <v>12.028799999999908</v>
      </c>
      <c r="D592" s="306">
        <f t="shared" ca="1" si="269"/>
        <v>-0.26078595839513247</v>
      </c>
      <c r="E592" s="307">
        <f t="shared" ca="1" si="270"/>
        <v>-6.3645365426546867</v>
      </c>
      <c r="F592" s="304">
        <f t="shared" ca="1" si="271"/>
        <v>6.369877135305118</v>
      </c>
      <c r="G592" s="306">
        <f t="shared" ca="1" si="272"/>
        <v>3.9096902613339664</v>
      </c>
      <c r="H592" s="307">
        <f t="shared" ca="1" si="273"/>
        <v>-51.655199685174644</v>
      </c>
      <c r="I592" s="304">
        <f t="shared" ca="1" si="274"/>
        <v>51.802947140629328</v>
      </c>
      <c r="J592" s="306">
        <f t="shared" ca="1" si="275"/>
        <v>56.288824373840264</v>
      </c>
      <c r="K592" s="307">
        <f t="shared" ca="1" si="276"/>
        <v>-1.4917128768980412</v>
      </c>
      <c r="L592" s="304">
        <f t="shared" ca="1" si="261"/>
        <v>56.308586882429729</v>
      </c>
      <c r="M592" s="306">
        <f t="shared" ca="1" si="277"/>
        <v>-1.4952521411393183</v>
      </c>
      <c r="N592" s="304">
        <f t="shared" ca="1" si="278"/>
        <v>-85.671636995182624</v>
      </c>
      <c r="P592" s="310">
        <f t="shared" ca="1" si="279"/>
        <v>23</v>
      </c>
      <c r="Q592" s="304">
        <f t="shared" ca="1" si="280"/>
        <v>0</v>
      </c>
      <c r="R592" s="306">
        <f t="shared" ca="1" si="281"/>
        <v>0</v>
      </c>
      <c r="S592" s="307">
        <f t="shared" ca="1" si="282"/>
        <v>2.0843000000000003</v>
      </c>
      <c r="T592" s="304">
        <f t="shared" ca="1" si="262"/>
        <v>20.446983000000003</v>
      </c>
      <c r="U592" s="311">
        <f t="shared" ca="1" si="263"/>
        <v>0</v>
      </c>
      <c r="V592" s="306">
        <f t="shared" ca="1" si="264"/>
        <v>1.2251827484578315</v>
      </c>
      <c r="W592" s="304">
        <f t="shared" ca="1" si="265"/>
        <v>7.2021005349252505</v>
      </c>
      <c r="Y592" s="314" t="str">
        <f t="shared" ca="1" si="283"/>
        <v/>
      </c>
      <c r="Z592" s="315" t="str">
        <f t="shared" ca="1" si="284"/>
        <v/>
      </c>
      <c r="AA592" s="316" t="str">
        <f t="shared" ca="1" si="285"/>
        <v/>
      </c>
      <c r="AC592" s="310" t="e">
        <f t="shared" ca="1" si="286"/>
        <v>#N/A</v>
      </c>
      <c r="AD592" s="323" t="e">
        <f t="shared" ca="1" si="287"/>
        <v>#N/A</v>
      </c>
      <c r="AE592" s="324">
        <f t="shared" ca="1" si="266"/>
        <v>-1.4917128768980412</v>
      </c>
      <c r="AG592" s="306">
        <f t="shared" ca="1" si="288"/>
        <v>6.3267010269574122</v>
      </c>
      <c r="AH592" s="304">
        <f t="shared" ca="1" si="289"/>
        <v>-3.4553187627190045</v>
      </c>
    </row>
    <row r="593" spans="1:34" x14ac:dyDescent="0.2">
      <c r="A593" s="347">
        <f t="shared" ca="1" si="267"/>
        <v>1E-4</v>
      </c>
      <c r="B593" s="304">
        <f t="shared" ca="1" si="268"/>
        <v>12.028899999999908</v>
      </c>
      <c r="D593" s="306">
        <f t="shared" ca="1" si="269"/>
        <v>-0.26078753861009946</v>
      </c>
      <c r="E593" s="307">
        <f t="shared" ca="1" si="270"/>
        <v>-6.3644502295909176</v>
      </c>
      <c r="F593" s="304">
        <f t="shared" ca="1" si="271"/>
        <v>6.369790959304253</v>
      </c>
      <c r="G593" s="306">
        <f t="shared" ca="1" si="272"/>
        <v>3.9096641825801055</v>
      </c>
      <c r="H593" s="307">
        <f t="shared" ca="1" si="273"/>
        <v>-51.655836130197606</v>
      </c>
      <c r="I593" s="304">
        <f t="shared" ca="1" si="274"/>
        <v>51.803579802272139</v>
      </c>
      <c r="J593" s="306">
        <f t="shared" ca="1" si="275"/>
        <v>56.288824373840264</v>
      </c>
      <c r="K593" s="307">
        <f t="shared" ca="1" si="276"/>
        <v>-1.4968784286888099</v>
      </c>
      <c r="L593" s="304">
        <f t="shared" ca="1" si="261"/>
        <v>56.308723963692408</v>
      </c>
      <c r="M593" s="306">
        <f t="shared" ca="1" si="277"/>
        <v>-1.4952535703528513</v>
      </c>
      <c r="N593" s="304">
        <f t="shared" ca="1" si="278"/>
        <v>-85.671718883086101</v>
      </c>
      <c r="P593" s="310">
        <f t="shared" ca="1" si="279"/>
        <v>23</v>
      </c>
      <c r="Q593" s="304">
        <f t="shared" ca="1" si="280"/>
        <v>0</v>
      </c>
      <c r="R593" s="306">
        <f t="shared" ca="1" si="281"/>
        <v>0</v>
      </c>
      <c r="S593" s="307">
        <f t="shared" ca="1" si="282"/>
        <v>2.0843000000000003</v>
      </c>
      <c r="T593" s="304">
        <f t="shared" ca="1" si="262"/>
        <v>20.446983000000003</v>
      </c>
      <c r="U593" s="311">
        <f t="shared" ca="1" si="263"/>
        <v>0</v>
      </c>
      <c r="V593" s="306">
        <f t="shared" ca="1" si="264"/>
        <v>1.2251833813324928</v>
      </c>
      <c r="W593" s="304">
        <f t="shared" ca="1" si="265"/>
        <v>7.2022801727262058</v>
      </c>
      <c r="Y593" s="314" t="str">
        <f t="shared" ca="1" si="283"/>
        <v/>
      </c>
      <c r="Z593" s="315" t="str">
        <f t="shared" ca="1" si="284"/>
        <v/>
      </c>
      <c r="AA593" s="316" t="str">
        <f t="shared" ca="1" si="285"/>
        <v/>
      </c>
      <c r="AC593" s="310" t="e">
        <f t="shared" ca="1" si="286"/>
        <v>#N/A</v>
      </c>
      <c r="AD593" s="323" t="e">
        <f t="shared" ca="1" si="287"/>
        <v>#N/A</v>
      </c>
      <c r="AE593" s="324">
        <f t="shared" ca="1" si="266"/>
        <v>-1.4968784286888099</v>
      </c>
      <c r="AG593" s="306">
        <f t="shared" ca="1" si="288"/>
        <v>6.3266158990179759</v>
      </c>
      <c r="AH593" s="304">
        <f t="shared" ca="1" si="289"/>
        <v>-3.4554049488678453</v>
      </c>
    </row>
    <row r="594" spans="1:34" x14ac:dyDescent="0.2">
      <c r="A594" s="347">
        <f t="shared" ca="1" si="267"/>
        <v>1E-4</v>
      </c>
      <c r="B594" s="304">
        <f t="shared" ca="1" si="268"/>
        <v>12.028999999999908</v>
      </c>
      <c r="D594" s="306">
        <f t="shared" ca="1" si="269"/>
        <v>-0.2607891187324039</v>
      </c>
      <c r="E594" s="307">
        <f t="shared" ca="1" si="270"/>
        <v>-6.364363916521957</v>
      </c>
      <c r="F594" s="304">
        <f t="shared" ca="1" si="271"/>
        <v>6.369704783298511</v>
      </c>
      <c r="G594" s="306">
        <f t="shared" ca="1" si="272"/>
        <v>3.9096381036682324</v>
      </c>
      <c r="H594" s="307">
        <f t="shared" ca="1" si="273"/>
        <v>-51.656472566589258</v>
      </c>
      <c r="I594" s="304">
        <f t="shared" ca="1" si="274"/>
        <v>51.804212455402151</v>
      </c>
      <c r="J594" s="306">
        <f t="shared" ca="1" si="275"/>
        <v>56.288824373840264</v>
      </c>
      <c r="K594" s="307">
        <f t="shared" ca="1" si="276"/>
        <v>-1.5020440441236493</v>
      </c>
      <c r="L594" s="304">
        <f t="shared" ca="1" si="261"/>
        <v>56.308861520186333</v>
      </c>
      <c r="M594" s="306">
        <f t="shared" ca="1" si="277"/>
        <v>-1.4952549995219429</v>
      </c>
      <c r="N594" s="304">
        <f t="shared" ca="1" si="278"/>
        <v>-85.671800768443248</v>
      </c>
      <c r="P594" s="310">
        <f t="shared" ca="1" si="279"/>
        <v>23</v>
      </c>
      <c r="Q594" s="304">
        <f t="shared" ca="1" si="280"/>
        <v>0</v>
      </c>
      <c r="R594" s="306">
        <f t="shared" ca="1" si="281"/>
        <v>0</v>
      </c>
      <c r="S594" s="307">
        <f t="shared" ca="1" si="282"/>
        <v>2.0843000000000003</v>
      </c>
      <c r="T594" s="304">
        <f t="shared" ca="1" si="262"/>
        <v>20.446983000000003</v>
      </c>
      <c r="U594" s="311">
        <f t="shared" ca="1" si="263"/>
        <v>0</v>
      </c>
      <c r="V594" s="306">
        <f t="shared" ca="1" si="264"/>
        <v>1.2251840142152779</v>
      </c>
      <c r="W594" s="304">
        <f t="shared" ca="1" si="265"/>
        <v>7.2024598105379924</v>
      </c>
      <c r="Y594" s="314" t="str">
        <f t="shared" ca="1" si="283"/>
        <v/>
      </c>
      <c r="Z594" s="315" t="str">
        <f t="shared" ca="1" si="284"/>
        <v/>
      </c>
      <c r="AA594" s="316" t="str">
        <f t="shared" ca="1" si="285"/>
        <v/>
      </c>
      <c r="AC594" s="310" t="e">
        <f t="shared" ca="1" si="286"/>
        <v>#N/A</v>
      </c>
      <c r="AD594" s="323" t="e">
        <f t="shared" ca="1" si="287"/>
        <v>#N/A</v>
      </c>
      <c r="AE594" s="324">
        <f t="shared" ca="1" si="266"/>
        <v>-1.5020440441236493</v>
      </c>
      <c r="AG594" s="306">
        <f t="shared" ca="1" si="288"/>
        <v>6.3265307710204102</v>
      </c>
      <c r="AH594" s="304">
        <f t="shared" ca="1" si="289"/>
        <v>-3.4554911350219282</v>
      </c>
    </row>
    <row r="595" spans="1:34" x14ac:dyDescent="0.2">
      <c r="A595" s="347">
        <f t="shared" ca="1" si="267"/>
        <v>1E-4</v>
      </c>
      <c r="B595" s="304">
        <f t="shared" ca="1" si="268"/>
        <v>12.029099999999907</v>
      </c>
      <c r="D595" s="306">
        <f t="shared" ca="1" si="269"/>
        <v>-0.26079069876204686</v>
      </c>
      <c r="E595" s="307">
        <f t="shared" ca="1" si="270"/>
        <v>-6.3642776034478494</v>
      </c>
      <c r="F595" s="304">
        <f t="shared" ca="1" si="271"/>
        <v>6.3696186072879355</v>
      </c>
      <c r="G595" s="306">
        <f t="shared" ca="1" si="272"/>
        <v>3.9096120245983563</v>
      </c>
      <c r="H595" s="307">
        <f t="shared" ca="1" si="273"/>
        <v>-51.657108994349606</v>
      </c>
      <c r="I595" s="304">
        <f t="shared" ca="1" si="274"/>
        <v>51.80484510001935</v>
      </c>
      <c r="J595" s="306">
        <f t="shared" ca="1" si="275"/>
        <v>56.288824373840264</v>
      </c>
      <c r="K595" s="307">
        <f t="shared" ca="1" si="276"/>
        <v>-1.5072097232016963</v>
      </c>
      <c r="L595" s="304">
        <f t="shared" ca="1" si="261"/>
        <v>56.308999551925517</v>
      </c>
      <c r="M595" s="306">
        <f t="shared" ca="1" si="277"/>
        <v>-1.4952564286465952</v>
      </c>
      <c r="N595" s="304">
        <f t="shared" ca="1" si="278"/>
        <v>-85.671882651254236</v>
      </c>
      <c r="P595" s="310">
        <f t="shared" ca="1" si="279"/>
        <v>23</v>
      </c>
      <c r="Q595" s="304">
        <f t="shared" ca="1" si="280"/>
        <v>0</v>
      </c>
      <c r="R595" s="306">
        <f t="shared" ca="1" si="281"/>
        <v>0</v>
      </c>
      <c r="S595" s="307">
        <f t="shared" ca="1" si="282"/>
        <v>2.0843000000000003</v>
      </c>
      <c r="T595" s="304">
        <f t="shared" ca="1" si="262"/>
        <v>20.446983000000003</v>
      </c>
      <c r="U595" s="311">
        <f t="shared" ca="1" si="263"/>
        <v>0</v>
      </c>
      <c r="V595" s="306">
        <f t="shared" ca="1" si="264"/>
        <v>1.2251846471061878</v>
      </c>
      <c r="W595" s="304">
        <f t="shared" ca="1" si="265"/>
        <v>7.2026394483605332</v>
      </c>
      <c r="Y595" s="314" t="str">
        <f t="shared" ca="1" si="283"/>
        <v/>
      </c>
      <c r="Z595" s="315" t="str">
        <f t="shared" ca="1" si="284"/>
        <v/>
      </c>
      <c r="AA595" s="316" t="str">
        <f t="shared" ca="1" si="285"/>
        <v/>
      </c>
      <c r="AC595" s="310" t="e">
        <f t="shared" ca="1" si="286"/>
        <v>#N/A</v>
      </c>
      <c r="AD595" s="323" t="e">
        <f t="shared" ca="1" si="287"/>
        <v>#N/A</v>
      </c>
      <c r="AE595" s="324">
        <f t="shared" ca="1" si="266"/>
        <v>-1.5072097232016963</v>
      </c>
      <c r="AG595" s="306">
        <f t="shared" ca="1" si="288"/>
        <v>6.3264456429647655</v>
      </c>
      <c r="AH595" s="304">
        <f t="shared" ca="1" si="289"/>
        <v>-3.4555773211812078</v>
      </c>
    </row>
    <row r="596" spans="1:34" x14ac:dyDescent="0.2">
      <c r="A596" s="347">
        <f t="shared" ca="1" si="267"/>
        <v>1E-4</v>
      </c>
      <c r="B596" s="304">
        <f t="shared" ca="1" si="268"/>
        <v>12.029199999999907</v>
      </c>
      <c r="D596" s="306">
        <f t="shared" ca="1" si="269"/>
        <v>-0.2607922786990286</v>
      </c>
      <c r="E596" s="307">
        <f t="shared" ca="1" si="270"/>
        <v>-6.364191290368634</v>
      </c>
      <c r="F596" s="304">
        <f t="shared" ca="1" si="271"/>
        <v>6.3695324312725665</v>
      </c>
      <c r="G596" s="306">
        <f t="shared" ca="1" si="272"/>
        <v>3.9095859453704862</v>
      </c>
      <c r="H596" s="307">
        <f t="shared" ca="1" si="273"/>
        <v>-51.657745413478644</v>
      </c>
      <c r="I596" s="304">
        <f t="shared" ca="1" si="274"/>
        <v>51.805477736123741</v>
      </c>
      <c r="J596" s="306">
        <f t="shared" ca="1" si="275"/>
        <v>56.288824373840264</v>
      </c>
      <c r="K596" s="307">
        <f t="shared" ca="1" si="276"/>
        <v>-1.5123754659220878</v>
      </c>
      <c r="L596" s="304">
        <f t="shared" ca="1" si="261"/>
        <v>56.309138058923942</v>
      </c>
      <c r="M596" s="306">
        <f t="shared" ca="1" si="277"/>
        <v>-1.4952578577268103</v>
      </c>
      <c r="N596" s="304">
        <f t="shared" ca="1" si="278"/>
        <v>-85.671964531519137</v>
      </c>
      <c r="P596" s="310">
        <f t="shared" ca="1" si="279"/>
        <v>23</v>
      </c>
      <c r="Q596" s="304">
        <f t="shared" ca="1" si="280"/>
        <v>0</v>
      </c>
      <c r="R596" s="306">
        <f t="shared" ca="1" si="281"/>
        <v>0</v>
      </c>
      <c r="S596" s="307">
        <f t="shared" ca="1" si="282"/>
        <v>2.0843000000000003</v>
      </c>
      <c r="T596" s="304">
        <f t="shared" ca="1" si="262"/>
        <v>20.446983000000003</v>
      </c>
      <c r="U596" s="311">
        <f t="shared" ca="1" si="263"/>
        <v>0</v>
      </c>
      <c r="V596" s="306">
        <f t="shared" ca="1" si="264"/>
        <v>1.2251852800052221</v>
      </c>
      <c r="W596" s="304">
        <f t="shared" ca="1" si="265"/>
        <v>7.2028190861937391</v>
      </c>
      <c r="Y596" s="314" t="str">
        <f t="shared" ca="1" si="283"/>
        <v/>
      </c>
      <c r="Z596" s="315" t="str">
        <f t="shared" ca="1" si="284"/>
        <v/>
      </c>
      <c r="AA596" s="316" t="str">
        <f t="shared" ca="1" si="285"/>
        <v/>
      </c>
      <c r="AC596" s="310" t="e">
        <f t="shared" ca="1" si="286"/>
        <v>#N/A</v>
      </c>
      <c r="AD596" s="323" t="e">
        <f t="shared" ca="1" si="287"/>
        <v>#N/A</v>
      </c>
      <c r="AE596" s="324">
        <f t="shared" ca="1" si="266"/>
        <v>-1.5123754659220878</v>
      </c>
      <c r="AG596" s="306">
        <f t="shared" ca="1" si="288"/>
        <v>6.3263605148510766</v>
      </c>
      <c r="AH596" s="304">
        <f t="shared" ca="1" si="289"/>
        <v>-3.4556635073456472</v>
      </c>
    </row>
    <row r="597" spans="1:34" x14ac:dyDescent="0.2">
      <c r="A597" s="347">
        <f t="shared" ca="1" si="267"/>
        <v>1E-4</v>
      </c>
      <c r="B597" s="304">
        <f t="shared" ca="1" si="268"/>
        <v>12.029299999999907</v>
      </c>
      <c r="D597" s="306">
        <f t="shared" ca="1" si="269"/>
        <v>-0.2607938585433513</v>
      </c>
      <c r="E597" s="307">
        <f t="shared" ca="1" si="270"/>
        <v>-6.3641049772843505</v>
      </c>
      <c r="F597" s="304">
        <f t="shared" ca="1" si="271"/>
        <v>6.3694462552524431</v>
      </c>
      <c r="G597" s="306">
        <f t="shared" ca="1" si="272"/>
        <v>3.9095598659846318</v>
      </c>
      <c r="H597" s="307">
        <f t="shared" ca="1" si="273"/>
        <v>-51.65838182397637</v>
      </c>
      <c r="I597" s="304">
        <f t="shared" ca="1" si="274"/>
        <v>51.806110363715305</v>
      </c>
      <c r="J597" s="306">
        <f t="shared" ca="1" si="275"/>
        <v>56.288824373840264</v>
      </c>
      <c r="K597" s="307">
        <f t="shared" ca="1" si="276"/>
        <v>-1.5175412722839605</v>
      </c>
      <c r="L597" s="304">
        <f t="shared" ca="1" si="261"/>
        <v>56.309277041195614</v>
      </c>
      <c r="M597" s="306">
        <f t="shared" ca="1" si="277"/>
        <v>-1.4952592867625902</v>
      </c>
      <c r="N597" s="304">
        <f t="shared" ca="1" si="278"/>
        <v>-85.672046409238106</v>
      </c>
      <c r="P597" s="310">
        <f t="shared" ca="1" si="279"/>
        <v>23</v>
      </c>
      <c r="Q597" s="304">
        <f t="shared" ca="1" si="280"/>
        <v>0</v>
      </c>
      <c r="R597" s="306">
        <f t="shared" ca="1" si="281"/>
        <v>0</v>
      </c>
      <c r="S597" s="307">
        <f t="shared" ca="1" si="282"/>
        <v>2.0843000000000003</v>
      </c>
      <c r="T597" s="304">
        <f t="shared" ca="1" si="262"/>
        <v>20.446983000000003</v>
      </c>
      <c r="U597" s="311">
        <f t="shared" ca="1" si="263"/>
        <v>0</v>
      </c>
      <c r="V597" s="306">
        <f t="shared" ca="1" si="264"/>
        <v>1.225185912912381</v>
      </c>
      <c r="W597" s="304">
        <f t="shared" ca="1" si="265"/>
        <v>7.2029987240375251</v>
      </c>
      <c r="Y597" s="314" t="str">
        <f t="shared" ca="1" si="283"/>
        <v/>
      </c>
      <c r="Z597" s="315" t="str">
        <f t="shared" ca="1" si="284"/>
        <v/>
      </c>
      <c r="AA597" s="316" t="str">
        <f t="shared" ca="1" si="285"/>
        <v/>
      </c>
      <c r="AC597" s="310" t="e">
        <f t="shared" ca="1" si="286"/>
        <v>#N/A</v>
      </c>
      <c r="AD597" s="323" t="e">
        <f t="shared" ca="1" si="287"/>
        <v>#N/A</v>
      </c>
      <c r="AE597" s="324">
        <f t="shared" ca="1" si="266"/>
        <v>-1.5175412722839605</v>
      </c>
      <c r="AG597" s="306">
        <f t="shared" ca="1" si="288"/>
        <v>6.3262753866793986</v>
      </c>
      <c r="AH597" s="304">
        <f t="shared" ca="1" si="289"/>
        <v>-3.4557496935152034</v>
      </c>
    </row>
    <row r="598" spans="1:34" x14ac:dyDescent="0.2">
      <c r="A598" s="347">
        <f t="shared" ca="1" si="267"/>
        <v>1E-4</v>
      </c>
      <c r="B598" s="304">
        <f t="shared" ca="1" si="268"/>
        <v>12.029399999999907</v>
      </c>
      <c r="D598" s="306">
        <f t="shared" ca="1" si="269"/>
        <v>-0.26079543829501556</v>
      </c>
      <c r="E598" s="307">
        <f t="shared" ca="1" si="270"/>
        <v>-6.3640186641950418</v>
      </c>
      <c r="F598" s="304">
        <f t="shared" ca="1" si="271"/>
        <v>6.3693600792276088</v>
      </c>
      <c r="G598" s="306">
        <f t="shared" ca="1" si="272"/>
        <v>3.9095337864408024</v>
      </c>
      <c r="H598" s="307">
        <f t="shared" ca="1" si="273"/>
        <v>-51.659018225842793</v>
      </c>
      <c r="I598" s="304">
        <f t="shared" ca="1" si="274"/>
        <v>51.806742982794049</v>
      </c>
      <c r="J598" s="306">
        <f t="shared" ca="1" si="275"/>
        <v>56.288824373840264</v>
      </c>
      <c r="K598" s="307">
        <f t="shared" ca="1" si="276"/>
        <v>-1.5227071422864515</v>
      </c>
      <c r="L598" s="304">
        <f t="shared" ca="1" si="261"/>
        <v>56.309416498754487</v>
      </c>
      <c r="M598" s="306">
        <f t="shared" ca="1" si="277"/>
        <v>-1.4952607157539375</v>
      </c>
      <c r="N598" s="304">
        <f t="shared" ca="1" si="278"/>
        <v>-85.672128284411258</v>
      </c>
      <c r="P598" s="310">
        <f t="shared" ca="1" si="279"/>
        <v>23</v>
      </c>
      <c r="Q598" s="304">
        <f t="shared" ca="1" si="280"/>
        <v>0</v>
      </c>
      <c r="R598" s="306">
        <f t="shared" ca="1" si="281"/>
        <v>0</v>
      </c>
      <c r="S598" s="307">
        <f t="shared" ca="1" si="282"/>
        <v>2.0843000000000003</v>
      </c>
      <c r="T598" s="304">
        <f t="shared" ca="1" si="262"/>
        <v>20.446983000000003</v>
      </c>
      <c r="U598" s="311">
        <f t="shared" ca="1" si="263"/>
        <v>0</v>
      </c>
      <c r="V598" s="306">
        <f t="shared" ca="1" si="264"/>
        <v>1.2251865458276632</v>
      </c>
      <c r="W598" s="304">
        <f t="shared" ca="1" si="265"/>
        <v>7.2031783618917995</v>
      </c>
      <c r="Y598" s="314" t="str">
        <f t="shared" ca="1" si="283"/>
        <v/>
      </c>
      <c r="Z598" s="315" t="str">
        <f t="shared" ca="1" si="284"/>
        <v/>
      </c>
      <c r="AA598" s="316" t="str">
        <f t="shared" ca="1" si="285"/>
        <v/>
      </c>
      <c r="AC598" s="310" t="e">
        <f t="shared" ca="1" si="286"/>
        <v>#N/A</v>
      </c>
      <c r="AD598" s="323" t="e">
        <f t="shared" ca="1" si="287"/>
        <v>#N/A</v>
      </c>
      <c r="AE598" s="324">
        <f t="shared" ca="1" si="266"/>
        <v>-1.5227071422864515</v>
      </c>
      <c r="AG598" s="306">
        <f t="shared" ca="1" si="288"/>
        <v>6.3261902584497687</v>
      </c>
      <c r="AH598" s="304">
        <f t="shared" ca="1" si="289"/>
        <v>-3.4558358796898356</v>
      </c>
    </row>
    <row r="599" spans="1:34" x14ac:dyDescent="0.2">
      <c r="A599" s="347">
        <f t="shared" ca="1" si="267"/>
        <v>1E-4</v>
      </c>
      <c r="B599" s="304">
        <f t="shared" ca="1" si="268"/>
        <v>12.029499999999906</v>
      </c>
      <c r="D599" s="306">
        <f t="shared" ca="1" si="269"/>
        <v>-0.26079701795402122</v>
      </c>
      <c r="E599" s="307">
        <f t="shared" ca="1" si="270"/>
        <v>-6.3639323511007504</v>
      </c>
      <c r="F599" s="304">
        <f t="shared" ca="1" si="271"/>
        <v>6.3692739031981063</v>
      </c>
      <c r="G599" s="306">
        <f t="shared" ca="1" si="272"/>
        <v>3.9095077067390069</v>
      </c>
      <c r="H599" s="307">
        <f t="shared" ca="1" si="273"/>
        <v>-51.659654619077905</v>
      </c>
      <c r="I599" s="304">
        <f t="shared" ca="1" si="274"/>
        <v>51.80737559335995</v>
      </c>
      <c r="J599" s="306">
        <f t="shared" ca="1" si="275"/>
        <v>56.288824373840264</v>
      </c>
      <c r="K599" s="307">
        <f t="shared" ca="1" si="276"/>
        <v>-1.5278730759286976</v>
      </c>
      <c r="L599" s="304">
        <f t="shared" ca="1" si="261"/>
        <v>56.309556431614538</v>
      </c>
      <c r="M599" s="306">
        <f t="shared" ca="1" si="277"/>
        <v>-1.4952621447008541</v>
      </c>
      <c r="N599" s="304">
        <f t="shared" ca="1" si="278"/>
        <v>-85.672210157038734</v>
      </c>
      <c r="P599" s="310">
        <f t="shared" ca="1" si="279"/>
        <v>23</v>
      </c>
      <c r="Q599" s="304">
        <f t="shared" ca="1" si="280"/>
        <v>0</v>
      </c>
      <c r="R599" s="306">
        <f t="shared" ca="1" si="281"/>
        <v>0</v>
      </c>
      <c r="S599" s="307">
        <f t="shared" ca="1" si="282"/>
        <v>2.0843000000000003</v>
      </c>
      <c r="T599" s="304">
        <f t="shared" ca="1" si="262"/>
        <v>20.446983000000003</v>
      </c>
      <c r="U599" s="311">
        <f t="shared" ca="1" si="263"/>
        <v>0</v>
      </c>
      <c r="V599" s="306">
        <f t="shared" ca="1" si="264"/>
        <v>1.22518717875107</v>
      </c>
      <c r="W599" s="304">
        <f t="shared" ca="1" si="265"/>
        <v>7.2033579997564834</v>
      </c>
      <c r="Y599" s="314" t="str">
        <f t="shared" ca="1" si="283"/>
        <v/>
      </c>
      <c r="Z599" s="315" t="str">
        <f t="shared" ca="1" si="284"/>
        <v/>
      </c>
      <c r="AA599" s="316" t="str">
        <f t="shared" ca="1" si="285"/>
        <v/>
      </c>
      <c r="AC599" s="310" t="e">
        <f t="shared" ca="1" si="286"/>
        <v>#N/A</v>
      </c>
      <c r="AD599" s="323" t="e">
        <f t="shared" ca="1" si="287"/>
        <v>#N/A</v>
      </c>
      <c r="AE599" s="324">
        <f t="shared" ca="1" si="266"/>
        <v>-1.5278730759286976</v>
      </c>
      <c r="AG599" s="306">
        <f t="shared" ca="1" si="288"/>
        <v>6.3261051301622384</v>
      </c>
      <c r="AH599" s="304">
        <f t="shared" ca="1" si="289"/>
        <v>-3.4559220658694998</v>
      </c>
    </row>
    <row r="600" spans="1:34" x14ac:dyDescent="0.2">
      <c r="A600" s="347">
        <f t="shared" ca="1" si="267"/>
        <v>1E-4</v>
      </c>
      <c r="B600" s="304">
        <f t="shared" ca="1" si="268"/>
        <v>12.029599999999906</v>
      </c>
      <c r="D600" s="306">
        <f t="shared" ca="1" si="269"/>
        <v>-0.26079859752036993</v>
      </c>
      <c r="E600" s="307">
        <f t="shared" ca="1" si="270"/>
        <v>-6.3638460380015163</v>
      </c>
      <c r="F600" s="304">
        <f t="shared" ca="1" si="271"/>
        <v>6.3691877271639745</v>
      </c>
      <c r="G600" s="306">
        <f t="shared" ca="1" si="272"/>
        <v>3.9094816268792547</v>
      </c>
      <c r="H600" s="307">
        <f t="shared" ca="1" si="273"/>
        <v>-51.660291003681706</v>
      </c>
      <c r="I600" s="304">
        <f t="shared" ca="1" si="274"/>
        <v>51.808008195413031</v>
      </c>
      <c r="J600" s="306">
        <f t="shared" ca="1" si="275"/>
        <v>56.288824373840264</v>
      </c>
      <c r="K600" s="307">
        <f t="shared" ca="1" si="276"/>
        <v>-1.5330390732098356</v>
      </c>
      <c r="L600" s="304">
        <f t="shared" ca="1" si="261"/>
        <v>56.309696839789702</v>
      </c>
      <c r="M600" s="306">
        <f t="shared" ca="1" si="277"/>
        <v>-1.4952635736033419</v>
      </c>
      <c r="N600" s="304">
        <f t="shared" ca="1" si="278"/>
        <v>-85.672292027120619</v>
      </c>
      <c r="P600" s="310">
        <f t="shared" ca="1" si="279"/>
        <v>23</v>
      </c>
      <c r="Q600" s="304">
        <f t="shared" ca="1" si="280"/>
        <v>0</v>
      </c>
      <c r="R600" s="306">
        <f t="shared" ca="1" si="281"/>
        <v>0</v>
      </c>
      <c r="S600" s="307">
        <f t="shared" ca="1" si="282"/>
        <v>2.0843000000000003</v>
      </c>
      <c r="T600" s="304">
        <f t="shared" ca="1" si="262"/>
        <v>20.446983000000003</v>
      </c>
      <c r="U600" s="311">
        <f t="shared" ca="1" si="263"/>
        <v>0</v>
      </c>
      <c r="V600" s="306">
        <f t="shared" ca="1" si="264"/>
        <v>1.2251878116826007</v>
      </c>
      <c r="W600" s="304">
        <f t="shared" ca="1" si="265"/>
        <v>7.2035376376314959</v>
      </c>
      <c r="Y600" s="314" t="str">
        <f t="shared" ca="1" si="283"/>
        <v/>
      </c>
      <c r="Z600" s="315" t="str">
        <f t="shared" ca="1" si="284"/>
        <v/>
      </c>
      <c r="AA600" s="316" t="str">
        <f t="shared" ca="1" si="285"/>
        <v/>
      </c>
      <c r="AC600" s="310" t="e">
        <f t="shared" ca="1" si="286"/>
        <v>#N/A</v>
      </c>
      <c r="AD600" s="323" t="e">
        <f t="shared" ca="1" si="287"/>
        <v>#N/A</v>
      </c>
      <c r="AE600" s="324">
        <f t="shared" ca="1" si="266"/>
        <v>-1.5330390732098356</v>
      </c>
      <c r="AG600" s="306">
        <f t="shared" ca="1" si="288"/>
        <v>6.3260200018168478</v>
      </c>
      <c r="AH600" s="304">
        <f t="shared" ca="1" si="289"/>
        <v>-3.4560082520541586</v>
      </c>
    </row>
    <row r="601" spans="1:34" x14ac:dyDescent="0.2">
      <c r="A601" s="347">
        <f t="shared" ca="1" si="267"/>
        <v>1E-4</v>
      </c>
      <c r="B601" s="304">
        <f t="shared" ca="1" si="268"/>
        <v>12.029699999999906</v>
      </c>
      <c r="D601" s="306">
        <f t="shared" ca="1" si="269"/>
        <v>-0.26080017699406322</v>
      </c>
      <c r="E601" s="307">
        <f t="shared" ca="1" si="270"/>
        <v>-6.3637597248973776</v>
      </c>
      <c r="F601" s="304">
        <f t="shared" ca="1" si="271"/>
        <v>6.3691015511252509</v>
      </c>
      <c r="G601" s="306">
        <f t="shared" ca="1" si="272"/>
        <v>3.9094555468615555</v>
      </c>
      <c r="H601" s="307">
        <f t="shared" ca="1" si="273"/>
        <v>-51.660927379654197</v>
      </c>
      <c r="I601" s="304">
        <f t="shared" ca="1" si="274"/>
        <v>51.808640788953262</v>
      </c>
      <c r="J601" s="306">
        <f t="shared" ca="1" si="275"/>
        <v>56.288824373840264</v>
      </c>
      <c r="K601" s="307">
        <f t="shared" ca="1" si="276"/>
        <v>-1.5382051341290024</v>
      </c>
      <c r="L601" s="304">
        <f t="shared" ca="1" si="261"/>
        <v>56.309837723293917</v>
      </c>
      <c r="M601" s="306">
        <f t="shared" ca="1" si="277"/>
        <v>-1.4952650024614034</v>
      </c>
      <c r="N601" s="304">
        <f t="shared" ca="1" si="278"/>
        <v>-85.672373894657071</v>
      </c>
      <c r="P601" s="310">
        <f t="shared" ca="1" si="279"/>
        <v>23</v>
      </c>
      <c r="Q601" s="304">
        <f t="shared" ca="1" si="280"/>
        <v>0</v>
      </c>
      <c r="R601" s="306">
        <f t="shared" ca="1" si="281"/>
        <v>0</v>
      </c>
      <c r="S601" s="307">
        <f t="shared" ca="1" si="282"/>
        <v>2.0843000000000003</v>
      </c>
      <c r="T601" s="304">
        <f t="shared" ca="1" si="262"/>
        <v>20.446983000000003</v>
      </c>
      <c r="U601" s="311">
        <f t="shared" ca="1" si="263"/>
        <v>0</v>
      </c>
      <c r="V601" s="306">
        <f t="shared" ca="1" si="264"/>
        <v>1.2251884446222552</v>
      </c>
      <c r="W601" s="304">
        <f t="shared" ca="1" si="265"/>
        <v>7.2037172755167411</v>
      </c>
      <c r="Y601" s="314" t="str">
        <f t="shared" ca="1" si="283"/>
        <v/>
      </c>
      <c r="Z601" s="315" t="str">
        <f t="shared" ca="1" si="284"/>
        <v/>
      </c>
      <c r="AA601" s="316" t="str">
        <f t="shared" ca="1" si="285"/>
        <v/>
      </c>
      <c r="AC601" s="310" t="e">
        <f t="shared" ca="1" si="286"/>
        <v>#N/A</v>
      </c>
      <c r="AD601" s="323" t="e">
        <f t="shared" ca="1" si="287"/>
        <v>#N/A</v>
      </c>
      <c r="AE601" s="324">
        <f t="shared" ca="1" si="266"/>
        <v>-1.5382051341290024</v>
      </c>
      <c r="AG601" s="306">
        <f t="shared" ca="1" si="288"/>
        <v>6.3259348734136367</v>
      </c>
      <c r="AH601" s="304">
        <f t="shared" ca="1" si="289"/>
        <v>-3.4560944382437726</v>
      </c>
    </row>
    <row r="602" spans="1:34" x14ac:dyDescent="0.2">
      <c r="A602" s="347">
        <f t="shared" ca="1" si="267"/>
        <v>1E-4</v>
      </c>
      <c r="B602" s="304">
        <f t="shared" ca="1" si="268"/>
        <v>12.029799999999906</v>
      </c>
      <c r="D602" s="306">
        <f t="shared" ca="1" si="269"/>
        <v>-0.26080175637510167</v>
      </c>
      <c r="E602" s="307">
        <f t="shared" ca="1" si="270"/>
        <v>-6.3636734117883798</v>
      </c>
      <c r="F602" s="304">
        <f t="shared" ca="1" si="271"/>
        <v>6.3690153750819833</v>
      </c>
      <c r="G602" s="306">
        <f t="shared" ca="1" si="272"/>
        <v>3.9094294666859182</v>
      </c>
      <c r="H602" s="307">
        <f t="shared" ca="1" si="273"/>
        <v>-51.661563746995377</v>
      </c>
      <c r="I602" s="304">
        <f t="shared" ca="1" si="274"/>
        <v>51.809273373980638</v>
      </c>
      <c r="J602" s="306">
        <f t="shared" ca="1" si="275"/>
        <v>56.288824373840264</v>
      </c>
      <c r="K602" s="307">
        <f t="shared" ca="1" si="276"/>
        <v>-1.543371258685335</v>
      </c>
      <c r="L602" s="304">
        <f t="shared" ca="1" si="261"/>
        <v>56.309979082141112</v>
      </c>
      <c r="M602" s="306">
        <f t="shared" ca="1" si="277"/>
        <v>-1.4952664312750408</v>
      </c>
      <c r="N602" s="304">
        <f t="shared" ca="1" si="278"/>
        <v>-85.672455759648201</v>
      </c>
      <c r="P602" s="310">
        <f t="shared" ca="1" si="279"/>
        <v>23</v>
      </c>
      <c r="Q602" s="304">
        <f t="shared" ca="1" si="280"/>
        <v>0</v>
      </c>
      <c r="R602" s="306">
        <f t="shared" ca="1" si="281"/>
        <v>0</v>
      </c>
      <c r="S602" s="307">
        <f t="shared" ca="1" si="282"/>
        <v>2.0843000000000003</v>
      </c>
      <c r="T602" s="304">
        <f t="shared" ca="1" si="262"/>
        <v>20.446983000000003</v>
      </c>
      <c r="U602" s="311">
        <f t="shared" ca="1" si="263"/>
        <v>0</v>
      </c>
      <c r="V602" s="306">
        <f t="shared" ca="1" si="264"/>
        <v>1.2251890775700334</v>
      </c>
      <c r="W602" s="304">
        <f t="shared" ca="1" si="265"/>
        <v>7.2038969134121329</v>
      </c>
      <c r="Y602" s="314" t="str">
        <f t="shared" ca="1" si="283"/>
        <v/>
      </c>
      <c r="Z602" s="315" t="str">
        <f t="shared" ca="1" si="284"/>
        <v/>
      </c>
      <c r="AA602" s="316" t="str">
        <f t="shared" ca="1" si="285"/>
        <v/>
      </c>
      <c r="AC602" s="310" t="e">
        <f t="shared" ca="1" si="286"/>
        <v>#N/A</v>
      </c>
      <c r="AD602" s="323" t="e">
        <f t="shared" ca="1" si="287"/>
        <v>#N/A</v>
      </c>
      <c r="AE602" s="324">
        <f t="shared" ca="1" si="266"/>
        <v>-1.543371258685335</v>
      </c>
      <c r="AG602" s="306">
        <f t="shared" ca="1" si="288"/>
        <v>6.3258497449526576</v>
      </c>
      <c r="AH602" s="304">
        <f t="shared" ca="1" si="289"/>
        <v>-3.456180624438296</v>
      </c>
    </row>
    <row r="603" spans="1:34" x14ac:dyDescent="0.2">
      <c r="A603" s="347">
        <f t="shared" ca="1" si="267"/>
        <v>1E-4</v>
      </c>
      <c r="B603" s="304">
        <f t="shared" ca="1" si="268"/>
        <v>12.029899999999905</v>
      </c>
      <c r="D603" s="306">
        <f t="shared" ca="1" si="269"/>
        <v>-0.26080333566348496</v>
      </c>
      <c r="E603" s="307">
        <f t="shared" ca="1" si="270"/>
        <v>-6.3635870986745644</v>
      </c>
      <c r="F603" s="304">
        <f t="shared" ca="1" si="271"/>
        <v>6.3689291990342118</v>
      </c>
      <c r="G603" s="306">
        <f t="shared" ca="1" si="272"/>
        <v>3.9094033863523516</v>
      </c>
      <c r="H603" s="307">
        <f t="shared" ca="1" si="273"/>
        <v>-51.662200105705246</v>
      </c>
      <c r="I603" s="304">
        <f t="shared" ca="1" si="274"/>
        <v>51.809905950495164</v>
      </c>
      <c r="J603" s="306">
        <f t="shared" ca="1" si="275"/>
        <v>56.288824373840264</v>
      </c>
      <c r="K603" s="307">
        <f t="shared" ca="1" si="276"/>
        <v>-1.54853744687797</v>
      </c>
      <c r="L603" s="304">
        <f t="shared" ca="1" si="261"/>
        <v>56.310120916345205</v>
      </c>
      <c r="M603" s="306">
        <f t="shared" ca="1" si="277"/>
        <v>-1.4952678600442559</v>
      </c>
      <c r="N603" s="304">
        <f t="shared" ca="1" si="278"/>
        <v>-85.672537622094126</v>
      </c>
      <c r="P603" s="310">
        <f t="shared" ca="1" si="279"/>
        <v>23</v>
      </c>
      <c r="Q603" s="304">
        <f t="shared" ca="1" si="280"/>
        <v>0</v>
      </c>
      <c r="R603" s="306">
        <f t="shared" ca="1" si="281"/>
        <v>0</v>
      </c>
      <c r="S603" s="307">
        <f t="shared" ca="1" si="282"/>
        <v>2.0843000000000003</v>
      </c>
      <c r="T603" s="304">
        <f t="shared" ca="1" si="262"/>
        <v>20.446983000000003</v>
      </c>
      <c r="U603" s="311">
        <f t="shared" ca="1" si="263"/>
        <v>0</v>
      </c>
      <c r="V603" s="306">
        <f t="shared" ca="1" si="264"/>
        <v>1.2251897105259351</v>
      </c>
      <c r="W603" s="304">
        <f t="shared" ca="1" si="265"/>
        <v>7.2040765513175922</v>
      </c>
      <c r="Y603" s="314" t="str">
        <f t="shared" ca="1" si="283"/>
        <v/>
      </c>
      <c r="Z603" s="315" t="str">
        <f t="shared" ca="1" si="284"/>
        <v/>
      </c>
      <c r="AA603" s="316" t="str">
        <f t="shared" ca="1" si="285"/>
        <v/>
      </c>
      <c r="AC603" s="310" t="e">
        <f t="shared" ca="1" si="286"/>
        <v>#N/A</v>
      </c>
      <c r="AD603" s="323" t="e">
        <f t="shared" ca="1" si="287"/>
        <v>#N/A</v>
      </c>
      <c r="AE603" s="324">
        <f t="shared" ca="1" si="266"/>
        <v>-1.54853744687797</v>
      </c>
      <c r="AG603" s="306">
        <f t="shared" ca="1" si="288"/>
        <v>6.325764616433954</v>
      </c>
      <c r="AH603" s="304">
        <f t="shared" ca="1" si="289"/>
        <v>-3.4562668106376875</v>
      </c>
    </row>
    <row r="604" spans="1:34" x14ac:dyDescent="0.2">
      <c r="A604" s="347">
        <f t="shared" ca="1" si="267"/>
        <v>1E-4</v>
      </c>
      <c r="B604" s="304">
        <f t="shared" ca="1" si="268"/>
        <v>12.029999999999905</v>
      </c>
      <c r="D604" s="306">
        <f t="shared" ca="1" si="269"/>
        <v>-0.2608049148592157</v>
      </c>
      <c r="E604" s="307">
        <f t="shared" ca="1" si="270"/>
        <v>-6.3635007855559689</v>
      </c>
      <c r="F604" s="304">
        <f t="shared" ca="1" si="271"/>
        <v>6.3688430229819737</v>
      </c>
      <c r="G604" s="306">
        <f t="shared" ca="1" si="272"/>
        <v>3.9093773058608656</v>
      </c>
      <c r="H604" s="307">
        <f t="shared" ca="1" si="273"/>
        <v>-51.662836455783804</v>
      </c>
      <c r="I604" s="304">
        <f t="shared" ca="1" si="274"/>
        <v>51.810538518496834</v>
      </c>
      <c r="J604" s="306">
        <f t="shared" ca="1" si="275"/>
        <v>56.288824373840264</v>
      </c>
      <c r="K604" s="307">
        <f t="shared" ca="1" si="276"/>
        <v>-1.5537036987060444</v>
      </c>
      <c r="L604" s="304">
        <f t="shared" ca="1" si="261"/>
        <v>56.310263225920075</v>
      </c>
      <c r="M604" s="306">
        <f t="shared" ca="1" si="277"/>
        <v>-1.4952692887690513</v>
      </c>
      <c r="N604" s="304">
        <f t="shared" ca="1" si="278"/>
        <v>-85.672619481994985</v>
      </c>
      <c r="P604" s="310">
        <f t="shared" ca="1" si="279"/>
        <v>23</v>
      </c>
      <c r="Q604" s="304">
        <f t="shared" ca="1" si="280"/>
        <v>0</v>
      </c>
      <c r="R604" s="306">
        <f t="shared" ca="1" si="281"/>
        <v>0</v>
      </c>
      <c r="S604" s="307">
        <f t="shared" ca="1" si="282"/>
        <v>2.0843000000000003</v>
      </c>
      <c r="T604" s="304">
        <f t="shared" ca="1" si="262"/>
        <v>20.446983000000003</v>
      </c>
      <c r="U604" s="311">
        <f t="shared" ca="1" si="263"/>
        <v>0</v>
      </c>
      <c r="V604" s="306">
        <f t="shared" ca="1" si="264"/>
        <v>1.2251903434899605</v>
      </c>
      <c r="W604" s="304">
        <f t="shared" ca="1" si="265"/>
        <v>7.2042561892330328</v>
      </c>
      <c r="Y604" s="314" t="str">
        <f t="shared" ca="1" si="283"/>
        <v/>
      </c>
      <c r="Z604" s="315" t="str">
        <f t="shared" ca="1" si="284"/>
        <v/>
      </c>
      <c r="AA604" s="316" t="str">
        <f t="shared" ca="1" si="285"/>
        <v/>
      </c>
      <c r="AC604" s="310" t="e">
        <f t="shared" ca="1" si="286"/>
        <v>#N/A</v>
      </c>
      <c r="AD604" s="323" t="e">
        <f t="shared" ca="1" si="287"/>
        <v>#N/A</v>
      </c>
      <c r="AE604" s="324">
        <f t="shared" ca="1" si="266"/>
        <v>-1.5537036987060444</v>
      </c>
      <c r="AG604" s="306">
        <f t="shared" ca="1" si="288"/>
        <v>6.3256794878575686</v>
      </c>
      <c r="AH604" s="304">
        <f t="shared" ca="1" si="289"/>
        <v>-3.4563529968419093</v>
      </c>
    </row>
    <row r="605" spans="1:34" x14ac:dyDescent="0.2">
      <c r="A605" s="347">
        <f t="shared" ca="1" si="267"/>
        <v>1E-4</v>
      </c>
      <c r="B605" s="304">
        <f t="shared" ca="1" si="268"/>
        <v>12.030099999999905</v>
      </c>
      <c r="D605" s="306">
        <f t="shared" ca="1" si="269"/>
        <v>-0.26080649396229372</v>
      </c>
      <c r="E605" s="307">
        <f t="shared" ca="1" si="270"/>
        <v>-6.3634144724326358</v>
      </c>
      <c r="F605" s="304">
        <f t="shared" ca="1" si="271"/>
        <v>6.3687568469253106</v>
      </c>
      <c r="G605" s="306">
        <f t="shared" ca="1" si="272"/>
        <v>3.9093512252114695</v>
      </c>
      <c r="H605" s="307">
        <f t="shared" ca="1" si="273"/>
        <v>-51.663472797231044</v>
      </c>
      <c r="I605" s="304">
        <f t="shared" ca="1" si="274"/>
        <v>51.811171077985627</v>
      </c>
      <c r="J605" s="306">
        <f t="shared" ca="1" si="275"/>
        <v>56.288824373840264</v>
      </c>
      <c r="K605" s="307">
        <f t="shared" ca="1" si="276"/>
        <v>-1.5588700141686951</v>
      </c>
      <c r="L605" s="304">
        <f t="shared" ca="1" si="261"/>
        <v>56.310406010879625</v>
      </c>
      <c r="M605" s="306">
        <f t="shared" ca="1" si="277"/>
        <v>-1.4952707174494289</v>
      </c>
      <c r="N605" s="304">
        <f t="shared" ca="1" si="278"/>
        <v>-85.672701339350894</v>
      </c>
      <c r="P605" s="310">
        <f t="shared" ca="1" si="279"/>
        <v>23</v>
      </c>
      <c r="Q605" s="304">
        <f t="shared" ca="1" si="280"/>
        <v>0</v>
      </c>
      <c r="R605" s="306">
        <f t="shared" ca="1" si="281"/>
        <v>0</v>
      </c>
      <c r="S605" s="307">
        <f t="shared" ca="1" si="282"/>
        <v>2.0843000000000003</v>
      </c>
      <c r="T605" s="304">
        <f t="shared" ca="1" si="262"/>
        <v>20.446983000000003</v>
      </c>
      <c r="U605" s="311">
        <f t="shared" ca="1" si="263"/>
        <v>0</v>
      </c>
      <c r="V605" s="306">
        <f t="shared" ca="1" si="264"/>
        <v>1.2251909764621096</v>
      </c>
      <c r="W605" s="304">
        <f t="shared" ca="1" si="265"/>
        <v>7.2044358271583651</v>
      </c>
      <c r="Y605" s="314" t="str">
        <f t="shared" ca="1" si="283"/>
        <v/>
      </c>
      <c r="Z605" s="315" t="str">
        <f t="shared" ca="1" si="284"/>
        <v/>
      </c>
      <c r="AA605" s="316" t="str">
        <f t="shared" ca="1" si="285"/>
        <v/>
      </c>
      <c r="AC605" s="310" t="e">
        <f t="shared" ca="1" si="286"/>
        <v>#N/A</v>
      </c>
      <c r="AD605" s="323" t="e">
        <f t="shared" ca="1" si="287"/>
        <v>#N/A</v>
      </c>
      <c r="AE605" s="324">
        <f t="shared" ca="1" si="266"/>
        <v>-1.5588700141686951</v>
      </c>
      <c r="AG605" s="306">
        <f t="shared" ca="1" si="288"/>
        <v>6.3255943592235457</v>
      </c>
      <c r="AH605" s="304">
        <f t="shared" ca="1" si="289"/>
        <v>-3.4564391830509198</v>
      </c>
    </row>
    <row r="606" spans="1:34" x14ac:dyDescent="0.2">
      <c r="A606" s="347">
        <f t="shared" ca="1" si="267"/>
        <v>1E-4</v>
      </c>
      <c r="B606" s="304">
        <f t="shared" ca="1" si="268"/>
        <v>12.030199999999905</v>
      </c>
      <c r="D606" s="306">
        <f t="shared" ca="1" si="269"/>
        <v>-0.26080807297272035</v>
      </c>
      <c r="E606" s="307">
        <f t="shared" ca="1" si="270"/>
        <v>-6.3633281593046087</v>
      </c>
      <c r="F606" s="304">
        <f t="shared" ca="1" si="271"/>
        <v>6.368670670864268</v>
      </c>
      <c r="G606" s="306">
        <f t="shared" ca="1" si="272"/>
        <v>3.9093251444041721</v>
      </c>
      <c r="H606" s="307">
        <f t="shared" ca="1" si="273"/>
        <v>-51.664109130046974</v>
      </c>
      <c r="I606" s="304">
        <f t="shared" ca="1" si="274"/>
        <v>51.811803628961556</v>
      </c>
      <c r="J606" s="306">
        <f t="shared" ca="1" si="275"/>
        <v>56.288824373840264</v>
      </c>
      <c r="K606" s="307">
        <f t="shared" ca="1" si="276"/>
        <v>-1.5640363932650589</v>
      </c>
      <c r="L606" s="304">
        <f t="shared" ca="1" si="261"/>
        <v>56.310549271237726</v>
      </c>
      <c r="M606" s="306">
        <f t="shared" ca="1" si="277"/>
        <v>-1.4952721460853906</v>
      </c>
      <c r="N606" s="304">
        <f t="shared" ca="1" si="278"/>
        <v>-85.672783194161966</v>
      </c>
      <c r="P606" s="310">
        <f t="shared" ca="1" si="279"/>
        <v>23</v>
      </c>
      <c r="Q606" s="304">
        <f t="shared" ca="1" si="280"/>
        <v>0</v>
      </c>
      <c r="R606" s="306">
        <f t="shared" ca="1" si="281"/>
        <v>0</v>
      </c>
      <c r="S606" s="307">
        <f t="shared" ca="1" si="282"/>
        <v>2.0843000000000003</v>
      </c>
      <c r="T606" s="304">
        <f t="shared" ca="1" si="262"/>
        <v>20.446983000000003</v>
      </c>
      <c r="U606" s="311">
        <f t="shared" ca="1" si="263"/>
        <v>0</v>
      </c>
      <c r="V606" s="306">
        <f t="shared" ca="1" si="264"/>
        <v>1.2251916094423823</v>
      </c>
      <c r="W606" s="304">
        <f t="shared" ca="1" si="265"/>
        <v>7.2046154650935081</v>
      </c>
      <c r="Y606" s="314" t="str">
        <f t="shared" ca="1" si="283"/>
        <v/>
      </c>
      <c r="Z606" s="315" t="str">
        <f t="shared" ca="1" si="284"/>
        <v/>
      </c>
      <c r="AA606" s="316" t="str">
        <f t="shared" ca="1" si="285"/>
        <v/>
      </c>
      <c r="AC606" s="310" t="e">
        <f t="shared" ca="1" si="286"/>
        <v>#N/A</v>
      </c>
      <c r="AD606" s="323" t="e">
        <f t="shared" ca="1" si="287"/>
        <v>#N/A</v>
      </c>
      <c r="AE606" s="324">
        <f t="shared" ca="1" si="266"/>
        <v>-1.5640363932650589</v>
      </c>
      <c r="AG606" s="306">
        <f t="shared" ca="1" si="288"/>
        <v>6.3255092305319289</v>
      </c>
      <c r="AH606" s="304">
        <f t="shared" ca="1" si="289"/>
        <v>-3.4565253692646758</v>
      </c>
    </row>
    <row r="607" spans="1:34" x14ac:dyDescent="0.2">
      <c r="A607" s="347">
        <f t="shared" ca="1" si="267"/>
        <v>1E-4</v>
      </c>
      <c r="B607" s="304">
        <f t="shared" ca="1" si="268"/>
        <v>12.030299999999905</v>
      </c>
      <c r="D607" s="306">
        <f t="shared" ca="1" si="269"/>
        <v>-0.26080965189049732</v>
      </c>
      <c r="E607" s="307">
        <f t="shared" ca="1" si="270"/>
        <v>-6.3632418461719249</v>
      </c>
      <c r="F607" s="304">
        <f t="shared" ca="1" si="271"/>
        <v>6.3685844947988821</v>
      </c>
      <c r="G607" s="306">
        <f t="shared" ca="1" si="272"/>
        <v>3.9092990634389833</v>
      </c>
      <c r="H607" s="307">
        <f t="shared" ca="1" si="273"/>
        <v>-51.664745454231593</v>
      </c>
      <c r="I607" s="304">
        <f t="shared" ca="1" si="274"/>
        <v>51.812436171424608</v>
      </c>
      <c r="J607" s="306">
        <f t="shared" ca="1" si="275"/>
        <v>56.288824373840264</v>
      </c>
      <c r="K607" s="307">
        <f t="shared" ca="1" si="276"/>
        <v>-1.5692028359942729</v>
      </c>
      <c r="L607" s="304">
        <f t="shared" ca="1" si="261"/>
        <v>56.31069300700824</v>
      </c>
      <c r="M607" s="306">
        <f t="shared" ca="1" si="277"/>
        <v>-1.4952735746769392</v>
      </c>
      <c r="N607" s="304">
        <f t="shared" ca="1" si="278"/>
        <v>-85.672865046428342</v>
      </c>
      <c r="P607" s="310">
        <f t="shared" ca="1" si="279"/>
        <v>23</v>
      </c>
      <c r="Q607" s="304">
        <f t="shared" ca="1" si="280"/>
        <v>0</v>
      </c>
      <c r="R607" s="306">
        <f t="shared" ca="1" si="281"/>
        <v>0</v>
      </c>
      <c r="S607" s="307">
        <f t="shared" ca="1" si="282"/>
        <v>2.0843000000000003</v>
      </c>
      <c r="T607" s="304">
        <f t="shared" ca="1" si="262"/>
        <v>20.446983000000003</v>
      </c>
      <c r="U607" s="311">
        <f t="shared" ca="1" si="263"/>
        <v>0</v>
      </c>
      <c r="V607" s="306">
        <f t="shared" ca="1" si="264"/>
        <v>1.225192242430778</v>
      </c>
      <c r="W607" s="304">
        <f t="shared" ca="1" si="265"/>
        <v>7.2047951030383723</v>
      </c>
      <c r="Y607" s="314" t="str">
        <f t="shared" ca="1" si="283"/>
        <v/>
      </c>
      <c r="Z607" s="315" t="str">
        <f t="shared" ca="1" si="284"/>
        <v/>
      </c>
      <c r="AA607" s="316" t="str">
        <f t="shared" ca="1" si="285"/>
        <v/>
      </c>
      <c r="AC607" s="310" t="e">
        <f t="shared" ca="1" si="286"/>
        <v>#N/A</v>
      </c>
      <c r="AD607" s="323" t="e">
        <f t="shared" ca="1" si="287"/>
        <v>#N/A</v>
      </c>
      <c r="AE607" s="324">
        <f t="shared" ca="1" si="266"/>
        <v>-1.5692028359942729</v>
      </c>
      <c r="AG607" s="306">
        <f t="shared" ca="1" si="288"/>
        <v>6.3254241017827635</v>
      </c>
      <c r="AH607" s="304">
        <f t="shared" ca="1" si="289"/>
        <v>-3.4566115554831391</v>
      </c>
    </row>
    <row r="608" spans="1:34" x14ac:dyDescent="0.2">
      <c r="A608" s="347">
        <f t="shared" ca="1" si="267"/>
        <v>1E-4</v>
      </c>
      <c r="B608" s="304">
        <f t="shared" ca="1" si="268"/>
        <v>12.030399999999904</v>
      </c>
      <c r="D608" s="306">
        <f t="shared" ca="1" si="269"/>
        <v>-0.26081123071562362</v>
      </c>
      <c r="E608" s="307">
        <f t="shared" ca="1" si="270"/>
        <v>-6.363155533034627</v>
      </c>
      <c r="F608" s="304">
        <f t="shared" ca="1" si="271"/>
        <v>6.3684983187291957</v>
      </c>
      <c r="G608" s="306">
        <f t="shared" ca="1" si="272"/>
        <v>3.9092729823159118</v>
      </c>
      <c r="H608" s="307">
        <f t="shared" ca="1" si="273"/>
        <v>-51.665381769784894</v>
      </c>
      <c r="I608" s="304">
        <f t="shared" ca="1" si="274"/>
        <v>51.813068705374768</v>
      </c>
      <c r="J608" s="306">
        <f t="shared" ca="1" si="275"/>
        <v>56.288824373840264</v>
      </c>
      <c r="K608" s="307">
        <f t="shared" ca="1" si="276"/>
        <v>-1.5743693423554737</v>
      </c>
      <c r="L608" s="304">
        <f t="shared" ca="1" si="261"/>
        <v>56.310837218205009</v>
      </c>
      <c r="M608" s="306">
        <f t="shared" ca="1" si="277"/>
        <v>-1.4952750032240762</v>
      </c>
      <c r="N608" s="304">
        <f t="shared" ca="1" si="278"/>
        <v>-85.672946896150137</v>
      </c>
      <c r="P608" s="310">
        <f t="shared" ca="1" si="279"/>
        <v>23</v>
      </c>
      <c r="Q608" s="304">
        <f t="shared" ca="1" si="280"/>
        <v>0</v>
      </c>
      <c r="R608" s="306">
        <f t="shared" ca="1" si="281"/>
        <v>0</v>
      </c>
      <c r="S608" s="307">
        <f t="shared" ca="1" si="282"/>
        <v>2.0843000000000003</v>
      </c>
      <c r="T608" s="304">
        <f t="shared" ca="1" si="262"/>
        <v>20.446983000000003</v>
      </c>
      <c r="U608" s="311">
        <f t="shared" ca="1" si="263"/>
        <v>0</v>
      </c>
      <c r="V608" s="306">
        <f t="shared" ca="1" si="264"/>
        <v>1.2251928754272965</v>
      </c>
      <c r="W608" s="304">
        <f t="shared" ca="1" si="265"/>
        <v>7.2049747409928688</v>
      </c>
      <c r="Y608" s="314" t="str">
        <f t="shared" ca="1" si="283"/>
        <v/>
      </c>
      <c r="Z608" s="315" t="str">
        <f t="shared" ca="1" si="284"/>
        <v/>
      </c>
      <c r="AA608" s="316" t="str">
        <f t="shared" ca="1" si="285"/>
        <v/>
      </c>
      <c r="AC608" s="310" t="e">
        <f t="shared" ca="1" si="286"/>
        <v>#N/A</v>
      </c>
      <c r="AD608" s="323" t="e">
        <f t="shared" ca="1" si="287"/>
        <v>#N/A</v>
      </c>
      <c r="AE608" s="324">
        <f t="shared" ca="1" si="266"/>
        <v>-1.5743693423554737</v>
      </c>
      <c r="AG608" s="306">
        <f t="shared" ca="1" si="288"/>
        <v>6.3253389729760965</v>
      </c>
      <c r="AH608" s="304">
        <f t="shared" ca="1" si="289"/>
        <v>-3.4566977417062668</v>
      </c>
    </row>
    <row r="609" spans="1:34" x14ac:dyDescent="0.2">
      <c r="A609" s="347">
        <f t="shared" ca="1" si="267"/>
        <v>1E-4</v>
      </c>
      <c r="B609" s="304">
        <f t="shared" ca="1" si="268"/>
        <v>12.030499999999904</v>
      </c>
      <c r="D609" s="306">
        <f t="shared" ca="1" si="269"/>
        <v>-0.26081280944810198</v>
      </c>
      <c r="E609" s="307">
        <f t="shared" ca="1" si="270"/>
        <v>-6.3630692198927603</v>
      </c>
      <c r="F609" s="304">
        <f t="shared" ca="1" si="271"/>
        <v>6.3684121426552531</v>
      </c>
      <c r="G609" s="306">
        <f t="shared" ca="1" si="272"/>
        <v>3.9092469010349671</v>
      </c>
      <c r="H609" s="307">
        <f t="shared" ca="1" si="273"/>
        <v>-51.666018076706884</v>
      </c>
      <c r="I609" s="304">
        <f t="shared" ca="1" si="274"/>
        <v>51.813701230812043</v>
      </c>
      <c r="J609" s="306">
        <f t="shared" ca="1" si="275"/>
        <v>56.288824373840264</v>
      </c>
      <c r="K609" s="307">
        <f t="shared" ca="1" si="276"/>
        <v>-1.5795359123477983</v>
      </c>
      <c r="L609" s="304">
        <f t="shared" ca="1" si="261"/>
        <v>56.310981904841888</v>
      </c>
      <c r="M609" s="306">
        <f t="shared" ca="1" si="277"/>
        <v>-1.4952764317268044</v>
      </c>
      <c r="N609" s="304">
        <f t="shared" ca="1" si="278"/>
        <v>-85.673028743327478</v>
      </c>
      <c r="P609" s="310">
        <f t="shared" ca="1" si="279"/>
        <v>23</v>
      </c>
      <c r="Q609" s="304">
        <f t="shared" ca="1" si="280"/>
        <v>0</v>
      </c>
      <c r="R609" s="306">
        <f t="shared" ca="1" si="281"/>
        <v>0</v>
      </c>
      <c r="S609" s="307">
        <f t="shared" ca="1" si="282"/>
        <v>2.0843000000000003</v>
      </c>
      <c r="T609" s="304">
        <f t="shared" ca="1" si="262"/>
        <v>20.446983000000003</v>
      </c>
      <c r="U609" s="311">
        <f t="shared" ca="1" si="263"/>
        <v>0</v>
      </c>
      <c r="V609" s="306">
        <f t="shared" ca="1" si="264"/>
        <v>1.2251935084319387</v>
      </c>
      <c r="W609" s="304">
        <f t="shared" ca="1" si="265"/>
        <v>7.2051543789569186</v>
      </c>
      <c r="Y609" s="314" t="str">
        <f t="shared" ca="1" si="283"/>
        <v/>
      </c>
      <c r="Z609" s="315" t="str">
        <f t="shared" ca="1" si="284"/>
        <v/>
      </c>
      <c r="AA609" s="316" t="str">
        <f t="shared" ca="1" si="285"/>
        <v/>
      </c>
      <c r="AC609" s="310" t="e">
        <f t="shared" ca="1" si="286"/>
        <v>#N/A</v>
      </c>
      <c r="AD609" s="323" t="e">
        <f t="shared" ca="1" si="287"/>
        <v>#N/A</v>
      </c>
      <c r="AE609" s="324">
        <f t="shared" ca="1" si="266"/>
        <v>-1.5795359123477983</v>
      </c>
      <c r="AG609" s="306">
        <f t="shared" ca="1" si="288"/>
        <v>6.3252538441119714</v>
      </c>
      <c r="AH609" s="304">
        <f t="shared" ca="1" si="289"/>
        <v>-3.4567839279340151</v>
      </c>
    </row>
    <row r="610" spans="1:34" x14ac:dyDescent="0.2">
      <c r="A610" s="347">
        <f t="shared" ca="1" si="267"/>
        <v>1E-4</v>
      </c>
      <c r="B610" s="304">
        <f t="shared" ca="1" si="268"/>
        <v>12.030599999999904</v>
      </c>
      <c r="D610" s="306">
        <f t="shared" ca="1" si="269"/>
        <v>-0.260814388087932</v>
      </c>
      <c r="E610" s="307">
        <f t="shared" ca="1" si="270"/>
        <v>-6.3629829067463604</v>
      </c>
      <c r="F610" s="304">
        <f t="shared" ca="1" si="271"/>
        <v>6.3683259665770908</v>
      </c>
      <c r="G610" s="306">
        <f t="shared" ca="1" si="272"/>
        <v>3.9092208195961584</v>
      </c>
      <c r="H610" s="307">
        <f t="shared" ca="1" si="273"/>
        <v>-51.666654374997556</v>
      </c>
      <c r="I610" s="304">
        <f t="shared" ca="1" si="274"/>
        <v>51.814333747736434</v>
      </c>
      <c r="J610" s="306">
        <f t="shared" ca="1" si="275"/>
        <v>56.288824373840264</v>
      </c>
      <c r="K610" s="307">
        <f t="shared" ca="1" si="276"/>
        <v>-1.5847025459703836</v>
      </c>
      <c r="L610" s="304">
        <f t="shared" ca="1" si="261"/>
        <v>56.311127066932684</v>
      </c>
      <c r="M610" s="306">
        <f t="shared" ca="1" si="277"/>
        <v>-1.4952778601851253</v>
      </c>
      <c r="N610" s="304">
        <f t="shared" ca="1" si="278"/>
        <v>-85.67311058796048</v>
      </c>
      <c r="P610" s="310">
        <f t="shared" ca="1" si="279"/>
        <v>23</v>
      </c>
      <c r="Q610" s="304">
        <f t="shared" ca="1" si="280"/>
        <v>0</v>
      </c>
      <c r="R610" s="306">
        <f t="shared" ca="1" si="281"/>
        <v>0</v>
      </c>
      <c r="S610" s="307">
        <f t="shared" ca="1" si="282"/>
        <v>2.0843000000000003</v>
      </c>
      <c r="T610" s="304">
        <f t="shared" ca="1" si="262"/>
        <v>20.446983000000003</v>
      </c>
      <c r="U610" s="311">
        <f t="shared" ca="1" si="263"/>
        <v>0</v>
      </c>
      <c r="V610" s="306">
        <f t="shared" ca="1" si="264"/>
        <v>1.2251941414447036</v>
      </c>
      <c r="W610" s="304">
        <f t="shared" ca="1" si="265"/>
        <v>7.2053340169304381</v>
      </c>
      <c r="Y610" s="314" t="str">
        <f t="shared" ca="1" si="283"/>
        <v/>
      </c>
      <c r="Z610" s="315" t="str">
        <f t="shared" ca="1" si="284"/>
        <v/>
      </c>
      <c r="AA610" s="316" t="str">
        <f t="shared" ca="1" si="285"/>
        <v/>
      </c>
      <c r="AC610" s="310" t="e">
        <f t="shared" ca="1" si="286"/>
        <v>#N/A</v>
      </c>
      <c r="AD610" s="323" t="e">
        <f t="shared" ca="1" si="287"/>
        <v>#N/A</v>
      </c>
      <c r="AE610" s="324">
        <f t="shared" ca="1" si="266"/>
        <v>-1.5847025459703836</v>
      </c>
      <c r="AG610" s="306">
        <f t="shared" ca="1" si="288"/>
        <v>6.325168715190431</v>
      </c>
      <c r="AH610" s="304">
        <f t="shared" ca="1" si="289"/>
        <v>-3.4568701141663474</v>
      </c>
    </row>
    <row r="611" spans="1:34" x14ac:dyDescent="0.2">
      <c r="A611" s="347">
        <f t="shared" ca="1" si="267"/>
        <v>1E-4</v>
      </c>
      <c r="B611" s="304">
        <f t="shared" ca="1" si="268"/>
        <v>12.030699999999904</v>
      </c>
      <c r="D611" s="306">
        <f t="shared" ca="1" si="269"/>
        <v>-0.26081596663511586</v>
      </c>
      <c r="E611" s="307">
        <f t="shared" ca="1" si="270"/>
        <v>-6.3628965935954689</v>
      </c>
      <c r="F611" s="304">
        <f t="shared" ca="1" si="271"/>
        <v>6.3682397904947505</v>
      </c>
      <c r="G611" s="306">
        <f t="shared" ca="1" si="272"/>
        <v>3.9091947379994947</v>
      </c>
      <c r="H611" s="307">
        <f t="shared" ca="1" si="273"/>
        <v>-51.667290664656917</v>
      </c>
      <c r="I611" s="304">
        <f t="shared" ca="1" si="274"/>
        <v>51.814966256147912</v>
      </c>
      <c r="J611" s="306">
        <f t="shared" ca="1" si="275"/>
        <v>56.288824373840264</v>
      </c>
      <c r="K611" s="307">
        <f t="shared" ca="1" si="276"/>
        <v>-1.5898692432223664</v>
      </c>
      <c r="L611" s="304">
        <f t="shared" ca="1" si="261"/>
        <v>56.311272704491223</v>
      </c>
      <c r="M611" s="306">
        <f t="shared" ca="1" si="277"/>
        <v>-1.4952792885990414</v>
      </c>
      <c r="N611" s="304">
        <f t="shared" ca="1" si="278"/>
        <v>-85.673192430049269</v>
      </c>
      <c r="P611" s="310">
        <f t="shared" ca="1" si="279"/>
        <v>23</v>
      </c>
      <c r="Q611" s="304">
        <f t="shared" ca="1" si="280"/>
        <v>0</v>
      </c>
      <c r="R611" s="306">
        <f t="shared" ca="1" si="281"/>
        <v>0</v>
      </c>
      <c r="S611" s="307">
        <f t="shared" ca="1" si="282"/>
        <v>2.0843000000000003</v>
      </c>
      <c r="T611" s="304">
        <f t="shared" ca="1" si="262"/>
        <v>20.446983000000003</v>
      </c>
      <c r="U611" s="311">
        <f t="shared" ca="1" si="263"/>
        <v>0</v>
      </c>
      <c r="V611" s="306">
        <f t="shared" ca="1" si="264"/>
        <v>1.2251947744655916</v>
      </c>
      <c r="W611" s="304">
        <f t="shared" ca="1" si="265"/>
        <v>7.2055136549133314</v>
      </c>
      <c r="Y611" s="314" t="str">
        <f t="shared" ca="1" si="283"/>
        <v/>
      </c>
      <c r="Z611" s="315" t="str">
        <f t="shared" ca="1" si="284"/>
        <v/>
      </c>
      <c r="AA611" s="316" t="str">
        <f t="shared" ca="1" si="285"/>
        <v/>
      </c>
      <c r="AC611" s="310" t="e">
        <f t="shared" ca="1" si="286"/>
        <v>#N/A</v>
      </c>
      <c r="AD611" s="323" t="e">
        <f t="shared" ca="1" si="287"/>
        <v>#N/A</v>
      </c>
      <c r="AE611" s="324">
        <f t="shared" ca="1" si="266"/>
        <v>-1.5898692432223664</v>
      </c>
      <c r="AG611" s="306">
        <f t="shared" ca="1" si="288"/>
        <v>6.3250835862115196</v>
      </c>
      <c r="AH611" s="304">
        <f t="shared" ca="1" si="289"/>
        <v>-3.4569563004032227</v>
      </c>
    </row>
    <row r="612" spans="1:34" x14ac:dyDescent="0.2">
      <c r="A612" s="347">
        <f t="shared" ca="1" si="267"/>
        <v>1E-4</v>
      </c>
      <c r="B612" s="304">
        <f t="shared" ca="1" si="268"/>
        <v>12.030799999999903</v>
      </c>
      <c r="D612" s="306">
        <f t="shared" ca="1" si="269"/>
        <v>-0.26081754508965393</v>
      </c>
      <c r="E612" s="307">
        <f t="shared" ca="1" si="270"/>
        <v>-6.3628102804401303</v>
      </c>
      <c r="F612" s="304">
        <f t="shared" ca="1" si="271"/>
        <v>6.3681536144082775</v>
      </c>
      <c r="G612" s="306">
        <f t="shared" ca="1" si="272"/>
        <v>3.9091686562449857</v>
      </c>
      <c r="H612" s="307">
        <f t="shared" ca="1" si="273"/>
        <v>-51.667926945684961</v>
      </c>
      <c r="I612" s="304">
        <f t="shared" ca="1" si="274"/>
        <v>51.815598756046484</v>
      </c>
      <c r="J612" s="306">
        <f t="shared" ca="1" si="275"/>
        <v>56.288824373840264</v>
      </c>
      <c r="K612" s="307">
        <f t="shared" ca="1" si="276"/>
        <v>-1.5950360041028835</v>
      </c>
      <c r="L612" s="304">
        <f t="shared" ca="1" si="261"/>
        <v>56.311418817531305</v>
      </c>
      <c r="M612" s="306">
        <f t="shared" ca="1" si="277"/>
        <v>-1.4952807169685549</v>
      </c>
      <c r="N612" s="304">
        <f t="shared" ca="1" si="278"/>
        <v>-85.673274269593975</v>
      </c>
      <c r="P612" s="310">
        <f t="shared" ca="1" si="279"/>
        <v>23</v>
      </c>
      <c r="Q612" s="304">
        <f t="shared" ca="1" si="280"/>
        <v>0</v>
      </c>
      <c r="R612" s="306">
        <f t="shared" ca="1" si="281"/>
        <v>0</v>
      </c>
      <c r="S612" s="307">
        <f t="shared" ca="1" si="282"/>
        <v>2.0843000000000003</v>
      </c>
      <c r="T612" s="304">
        <f t="shared" ca="1" si="262"/>
        <v>20.446983000000003</v>
      </c>
      <c r="U612" s="311">
        <f t="shared" ca="1" si="263"/>
        <v>0</v>
      </c>
      <c r="V612" s="306">
        <f t="shared" ca="1" si="264"/>
        <v>1.2251954074946021</v>
      </c>
      <c r="W612" s="304">
        <f t="shared" ca="1" si="265"/>
        <v>7.2056932929055169</v>
      </c>
      <c r="Y612" s="314" t="str">
        <f t="shared" ca="1" si="283"/>
        <v/>
      </c>
      <c r="Z612" s="315" t="str">
        <f t="shared" ca="1" si="284"/>
        <v/>
      </c>
      <c r="AA612" s="316" t="str">
        <f t="shared" ca="1" si="285"/>
        <v/>
      </c>
      <c r="AC612" s="310" t="e">
        <f t="shared" ca="1" si="286"/>
        <v>#N/A</v>
      </c>
      <c r="AD612" s="323" t="e">
        <f t="shared" ca="1" si="287"/>
        <v>#N/A</v>
      </c>
      <c r="AE612" s="324">
        <f t="shared" ca="1" si="266"/>
        <v>-1.5950360041028835</v>
      </c>
      <c r="AG612" s="306">
        <f t="shared" ca="1" si="288"/>
        <v>6.3249984571752851</v>
      </c>
      <c r="AH612" s="304">
        <f t="shared" ca="1" si="289"/>
        <v>-3.4570424866445957</v>
      </c>
    </row>
    <row r="613" spans="1:34" x14ac:dyDescent="0.2">
      <c r="A613" s="347">
        <f t="shared" ca="1" si="267"/>
        <v>1E-4</v>
      </c>
      <c r="B613" s="304">
        <f t="shared" ca="1" si="268"/>
        <v>12.030899999999903</v>
      </c>
      <c r="D613" s="306">
        <f t="shared" ca="1" si="269"/>
        <v>-0.26081912345154623</v>
      </c>
      <c r="E613" s="307">
        <f t="shared" ca="1" si="270"/>
        <v>-6.3627239672803855</v>
      </c>
      <c r="F613" s="304">
        <f t="shared" ca="1" si="271"/>
        <v>6.36806743831771</v>
      </c>
      <c r="G613" s="306">
        <f t="shared" ca="1" si="272"/>
        <v>3.9091425743326407</v>
      </c>
      <c r="H613" s="307">
        <f t="shared" ca="1" si="273"/>
        <v>-51.668563218081687</v>
      </c>
      <c r="I613" s="304">
        <f t="shared" ca="1" si="274"/>
        <v>51.81623124743215</v>
      </c>
      <c r="J613" s="306">
        <f t="shared" ca="1" si="275"/>
        <v>56.288824373840264</v>
      </c>
      <c r="K613" s="307">
        <f t="shared" ca="1" si="276"/>
        <v>-1.6002028286110719</v>
      </c>
      <c r="L613" s="304">
        <f t="shared" ca="1" si="261"/>
        <v>56.311565406066705</v>
      </c>
      <c r="M613" s="306">
        <f t="shared" ca="1" si="277"/>
        <v>-1.4952821452936678</v>
      </c>
      <c r="N613" s="304">
        <f t="shared" ca="1" si="278"/>
        <v>-85.67335610659471</v>
      </c>
      <c r="P613" s="310">
        <f t="shared" ca="1" si="279"/>
        <v>23</v>
      </c>
      <c r="Q613" s="304">
        <f t="shared" ca="1" si="280"/>
        <v>0</v>
      </c>
      <c r="R613" s="306">
        <f t="shared" ca="1" si="281"/>
        <v>0</v>
      </c>
      <c r="S613" s="307">
        <f t="shared" ca="1" si="282"/>
        <v>2.0843000000000003</v>
      </c>
      <c r="T613" s="304">
        <f t="shared" ca="1" si="262"/>
        <v>20.446983000000003</v>
      </c>
      <c r="U613" s="311">
        <f t="shared" ca="1" si="263"/>
        <v>0</v>
      </c>
      <c r="V613" s="306">
        <f t="shared" ca="1" si="264"/>
        <v>1.2251960405317355</v>
      </c>
      <c r="W613" s="304">
        <f t="shared" ca="1" si="265"/>
        <v>7.2058729309069145</v>
      </c>
      <c r="Y613" s="314" t="str">
        <f t="shared" ca="1" si="283"/>
        <v/>
      </c>
      <c r="Z613" s="315" t="str">
        <f t="shared" ca="1" si="284"/>
        <v/>
      </c>
      <c r="AA613" s="316" t="str">
        <f t="shared" ca="1" si="285"/>
        <v/>
      </c>
      <c r="AC613" s="310" t="e">
        <f t="shared" ca="1" si="286"/>
        <v>#N/A</v>
      </c>
      <c r="AD613" s="323" t="e">
        <f t="shared" ca="1" si="287"/>
        <v>#N/A</v>
      </c>
      <c r="AE613" s="324">
        <f t="shared" ca="1" si="266"/>
        <v>-1.6002028286110719</v>
      </c>
      <c r="AG613" s="306">
        <f t="shared" ca="1" si="288"/>
        <v>6.3249133280817702</v>
      </c>
      <c r="AH613" s="304">
        <f t="shared" ca="1" si="289"/>
        <v>-3.4571286728904265</v>
      </c>
    </row>
    <row r="614" spans="1:34" x14ac:dyDescent="0.2">
      <c r="A614" s="347">
        <f t="shared" ca="1" si="267"/>
        <v>1E-4</v>
      </c>
      <c r="B614" s="304">
        <f t="shared" ca="1" si="268"/>
        <v>12.030999999999903</v>
      </c>
      <c r="D614" s="306">
        <f t="shared" ca="1" si="269"/>
        <v>-0.2608207017207953</v>
      </c>
      <c r="E614" s="307">
        <f t="shared" ca="1" si="270"/>
        <v>-6.3626376541162717</v>
      </c>
      <c r="F614" s="304">
        <f t="shared" ca="1" si="271"/>
        <v>6.3679812622230871</v>
      </c>
      <c r="G614" s="306">
        <f t="shared" ca="1" si="272"/>
        <v>3.9091164922624686</v>
      </c>
      <c r="H614" s="307">
        <f t="shared" ca="1" si="273"/>
        <v>-51.669199481847102</v>
      </c>
      <c r="I614" s="304">
        <f t="shared" ca="1" si="274"/>
        <v>51.816863730304895</v>
      </c>
      <c r="J614" s="306">
        <f t="shared" ca="1" si="275"/>
        <v>56.288824373840264</v>
      </c>
      <c r="K614" s="307">
        <f t="shared" ca="1" si="276"/>
        <v>-1.6053697167460683</v>
      </c>
      <c r="L614" s="304">
        <f t="shared" ca="1" si="261"/>
        <v>56.311712470111217</v>
      </c>
      <c r="M614" s="306">
        <f t="shared" ca="1" si="277"/>
        <v>-1.4952835735743824</v>
      </c>
      <c r="N614" s="304">
        <f t="shared" ca="1" si="278"/>
        <v>-85.673437941051617</v>
      </c>
      <c r="P614" s="310">
        <f t="shared" ca="1" si="279"/>
        <v>23</v>
      </c>
      <c r="Q614" s="304">
        <f t="shared" ca="1" si="280"/>
        <v>0</v>
      </c>
      <c r="R614" s="306">
        <f t="shared" ca="1" si="281"/>
        <v>0</v>
      </c>
      <c r="S614" s="307">
        <f t="shared" ca="1" si="282"/>
        <v>2.0843000000000003</v>
      </c>
      <c r="T614" s="304">
        <f t="shared" ca="1" si="262"/>
        <v>20.446983000000003</v>
      </c>
      <c r="U614" s="311">
        <f t="shared" ca="1" si="263"/>
        <v>0</v>
      </c>
      <c r="V614" s="306">
        <f t="shared" ca="1" si="264"/>
        <v>1.2251966735769915</v>
      </c>
      <c r="W614" s="304">
        <f t="shared" ca="1" si="265"/>
        <v>7.2060525689174337</v>
      </c>
      <c r="Y614" s="314" t="str">
        <f t="shared" ca="1" si="283"/>
        <v/>
      </c>
      <c r="Z614" s="315" t="str">
        <f t="shared" ca="1" si="284"/>
        <v/>
      </c>
      <c r="AA614" s="316" t="str">
        <f t="shared" ca="1" si="285"/>
        <v/>
      </c>
      <c r="AC614" s="310" t="e">
        <f t="shared" ca="1" si="286"/>
        <v>#N/A</v>
      </c>
      <c r="AD614" s="323" t="e">
        <f t="shared" ca="1" si="287"/>
        <v>#N/A</v>
      </c>
      <c r="AE614" s="324">
        <f t="shared" ca="1" si="266"/>
        <v>-1.6053697167460683</v>
      </c>
      <c r="AG614" s="306">
        <f t="shared" ca="1" si="288"/>
        <v>6.3248281989310193</v>
      </c>
      <c r="AH614" s="304">
        <f t="shared" ca="1" si="289"/>
        <v>-3.4572148591406773</v>
      </c>
    </row>
    <row r="615" spans="1:34" x14ac:dyDescent="0.2">
      <c r="A615" s="347">
        <f t="shared" ca="1" si="267"/>
        <v>1E-4</v>
      </c>
      <c r="B615" s="304">
        <f t="shared" ca="1" si="268"/>
        <v>12.031099999999903</v>
      </c>
      <c r="D615" s="306">
        <f t="shared" ca="1" si="269"/>
        <v>-0.26082227989740076</v>
      </c>
      <c r="E615" s="307">
        <f t="shared" ca="1" si="270"/>
        <v>-6.3625513409478334</v>
      </c>
      <c r="F615" s="304">
        <f t="shared" ca="1" si="271"/>
        <v>6.3678950861244523</v>
      </c>
      <c r="G615" s="306">
        <f t="shared" ca="1" si="272"/>
        <v>3.9090904100344788</v>
      </c>
      <c r="H615" s="307">
        <f t="shared" ca="1" si="273"/>
        <v>-51.669835736981199</v>
      </c>
      <c r="I615" s="304">
        <f t="shared" ca="1" si="274"/>
        <v>51.817496204664721</v>
      </c>
      <c r="J615" s="306">
        <f t="shared" ca="1" si="275"/>
        <v>56.288824373840264</v>
      </c>
      <c r="K615" s="307">
        <f t="shared" ca="1" si="276"/>
        <v>-1.6105366685070097</v>
      </c>
      <c r="L615" s="304">
        <f t="shared" ca="1" si="261"/>
        <v>56.311860009678597</v>
      </c>
      <c r="M615" s="306">
        <f t="shared" ca="1" si="277"/>
        <v>-1.4952850018107007</v>
      </c>
      <c r="N615" s="304">
        <f t="shared" ca="1" si="278"/>
        <v>-85.673519772964809</v>
      </c>
      <c r="P615" s="310">
        <f t="shared" ca="1" si="279"/>
        <v>23</v>
      </c>
      <c r="Q615" s="304">
        <f t="shared" ca="1" si="280"/>
        <v>0</v>
      </c>
      <c r="R615" s="306">
        <f t="shared" ca="1" si="281"/>
        <v>0</v>
      </c>
      <c r="S615" s="307">
        <f t="shared" ca="1" si="282"/>
        <v>2.0843000000000003</v>
      </c>
      <c r="T615" s="304">
        <f t="shared" ca="1" si="262"/>
        <v>20.446983000000003</v>
      </c>
      <c r="U615" s="311">
        <f t="shared" ca="1" si="263"/>
        <v>0</v>
      </c>
      <c r="V615" s="306">
        <f t="shared" ca="1" si="264"/>
        <v>1.2251973066303705</v>
      </c>
      <c r="W615" s="304">
        <f t="shared" ca="1" si="265"/>
        <v>7.206232206936992</v>
      </c>
      <c r="Y615" s="314" t="str">
        <f t="shared" ca="1" si="283"/>
        <v/>
      </c>
      <c r="Z615" s="315" t="str">
        <f t="shared" ca="1" si="284"/>
        <v/>
      </c>
      <c r="AA615" s="316" t="str">
        <f t="shared" ca="1" si="285"/>
        <v/>
      </c>
      <c r="AC615" s="310" t="e">
        <f t="shared" ca="1" si="286"/>
        <v>#N/A</v>
      </c>
      <c r="AD615" s="323" t="e">
        <f t="shared" ca="1" si="287"/>
        <v>#N/A</v>
      </c>
      <c r="AE615" s="324">
        <f t="shared" ca="1" si="266"/>
        <v>-1.6105366685070097</v>
      </c>
      <c r="AG615" s="306">
        <f t="shared" ca="1" si="288"/>
        <v>6.3247430697230769</v>
      </c>
      <c r="AH615" s="304">
        <f t="shared" ca="1" si="289"/>
        <v>-3.4573010453953041</v>
      </c>
    </row>
    <row r="616" spans="1:34" x14ac:dyDescent="0.2">
      <c r="A616" s="347">
        <f t="shared" ca="1" si="267"/>
        <v>1E-4</v>
      </c>
      <c r="B616" s="304">
        <f t="shared" ca="1" si="268"/>
        <v>12.031199999999902</v>
      </c>
      <c r="D616" s="306">
        <f t="shared" ca="1" si="269"/>
        <v>-0.26082385798136432</v>
      </c>
      <c r="E616" s="307">
        <f t="shared" ca="1" si="270"/>
        <v>-6.3624650277751087</v>
      </c>
      <c r="F616" s="304">
        <f t="shared" ca="1" si="271"/>
        <v>6.3678089100218447</v>
      </c>
      <c r="G616" s="306">
        <f t="shared" ca="1" si="272"/>
        <v>3.9090643276486805</v>
      </c>
      <c r="H616" s="307">
        <f t="shared" ca="1" si="273"/>
        <v>-51.670471983483978</v>
      </c>
      <c r="I616" s="304">
        <f t="shared" ca="1" si="274"/>
        <v>51.818128670511612</v>
      </c>
      <c r="J616" s="306">
        <f t="shared" ca="1" si="275"/>
        <v>56.288824373840264</v>
      </c>
      <c r="K616" s="307">
        <f t="shared" ca="1" si="276"/>
        <v>-1.615703683893033</v>
      </c>
      <c r="L616" s="304">
        <f t="shared" ca="1" si="261"/>
        <v>56.312008024782592</v>
      </c>
      <c r="M616" s="306">
        <f t="shared" ca="1" si="277"/>
        <v>-1.495286430002625</v>
      </c>
      <c r="N616" s="304">
        <f t="shared" ca="1" si="278"/>
        <v>-85.673601602334401</v>
      </c>
      <c r="P616" s="310">
        <f t="shared" ca="1" si="279"/>
        <v>23</v>
      </c>
      <c r="Q616" s="304">
        <f t="shared" ca="1" si="280"/>
        <v>0</v>
      </c>
      <c r="R616" s="306">
        <f t="shared" ca="1" si="281"/>
        <v>0</v>
      </c>
      <c r="S616" s="307">
        <f t="shared" ca="1" si="282"/>
        <v>2.0843000000000003</v>
      </c>
      <c r="T616" s="304">
        <f t="shared" ca="1" si="262"/>
        <v>20.446983000000003</v>
      </c>
      <c r="U616" s="311">
        <f t="shared" ca="1" si="263"/>
        <v>0</v>
      </c>
      <c r="V616" s="306">
        <f t="shared" ca="1" si="264"/>
        <v>1.2251979396918713</v>
      </c>
      <c r="W616" s="304">
        <f t="shared" ca="1" si="265"/>
        <v>7.206411844965495</v>
      </c>
      <c r="Y616" s="314" t="str">
        <f t="shared" ca="1" si="283"/>
        <v/>
      </c>
      <c r="Z616" s="315" t="str">
        <f t="shared" ca="1" si="284"/>
        <v/>
      </c>
      <c r="AA616" s="316" t="str">
        <f t="shared" ca="1" si="285"/>
        <v/>
      </c>
      <c r="AC616" s="310" t="e">
        <f t="shared" ca="1" si="286"/>
        <v>#N/A</v>
      </c>
      <c r="AD616" s="323" t="e">
        <f t="shared" ca="1" si="287"/>
        <v>#N/A</v>
      </c>
      <c r="AE616" s="324">
        <f t="shared" ca="1" si="266"/>
        <v>-1.615703683893033</v>
      </c>
      <c r="AG616" s="306">
        <f t="shared" ca="1" si="288"/>
        <v>6.3246579404579855</v>
      </c>
      <c r="AH616" s="304">
        <f t="shared" ca="1" si="289"/>
        <v>-3.457387231654268</v>
      </c>
    </row>
    <row r="617" spans="1:34" x14ac:dyDescent="0.2">
      <c r="A617" s="347">
        <f t="shared" ca="1" si="267"/>
        <v>1E-4</v>
      </c>
      <c r="B617" s="304">
        <f t="shared" ca="1" si="268"/>
        <v>12.031299999999902</v>
      </c>
      <c r="D617" s="306">
        <f t="shared" ca="1" si="269"/>
        <v>-0.26082543597268626</v>
      </c>
      <c r="E617" s="307">
        <f t="shared" ca="1" si="270"/>
        <v>-6.3623787145981456</v>
      </c>
      <c r="F617" s="304">
        <f t="shared" ca="1" si="271"/>
        <v>6.3677227339153122</v>
      </c>
      <c r="G617" s="306">
        <f t="shared" ca="1" si="272"/>
        <v>3.9090382451050831</v>
      </c>
      <c r="H617" s="307">
        <f t="shared" ca="1" si="273"/>
        <v>-51.671108221355439</v>
      </c>
      <c r="I617" s="304">
        <f t="shared" ca="1" si="274"/>
        <v>51.818761127845576</v>
      </c>
      <c r="J617" s="306">
        <f t="shared" ca="1" si="275"/>
        <v>56.288824373840264</v>
      </c>
      <c r="K617" s="307">
        <f t="shared" ca="1" si="276"/>
        <v>-1.620870762903275</v>
      </c>
      <c r="L617" s="304">
        <f t="shared" ca="1" si="261"/>
        <v>56.312156515436953</v>
      </c>
      <c r="M617" s="306">
        <f t="shared" ca="1" si="277"/>
        <v>-1.4952878581501572</v>
      </c>
      <c r="N617" s="304">
        <f t="shared" ca="1" si="278"/>
        <v>-85.673683429160519</v>
      </c>
      <c r="P617" s="310">
        <f t="shared" ca="1" si="279"/>
        <v>23</v>
      </c>
      <c r="Q617" s="304">
        <f t="shared" ca="1" si="280"/>
        <v>0</v>
      </c>
      <c r="R617" s="306">
        <f t="shared" ca="1" si="281"/>
        <v>0</v>
      </c>
      <c r="S617" s="307">
        <f t="shared" ca="1" si="282"/>
        <v>2.0843000000000003</v>
      </c>
      <c r="T617" s="304">
        <f t="shared" ca="1" si="262"/>
        <v>20.446983000000003</v>
      </c>
      <c r="U617" s="311">
        <f t="shared" ca="1" si="263"/>
        <v>0</v>
      </c>
      <c r="V617" s="306">
        <f t="shared" ca="1" si="264"/>
        <v>1.2251985727614951</v>
      </c>
      <c r="W617" s="304">
        <f t="shared" ca="1" si="265"/>
        <v>7.206591483002871</v>
      </c>
      <c r="Y617" s="314" t="str">
        <f t="shared" ca="1" si="283"/>
        <v/>
      </c>
      <c r="Z617" s="315" t="str">
        <f t="shared" ca="1" si="284"/>
        <v/>
      </c>
      <c r="AA617" s="316" t="str">
        <f t="shared" ca="1" si="285"/>
        <v/>
      </c>
      <c r="AC617" s="310" t="e">
        <f t="shared" ca="1" si="286"/>
        <v>#N/A</v>
      </c>
      <c r="AD617" s="323" t="e">
        <f t="shared" ca="1" si="287"/>
        <v>#N/A</v>
      </c>
      <c r="AE617" s="324">
        <f t="shared" ca="1" si="266"/>
        <v>-1.620870762903275</v>
      </c>
      <c r="AG617" s="306">
        <f t="shared" ca="1" si="288"/>
        <v>6.3245728111357966</v>
      </c>
      <c r="AH617" s="304">
        <f t="shared" ca="1" si="289"/>
        <v>-3.4574734179175235</v>
      </c>
    </row>
    <row r="618" spans="1:34" x14ac:dyDescent="0.2">
      <c r="A618" s="347">
        <f t="shared" ca="1" si="267"/>
        <v>1E-4</v>
      </c>
      <c r="B618" s="304">
        <f t="shared" ca="1" si="268"/>
        <v>12.031399999999902</v>
      </c>
      <c r="D618" s="306">
        <f t="shared" ca="1" si="269"/>
        <v>-0.26082701387136853</v>
      </c>
      <c r="E618" s="307">
        <f t="shared" ca="1" si="270"/>
        <v>-6.3622924014169762</v>
      </c>
      <c r="F618" s="304">
        <f t="shared" ca="1" si="271"/>
        <v>6.367636557804885</v>
      </c>
      <c r="G618" s="306">
        <f t="shared" ca="1" si="272"/>
        <v>3.909012162403696</v>
      </c>
      <c r="H618" s="307">
        <f t="shared" ca="1" si="273"/>
        <v>-51.671744450595583</v>
      </c>
      <c r="I618" s="304">
        <f t="shared" ca="1" si="274"/>
        <v>51.819393576666599</v>
      </c>
      <c r="J618" s="306">
        <f t="shared" ca="1" si="275"/>
        <v>56.288824373840264</v>
      </c>
      <c r="K618" s="307">
        <f t="shared" ca="1" si="276"/>
        <v>-1.6260379055368726</v>
      </c>
      <c r="L618" s="304">
        <f t="shared" ca="1" si="261"/>
        <v>56.3123054816554</v>
      </c>
      <c r="M618" s="306">
        <f t="shared" ca="1" si="277"/>
        <v>-1.4952892862532998</v>
      </c>
      <c r="N618" s="304">
        <f t="shared" ca="1" si="278"/>
        <v>-85.673765253443307</v>
      </c>
      <c r="P618" s="310">
        <f t="shared" ca="1" si="279"/>
        <v>23</v>
      </c>
      <c r="Q618" s="304">
        <f t="shared" ca="1" si="280"/>
        <v>0</v>
      </c>
      <c r="R618" s="306">
        <f t="shared" ca="1" si="281"/>
        <v>0</v>
      </c>
      <c r="S618" s="307">
        <f t="shared" ca="1" si="282"/>
        <v>2.0843000000000003</v>
      </c>
      <c r="T618" s="304">
        <f t="shared" ca="1" si="262"/>
        <v>20.446983000000003</v>
      </c>
      <c r="U618" s="311">
        <f t="shared" ca="1" si="263"/>
        <v>0</v>
      </c>
      <c r="V618" s="306">
        <f t="shared" ca="1" si="264"/>
        <v>1.2251992058392409</v>
      </c>
      <c r="W618" s="304">
        <f t="shared" ca="1" si="265"/>
        <v>7.2067711210490248</v>
      </c>
      <c r="Y618" s="314" t="str">
        <f t="shared" ca="1" si="283"/>
        <v/>
      </c>
      <c r="Z618" s="315" t="str">
        <f t="shared" ca="1" si="284"/>
        <v/>
      </c>
      <c r="AA618" s="316" t="str">
        <f t="shared" ca="1" si="285"/>
        <v/>
      </c>
      <c r="AC618" s="310" t="e">
        <f t="shared" ca="1" si="286"/>
        <v>#N/A</v>
      </c>
      <c r="AD618" s="323" t="e">
        <f t="shared" ca="1" si="287"/>
        <v>#N/A</v>
      </c>
      <c r="AE618" s="324">
        <f t="shared" ca="1" si="266"/>
        <v>-1.6260379055368726</v>
      </c>
      <c r="AG618" s="306">
        <f t="shared" ca="1" si="288"/>
        <v>6.3244876817565423</v>
      </c>
      <c r="AH618" s="304">
        <f t="shared" ca="1" si="289"/>
        <v>-3.4575596041850356</v>
      </c>
    </row>
    <row r="619" spans="1:34" x14ac:dyDescent="0.2">
      <c r="A619" s="347">
        <f t="shared" ca="1" si="267"/>
        <v>1E-4</v>
      </c>
      <c r="B619" s="304">
        <f t="shared" ca="1" si="268"/>
        <v>12.031499999999902</v>
      </c>
      <c r="D619" s="306">
        <f t="shared" ca="1" si="269"/>
        <v>-0.26082859167741079</v>
      </c>
      <c r="E619" s="307">
        <f t="shared" ca="1" si="270"/>
        <v>-6.3622060882316465</v>
      </c>
      <c r="F619" s="304">
        <f t="shared" ca="1" si="271"/>
        <v>6.3675503816906112</v>
      </c>
      <c r="G619" s="306">
        <f t="shared" ca="1" si="272"/>
        <v>3.9089860795445284</v>
      </c>
      <c r="H619" s="307">
        <f t="shared" ca="1" si="273"/>
        <v>-51.672380671204408</v>
      </c>
      <c r="I619" s="304">
        <f t="shared" ca="1" si="274"/>
        <v>51.820026016974673</v>
      </c>
      <c r="J619" s="306">
        <f t="shared" ca="1" si="275"/>
        <v>56.288824373840264</v>
      </c>
      <c r="K619" s="307">
        <f t="shared" ca="1" si="276"/>
        <v>-1.6312051117929625</v>
      </c>
      <c r="L619" s="304">
        <f t="shared" ca="1" si="261"/>
        <v>56.312454923451646</v>
      </c>
      <c r="M619" s="306">
        <f t="shared" ca="1" si="277"/>
        <v>-1.4952907143120548</v>
      </c>
      <c r="N619" s="304">
        <f t="shared" ca="1" si="278"/>
        <v>-85.673847075182863</v>
      </c>
      <c r="P619" s="310">
        <f t="shared" ca="1" si="279"/>
        <v>23</v>
      </c>
      <c r="Q619" s="304">
        <f t="shared" ca="1" si="280"/>
        <v>0</v>
      </c>
      <c r="R619" s="306">
        <f t="shared" ca="1" si="281"/>
        <v>0</v>
      </c>
      <c r="S619" s="307">
        <f t="shared" ca="1" si="282"/>
        <v>2.0843000000000003</v>
      </c>
      <c r="T619" s="304">
        <f t="shared" ca="1" si="262"/>
        <v>20.446983000000003</v>
      </c>
      <c r="U619" s="311">
        <f t="shared" ca="1" si="263"/>
        <v>0</v>
      </c>
      <c r="V619" s="306">
        <f t="shared" ca="1" si="264"/>
        <v>1.2251998389251086</v>
      </c>
      <c r="W619" s="304">
        <f t="shared" ca="1" si="265"/>
        <v>7.2069507591038695</v>
      </c>
      <c r="Y619" s="314" t="str">
        <f t="shared" ca="1" si="283"/>
        <v/>
      </c>
      <c r="Z619" s="315" t="str">
        <f t="shared" ca="1" si="284"/>
        <v/>
      </c>
      <c r="AA619" s="316" t="str">
        <f t="shared" ca="1" si="285"/>
        <v/>
      </c>
      <c r="AC619" s="310" t="e">
        <f t="shared" ca="1" si="286"/>
        <v>#N/A</v>
      </c>
      <c r="AD619" s="323" t="e">
        <f t="shared" ca="1" si="287"/>
        <v>#N/A</v>
      </c>
      <c r="AE619" s="324">
        <f t="shared" ca="1" si="266"/>
        <v>-1.6312051117929625</v>
      </c>
      <c r="AG619" s="306">
        <f t="shared" ca="1" si="288"/>
        <v>6.3244025523202811</v>
      </c>
      <c r="AH619" s="304">
        <f t="shared" ca="1" si="289"/>
        <v>-3.4576457904567595</v>
      </c>
    </row>
    <row r="620" spans="1:34" x14ac:dyDescent="0.2">
      <c r="A620" s="347">
        <f t="shared" ca="1" si="267"/>
        <v>1E-4</v>
      </c>
      <c r="B620" s="304">
        <f t="shared" ca="1" si="268"/>
        <v>12.031599999999901</v>
      </c>
      <c r="D620" s="306">
        <f t="shared" ca="1" si="269"/>
        <v>-0.26083016939081433</v>
      </c>
      <c r="E620" s="307">
        <f t="shared" ca="1" si="270"/>
        <v>-6.3621197750421992</v>
      </c>
      <c r="F620" s="304">
        <f t="shared" ca="1" si="271"/>
        <v>6.3674642055725323</v>
      </c>
      <c r="G620" s="306">
        <f t="shared" ca="1" si="272"/>
        <v>3.9089599965275892</v>
      </c>
      <c r="H620" s="307">
        <f t="shared" ca="1" si="273"/>
        <v>-51.673016883181916</v>
      </c>
      <c r="I620" s="304">
        <f t="shared" ca="1" si="274"/>
        <v>51.820658448769791</v>
      </c>
      <c r="J620" s="306">
        <f t="shared" ca="1" si="275"/>
        <v>56.288824373840264</v>
      </c>
      <c r="K620" s="307">
        <f t="shared" ca="1" si="276"/>
        <v>-1.6363723816706819</v>
      </c>
      <c r="L620" s="304">
        <f t="shared" ca="1" si="261"/>
        <v>56.312604840839398</v>
      </c>
      <c r="M620" s="306">
        <f t="shared" ca="1" si="277"/>
        <v>-1.4952921423264243</v>
      </c>
      <c r="N620" s="304">
        <f t="shared" ca="1" si="278"/>
        <v>-85.673928894379316</v>
      </c>
      <c r="P620" s="310">
        <f t="shared" ca="1" si="279"/>
        <v>23</v>
      </c>
      <c r="Q620" s="304">
        <f t="shared" ca="1" si="280"/>
        <v>0</v>
      </c>
      <c r="R620" s="306">
        <f t="shared" ca="1" si="281"/>
        <v>0</v>
      </c>
      <c r="S620" s="307">
        <f t="shared" ca="1" si="282"/>
        <v>2.0843000000000003</v>
      </c>
      <c r="T620" s="304">
        <f t="shared" ca="1" si="262"/>
        <v>20.446983000000003</v>
      </c>
      <c r="U620" s="311">
        <f t="shared" ca="1" si="263"/>
        <v>0</v>
      </c>
      <c r="V620" s="306">
        <f t="shared" ca="1" si="264"/>
        <v>1.2252004720190988</v>
      </c>
      <c r="W620" s="304">
        <f t="shared" ca="1" si="265"/>
        <v>7.2071303971673242</v>
      </c>
      <c r="Y620" s="314" t="str">
        <f t="shared" ca="1" si="283"/>
        <v/>
      </c>
      <c r="Z620" s="315" t="str">
        <f t="shared" ca="1" si="284"/>
        <v/>
      </c>
      <c r="AA620" s="316" t="str">
        <f t="shared" ca="1" si="285"/>
        <v/>
      </c>
      <c r="AC620" s="310" t="e">
        <f t="shared" ca="1" si="286"/>
        <v>#N/A</v>
      </c>
      <c r="AD620" s="323" t="e">
        <f t="shared" ca="1" si="287"/>
        <v>#N/A</v>
      </c>
      <c r="AE620" s="324">
        <f t="shared" ca="1" si="266"/>
        <v>-1.6363723816706819</v>
      </c>
      <c r="AG620" s="306">
        <f t="shared" ca="1" si="288"/>
        <v>6.3243174228270504</v>
      </c>
      <c r="AH620" s="304">
        <f t="shared" ca="1" si="289"/>
        <v>-3.4577319767326529</v>
      </c>
    </row>
    <row r="621" spans="1:34" x14ac:dyDescent="0.2">
      <c r="A621" s="347">
        <f t="shared" ca="1" si="267"/>
        <v>1E-4</v>
      </c>
      <c r="B621" s="304">
        <f t="shared" ca="1" si="268"/>
        <v>12.031699999999901</v>
      </c>
      <c r="D621" s="306">
        <f t="shared" ca="1" si="269"/>
        <v>-0.26083174701158096</v>
      </c>
      <c r="E621" s="307">
        <f t="shared" ca="1" si="270"/>
        <v>-6.3620334618486734</v>
      </c>
      <c r="F621" s="304">
        <f t="shared" ca="1" si="271"/>
        <v>6.3673780294506876</v>
      </c>
      <c r="G621" s="306">
        <f t="shared" ca="1" si="272"/>
        <v>3.9089339133528882</v>
      </c>
      <c r="H621" s="307">
        <f t="shared" ca="1" si="273"/>
        <v>-51.673653086528098</v>
      </c>
      <c r="I621" s="304">
        <f t="shared" ca="1" si="274"/>
        <v>51.821290872051954</v>
      </c>
      <c r="J621" s="306">
        <f t="shared" ca="1" si="275"/>
        <v>56.288824373840264</v>
      </c>
      <c r="K621" s="307">
        <f t="shared" ca="1" si="276"/>
        <v>-1.6415397151691673</v>
      </c>
      <c r="L621" s="304">
        <f t="shared" ca="1" si="261"/>
        <v>56.312755233832341</v>
      </c>
      <c r="M621" s="306">
        <f t="shared" ca="1" si="277"/>
        <v>-1.4952935702964105</v>
      </c>
      <c r="N621" s="304">
        <f t="shared" ca="1" si="278"/>
        <v>-85.674010711032807</v>
      </c>
      <c r="P621" s="310">
        <f t="shared" ca="1" si="279"/>
        <v>23</v>
      </c>
      <c r="Q621" s="304">
        <f t="shared" ca="1" si="280"/>
        <v>0</v>
      </c>
      <c r="R621" s="306">
        <f t="shared" ca="1" si="281"/>
        <v>0</v>
      </c>
      <c r="S621" s="307">
        <f t="shared" ca="1" si="282"/>
        <v>2.0843000000000003</v>
      </c>
      <c r="T621" s="304">
        <f t="shared" ca="1" si="262"/>
        <v>20.446983000000003</v>
      </c>
      <c r="U621" s="311">
        <f t="shared" ca="1" si="263"/>
        <v>0</v>
      </c>
      <c r="V621" s="306">
        <f t="shared" ca="1" si="264"/>
        <v>1.2252011051212104</v>
      </c>
      <c r="W621" s="304">
        <f t="shared" ca="1" si="265"/>
        <v>7.2073100352392983</v>
      </c>
      <c r="Y621" s="314" t="str">
        <f t="shared" ca="1" si="283"/>
        <v/>
      </c>
      <c r="Z621" s="315" t="str">
        <f t="shared" ca="1" si="284"/>
        <v/>
      </c>
      <c r="AA621" s="316" t="str">
        <f t="shared" ca="1" si="285"/>
        <v/>
      </c>
      <c r="AC621" s="310" t="e">
        <f t="shared" ca="1" si="286"/>
        <v>#N/A</v>
      </c>
      <c r="AD621" s="323" t="e">
        <f t="shared" ca="1" si="287"/>
        <v>#N/A</v>
      </c>
      <c r="AE621" s="324">
        <f t="shared" ca="1" si="266"/>
        <v>-1.6415397151691673</v>
      </c>
      <c r="AG621" s="306">
        <f t="shared" ca="1" si="288"/>
        <v>6.3242322932768946</v>
      </c>
      <c r="AH621" s="304">
        <f t="shared" ca="1" si="289"/>
        <v>-3.4578181630126772</v>
      </c>
    </row>
    <row r="622" spans="1:34" x14ac:dyDescent="0.2">
      <c r="A622" s="347">
        <f t="shared" ca="1" si="267"/>
        <v>1E-4</v>
      </c>
      <c r="B622" s="304">
        <f t="shared" ca="1" si="268"/>
        <v>12.031799999999901</v>
      </c>
      <c r="D622" s="306">
        <f t="shared" ca="1" si="269"/>
        <v>-0.26083332453971025</v>
      </c>
      <c r="E622" s="307">
        <f t="shared" ca="1" si="270"/>
        <v>-6.3619471486511099</v>
      </c>
      <c r="F622" s="304">
        <f t="shared" ca="1" si="271"/>
        <v>6.3672918533251188</v>
      </c>
      <c r="G622" s="306">
        <f t="shared" ca="1" si="272"/>
        <v>3.9089078300204343</v>
      </c>
      <c r="H622" s="307">
        <f t="shared" ca="1" si="273"/>
        <v>-51.674289281242963</v>
      </c>
      <c r="I622" s="304">
        <f t="shared" ca="1" si="274"/>
        <v>51.821923286821153</v>
      </c>
      <c r="J622" s="306">
        <f t="shared" ca="1" si="275"/>
        <v>56.288824373840264</v>
      </c>
      <c r="K622" s="307">
        <f t="shared" ca="1" si="276"/>
        <v>-1.6467071122875558</v>
      </c>
      <c r="L622" s="304">
        <f t="shared" ca="1" si="261"/>
        <v>56.312906102444153</v>
      </c>
      <c r="M622" s="306">
        <f t="shared" ca="1" si="277"/>
        <v>-1.4952949982220154</v>
      </c>
      <c r="N622" s="304">
        <f t="shared" ca="1" si="278"/>
        <v>-85.674092525143422</v>
      </c>
      <c r="P622" s="310">
        <f t="shared" ca="1" si="279"/>
        <v>23</v>
      </c>
      <c r="Q622" s="304">
        <f t="shared" ca="1" si="280"/>
        <v>0</v>
      </c>
      <c r="R622" s="306">
        <f t="shared" ca="1" si="281"/>
        <v>0</v>
      </c>
      <c r="S622" s="307">
        <f t="shared" ca="1" si="282"/>
        <v>2.0843000000000003</v>
      </c>
      <c r="T622" s="304">
        <f t="shared" ca="1" si="262"/>
        <v>20.446983000000003</v>
      </c>
      <c r="U622" s="311">
        <f t="shared" ca="1" si="263"/>
        <v>0</v>
      </c>
      <c r="V622" s="306">
        <f t="shared" ca="1" si="264"/>
        <v>1.2252017382314442</v>
      </c>
      <c r="W622" s="304">
        <f t="shared" ca="1" si="265"/>
        <v>7.2074896733197127</v>
      </c>
      <c r="Y622" s="314" t="str">
        <f t="shared" ca="1" si="283"/>
        <v/>
      </c>
      <c r="Z622" s="315" t="str">
        <f t="shared" ca="1" si="284"/>
        <v/>
      </c>
      <c r="AA622" s="316" t="str">
        <f t="shared" ca="1" si="285"/>
        <v/>
      </c>
      <c r="AC622" s="310" t="e">
        <f t="shared" ca="1" si="286"/>
        <v>#N/A</v>
      </c>
      <c r="AD622" s="323" t="e">
        <f t="shared" ca="1" si="287"/>
        <v>#N/A</v>
      </c>
      <c r="AE622" s="324">
        <f t="shared" ca="1" si="266"/>
        <v>-1.6467071122875558</v>
      </c>
      <c r="AG622" s="306">
        <f t="shared" ca="1" si="288"/>
        <v>6.3241471636698607</v>
      </c>
      <c r="AH622" s="304">
        <f t="shared" ca="1" si="289"/>
        <v>-3.4579043492967889</v>
      </c>
    </row>
    <row r="623" spans="1:34" x14ac:dyDescent="0.2">
      <c r="A623" s="347">
        <f t="shared" ca="1" si="267"/>
        <v>1E-4</v>
      </c>
      <c r="B623" s="304">
        <f t="shared" ca="1" si="268"/>
        <v>12.031899999999901</v>
      </c>
      <c r="D623" s="306">
        <f t="shared" ca="1" si="269"/>
        <v>-0.26083490197520476</v>
      </c>
      <c r="E623" s="307">
        <f t="shared" ca="1" si="270"/>
        <v>-6.3618608354495496</v>
      </c>
      <c r="F623" s="304">
        <f t="shared" ca="1" si="271"/>
        <v>6.3672056771958649</v>
      </c>
      <c r="G623" s="306">
        <f t="shared" ca="1" si="272"/>
        <v>3.9088817465302368</v>
      </c>
      <c r="H623" s="307">
        <f t="shared" ca="1" si="273"/>
        <v>-51.67492546732651</v>
      </c>
      <c r="I623" s="304">
        <f t="shared" ca="1" si="274"/>
        <v>51.822555693077383</v>
      </c>
      <c r="J623" s="306">
        <f t="shared" ca="1" si="275"/>
        <v>56.288824373840264</v>
      </c>
      <c r="K623" s="307">
        <f t="shared" ca="1" si="276"/>
        <v>-1.6518745730249844</v>
      </c>
      <c r="L623" s="304">
        <f t="shared" ca="1" si="261"/>
        <v>56.313057446688511</v>
      </c>
      <c r="M623" s="306">
        <f t="shared" ca="1" si="277"/>
        <v>-1.4952964261032415</v>
      </c>
      <c r="N623" s="304">
        <f t="shared" ca="1" si="278"/>
        <v>-85.674174336711317</v>
      </c>
      <c r="P623" s="310">
        <f t="shared" ca="1" si="279"/>
        <v>23</v>
      </c>
      <c r="Q623" s="304">
        <f t="shared" ca="1" si="280"/>
        <v>0</v>
      </c>
      <c r="R623" s="306">
        <f t="shared" ca="1" si="281"/>
        <v>0</v>
      </c>
      <c r="S623" s="307">
        <f t="shared" ca="1" si="282"/>
        <v>2.0843000000000003</v>
      </c>
      <c r="T623" s="304">
        <f t="shared" ca="1" si="262"/>
        <v>20.446983000000003</v>
      </c>
      <c r="U623" s="311">
        <f t="shared" ca="1" si="263"/>
        <v>0</v>
      </c>
      <c r="V623" s="306">
        <f t="shared" ca="1" si="264"/>
        <v>1.2252023713497999</v>
      </c>
      <c r="W623" s="304">
        <f t="shared" ca="1" si="265"/>
        <v>7.2076693114084769</v>
      </c>
      <c r="Y623" s="314" t="str">
        <f t="shared" ca="1" si="283"/>
        <v/>
      </c>
      <c r="Z623" s="315" t="str">
        <f t="shared" ca="1" si="284"/>
        <v/>
      </c>
      <c r="AA623" s="316" t="str">
        <f t="shared" ca="1" si="285"/>
        <v/>
      </c>
      <c r="AC623" s="310" t="e">
        <f t="shared" ca="1" si="286"/>
        <v>#N/A</v>
      </c>
      <c r="AD623" s="323" t="e">
        <f t="shared" ca="1" si="287"/>
        <v>#N/A</v>
      </c>
      <c r="AE623" s="324">
        <f t="shared" ca="1" si="266"/>
        <v>-1.6518745730249844</v>
      </c>
      <c r="AG623" s="306">
        <f t="shared" ca="1" si="288"/>
        <v>6.3240620340059914</v>
      </c>
      <c r="AH623" s="304">
        <f t="shared" ca="1" si="289"/>
        <v>-3.4579905355849503</v>
      </c>
    </row>
    <row r="624" spans="1:34" x14ac:dyDescent="0.2">
      <c r="A624" s="347">
        <f t="shared" ca="1" si="267"/>
        <v>1E-4</v>
      </c>
      <c r="B624" s="304">
        <f t="shared" ca="1" si="268"/>
        <v>12.031999999999901</v>
      </c>
      <c r="D624" s="306">
        <f t="shared" ca="1" si="269"/>
        <v>-0.26083647931806336</v>
      </c>
      <c r="E624" s="307">
        <f t="shared" ca="1" si="270"/>
        <v>-6.3617745222440369</v>
      </c>
      <c r="F624" s="304">
        <f t="shared" ca="1" si="271"/>
        <v>6.3671195010629713</v>
      </c>
      <c r="G624" s="306">
        <f t="shared" ca="1" si="272"/>
        <v>3.908855662882305</v>
      </c>
      <c r="H624" s="307">
        <f t="shared" ca="1" si="273"/>
        <v>-51.675561644778732</v>
      </c>
      <c r="I624" s="304">
        <f t="shared" ca="1" si="274"/>
        <v>51.823188090820636</v>
      </c>
      <c r="J624" s="306">
        <f t="shared" ca="1" si="275"/>
        <v>56.288824373840264</v>
      </c>
      <c r="K624" s="307">
        <f t="shared" ca="1" si="276"/>
        <v>-1.6570420973805897</v>
      </c>
      <c r="L624" s="304">
        <f t="shared" ca="1" si="261"/>
        <v>56.313209266579058</v>
      </c>
      <c r="M624" s="306">
        <f t="shared" ca="1" si="277"/>
        <v>-1.4952978539400905</v>
      </c>
      <c r="N624" s="304">
        <f t="shared" ca="1" si="278"/>
        <v>-85.674256145736607</v>
      </c>
      <c r="P624" s="310">
        <f t="shared" ca="1" si="279"/>
        <v>23</v>
      </c>
      <c r="Q624" s="304">
        <f t="shared" ca="1" si="280"/>
        <v>0</v>
      </c>
      <c r="R624" s="306">
        <f t="shared" ca="1" si="281"/>
        <v>0</v>
      </c>
      <c r="S624" s="307">
        <f t="shared" ca="1" si="282"/>
        <v>2.0843000000000003</v>
      </c>
      <c r="T624" s="304">
        <f t="shared" ca="1" si="262"/>
        <v>20.446983000000003</v>
      </c>
      <c r="U624" s="311">
        <f t="shared" ca="1" si="263"/>
        <v>0</v>
      </c>
      <c r="V624" s="306">
        <f t="shared" ca="1" si="264"/>
        <v>1.2252030044762774</v>
      </c>
      <c r="W624" s="304">
        <f t="shared" ca="1" si="265"/>
        <v>7.2078489495055065</v>
      </c>
      <c r="Y624" s="314" t="str">
        <f t="shared" ca="1" si="283"/>
        <v/>
      </c>
      <c r="Z624" s="315" t="str">
        <f t="shared" ca="1" si="284"/>
        <v/>
      </c>
      <c r="AA624" s="316" t="str">
        <f t="shared" ca="1" si="285"/>
        <v/>
      </c>
      <c r="AC624" s="310" t="e">
        <f t="shared" ca="1" si="286"/>
        <v>#N/A</v>
      </c>
      <c r="AD624" s="323" t="e">
        <f t="shared" ca="1" si="287"/>
        <v>#N/A</v>
      </c>
      <c r="AE624" s="324">
        <f t="shared" ca="1" si="266"/>
        <v>-1.6570420973805897</v>
      </c>
      <c r="AG624" s="306">
        <f t="shared" ca="1" si="288"/>
        <v>6.3239769042853302</v>
      </c>
      <c r="AH624" s="304">
        <f t="shared" ca="1" si="289"/>
        <v>-3.4580767218771173</v>
      </c>
    </row>
    <row r="625" spans="1:34" x14ac:dyDescent="0.2">
      <c r="A625" s="347">
        <f t="shared" ca="1" si="267"/>
        <v>1E-4</v>
      </c>
      <c r="B625" s="304">
        <f t="shared" ca="1" si="268"/>
        <v>12.0320999999999</v>
      </c>
      <c r="D625" s="306">
        <f t="shared" ca="1" si="269"/>
        <v>-0.26083805656828923</v>
      </c>
      <c r="E625" s="307">
        <f t="shared" ca="1" si="270"/>
        <v>-6.3616882090346083</v>
      </c>
      <c r="F625" s="304">
        <f t="shared" ca="1" si="271"/>
        <v>6.3670333249264743</v>
      </c>
      <c r="G625" s="306">
        <f t="shared" ca="1" si="272"/>
        <v>3.9088295790766483</v>
      </c>
      <c r="H625" s="307">
        <f t="shared" ca="1" si="273"/>
        <v>-51.676197813599636</v>
      </c>
      <c r="I625" s="304">
        <f t="shared" ca="1" si="274"/>
        <v>51.823820480050912</v>
      </c>
      <c r="J625" s="306">
        <f t="shared" ca="1" si="275"/>
        <v>56.288824373840264</v>
      </c>
      <c r="K625" s="307">
        <f t="shared" ca="1" si="276"/>
        <v>-1.6622096853535087</v>
      </c>
      <c r="L625" s="304">
        <f t="shared" ca="1" si="261"/>
        <v>56.313361562129437</v>
      </c>
      <c r="M625" s="306">
        <f t="shared" ca="1" si="277"/>
        <v>-1.495299281732565</v>
      </c>
      <c r="N625" s="304">
        <f t="shared" ca="1" si="278"/>
        <v>-85.674337952219403</v>
      </c>
      <c r="P625" s="310">
        <f t="shared" ca="1" si="279"/>
        <v>23</v>
      </c>
      <c r="Q625" s="304">
        <f t="shared" ca="1" si="280"/>
        <v>0</v>
      </c>
      <c r="R625" s="306">
        <f t="shared" ca="1" si="281"/>
        <v>0</v>
      </c>
      <c r="S625" s="307">
        <f t="shared" ca="1" si="282"/>
        <v>2.0843000000000003</v>
      </c>
      <c r="T625" s="304">
        <f t="shared" ca="1" si="262"/>
        <v>20.446983000000003</v>
      </c>
      <c r="U625" s="311">
        <f t="shared" ca="1" si="263"/>
        <v>0</v>
      </c>
      <c r="V625" s="306">
        <f t="shared" ca="1" si="264"/>
        <v>1.2252036376108764</v>
      </c>
      <c r="W625" s="304">
        <f t="shared" ca="1" si="265"/>
        <v>7.2080285876107189</v>
      </c>
      <c r="Y625" s="314" t="str">
        <f t="shared" ca="1" si="283"/>
        <v/>
      </c>
      <c r="Z625" s="315" t="str">
        <f t="shared" ca="1" si="284"/>
        <v/>
      </c>
      <c r="AA625" s="316" t="str">
        <f t="shared" ca="1" si="285"/>
        <v/>
      </c>
      <c r="AC625" s="310" t="e">
        <f t="shared" ca="1" si="286"/>
        <v>#N/A</v>
      </c>
      <c r="AD625" s="323" t="e">
        <f t="shared" ca="1" si="287"/>
        <v>#N/A</v>
      </c>
      <c r="AE625" s="324">
        <f t="shared" ca="1" si="266"/>
        <v>-1.6622096853535087</v>
      </c>
      <c r="AG625" s="306">
        <f t="shared" ca="1" si="288"/>
        <v>6.3238917745079259</v>
      </c>
      <c r="AH625" s="304">
        <f t="shared" ca="1" si="289"/>
        <v>-3.4581629081732501</v>
      </c>
    </row>
    <row r="626" spans="1:34" x14ac:dyDescent="0.2">
      <c r="A626" s="347">
        <f t="shared" ca="1" si="267"/>
        <v>1E-4</v>
      </c>
      <c r="B626" s="304">
        <f t="shared" ca="1" si="268"/>
        <v>12.0321999999999</v>
      </c>
      <c r="D626" s="306">
        <f t="shared" ca="1" si="269"/>
        <v>-0.26083963372588159</v>
      </c>
      <c r="E626" s="307">
        <f t="shared" ca="1" si="270"/>
        <v>-6.3616018958213063</v>
      </c>
      <c r="F626" s="304">
        <f t="shared" ca="1" si="271"/>
        <v>6.3669471487864175</v>
      </c>
      <c r="G626" s="306">
        <f t="shared" ca="1" si="272"/>
        <v>3.9088034951132755</v>
      </c>
      <c r="H626" s="307">
        <f t="shared" ca="1" si="273"/>
        <v>-51.676833973789215</v>
      </c>
      <c r="I626" s="304">
        <f t="shared" ca="1" si="274"/>
        <v>51.824452860768197</v>
      </c>
      <c r="J626" s="306">
        <f t="shared" ca="1" si="275"/>
        <v>56.288824373840264</v>
      </c>
      <c r="K626" s="307">
        <f t="shared" ca="1" si="276"/>
        <v>-1.6673773369428782</v>
      </c>
      <c r="L626" s="304">
        <f t="shared" ca="1" si="261"/>
        <v>56.313514333353275</v>
      </c>
      <c r="M626" s="306">
        <f t="shared" ca="1" si="277"/>
        <v>-1.495300709480667</v>
      </c>
      <c r="N626" s="304">
        <f t="shared" ca="1" si="278"/>
        <v>-85.674419756159864</v>
      </c>
      <c r="P626" s="310">
        <f t="shared" ca="1" si="279"/>
        <v>23</v>
      </c>
      <c r="Q626" s="304">
        <f t="shared" ca="1" si="280"/>
        <v>0</v>
      </c>
      <c r="R626" s="306">
        <f t="shared" ca="1" si="281"/>
        <v>0</v>
      </c>
      <c r="S626" s="307">
        <f t="shared" ca="1" si="282"/>
        <v>2.0843000000000003</v>
      </c>
      <c r="T626" s="304">
        <f t="shared" ca="1" si="262"/>
        <v>20.446983000000003</v>
      </c>
      <c r="U626" s="311">
        <f t="shared" ca="1" si="263"/>
        <v>0</v>
      </c>
      <c r="V626" s="306">
        <f t="shared" ca="1" si="264"/>
        <v>1.2252042707535971</v>
      </c>
      <c r="W626" s="304">
        <f t="shared" ca="1" si="265"/>
        <v>7.2082082257240225</v>
      </c>
      <c r="Y626" s="314" t="str">
        <f t="shared" ca="1" si="283"/>
        <v/>
      </c>
      <c r="Z626" s="315" t="str">
        <f t="shared" ca="1" si="284"/>
        <v/>
      </c>
      <c r="AA626" s="316" t="str">
        <f t="shared" ca="1" si="285"/>
        <v/>
      </c>
      <c r="AC626" s="310" t="e">
        <f t="shared" ca="1" si="286"/>
        <v>#N/A</v>
      </c>
      <c r="AD626" s="323" t="e">
        <f t="shared" ca="1" si="287"/>
        <v>#N/A</v>
      </c>
      <c r="AE626" s="324">
        <f t="shared" ca="1" si="266"/>
        <v>-1.6673773369428782</v>
      </c>
      <c r="AG626" s="306">
        <f t="shared" ca="1" si="288"/>
        <v>6.3238066446738177</v>
      </c>
      <c r="AH626" s="304">
        <f t="shared" ca="1" si="289"/>
        <v>-3.4582490944733091</v>
      </c>
    </row>
    <row r="627" spans="1:34" x14ac:dyDescent="0.2">
      <c r="A627" s="347">
        <f t="shared" ca="1" si="267"/>
        <v>1E-4</v>
      </c>
      <c r="B627" s="304">
        <f t="shared" ca="1" si="268"/>
        <v>12.0322999999999</v>
      </c>
      <c r="D627" s="306">
        <f t="shared" ca="1" si="269"/>
        <v>-0.26084121079084166</v>
      </c>
      <c r="E627" s="307">
        <f t="shared" ca="1" si="270"/>
        <v>-6.3615155826041754</v>
      </c>
      <c r="F627" s="304">
        <f t="shared" ca="1" si="271"/>
        <v>6.3668609726428427</v>
      </c>
      <c r="G627" s="306">
        <f t="shared" ca="1" si="272"/>
        <v>3.9087774109921964</v>
      </c>
      <c r="H627" s="307">
        <f t="shared" ca="1" si="273"/>
        <v>-51.677470125347476</v>
      </c>
      <c r="I627" s="304">
        <f t="shared" ca="1" si="274"/>
        <v>51.825085232972491</v>
      </c>
      <c r="J627" s="306">
        <f t="shared" ca="1" si="275"/>
        <v>56.288824373840264</v>
      </c>
      <c r="K627" s="307">
        <f t="shared" ca="1" si="276"/>
        <v>-1.6725450521478349</v>
      </c>
      <c r="L627" s="304">
        <f t="shared" ca="1" si="261"/>
        <v>56.313667580264195</v>
      </c>
      <c r="M627" s="306">
        <f t="shared" ca="1" si="277"/>
        <v>-1.4953021371843984</v>
      </c>
      <c r="N627" s="304">
        <f t="shared" ca="1" si="278"/>
        <v>-85.674501557558074</v>
      </c>
      <c r="P627" s="310">
        <f t="shared" ca="1" si="279"/>
        <v>23</v>
      </c>
      <c r="Q627" s="304">
        <f t="shared" ca="1" si="280"/>
        <v>0</v>
      </c>
      <c r="R627" s="306">
        <f t="shared" ca="1" si="281"/>
        <v>0</v>
      </c>
      <c r="S627" s="307">
        <f t="shared" ca="1" si="282"/>
        <v>2.0843000000000003</v>
      </c>
      <c r="T627" s="304">
        <f t="shared" ca="1" si="262"/>
        <v>20.446983000000003</v>
      </c>
      <c r="U627" s="311">
        <f t="shared" ca="1" si="263"/>
        <v>0</v>
      </c>
      <c r="V627" s="306">
        <f t="shared" ca="1" si="264"/>
        <v>1.2252049039044388</v>
      </c>
      <c r="W627" s="304">
        <f t="shared" ca="1" si="265"/>
        <v>7.2083878638453323</v>
      </c>
      <c r="Y627" s="314" t="str">
        <f t="shared" ca="1" si="283"/>
        <v/>
      </c>
      <c r="Z627" s="315" t="str">
        <f t="shared" ca="1" si="284"/>
        <v/>
      </c>
      <c r="AA627" s="316" t="str">
        <f t="shared" ca="1" si="285"/>
        <v/>
      </c>
      <c r="AC627" s="310" t="e">
        <f t="shared" ca="1" si="286"/>
        <v>#N/A</v>
      </c>
      <c r="AD627" s="323" t="e">
        <f t="shared" ca="1" si="287"/>
        <v>#N/A</v>
      </c>
      <c r="AE627" s="324">
        <f t="shared" ca="1" si="266"/>
        <v>-1.6725450521478349</v>
      </c>
      <c r="AG627" s="306">
        <f t="shared" ca="1" si="288"/>
        <v>6.3237215147830543</v>
      </c>
      <c r="AH627" s="304">
        <f t="shared" ca="1" si="289"/>
        <v>-3.4583352807772498</v>
      </c>
    </row>
    <row r="628" spans="1:34" x14ac:dyDescent="0.2">
      <c r="A628" s="347">
        <f t="shared" ca="1" si="267"/>
        <v>1E-4</v>
      </c>
      <c r="B628" s="304">
        <f t="shared" ca="1" si="268"/>
        <v>12.0323999999999</v>
      </c>
      <c r="D628" s="306">
        <f t="shared" ca="1" si="269"/>
        <v>-0.26084278776317082</v>
      </c>
      <c r="E628" s="307">
        <f t="shared" ca="1" si="270"/>
        <v>-6.3614292693832546</v>
      </c>
      <c r="F628" s="304">
        <f t="shared" ca="1" si="271"/>
        <v>6.3667747964957915</v>
      </c>
      <c r="G628" s="306">
        <f t="shared" ca="1" si="272"/>
        <v>3.90875132671342</v>
      </c>
      <c r="H628" s="307">
        <f t="shared" ca="1" si="273"/>
        <v>-51.678106268274412</v>
      </c>
      <c r="I628" s="304">
        <f t="shared" ca="1" si="274"/>
        <v>51.825717596663793</v>
      </c>
      <c r="J628" s="306">
        <f t="shared" ca="1" si="275"/>
        <v>56.288824373840264</v>
      </c>
      <c r="K628" s="307">
        <f t="shared" ca="1" si="276"/>
        <v>-1.677712830967516</v>
      </c>
      <c r="L628" s="304">
        <f t="shared" ca="1" si="261"/>
        <v>56.313821302875787</v>
      </c>
      <c r="M628" s="306">
        <f t="shared" ca="1" si="277"/>
        <v>-1.4953035648437618</v>
      </c>
      <c r="N628" s="304">
        <f t="shared" ca="1" si="278"/>
        <v>-85.674583356414175</v>
      </c>
      <c r="P628" s="310">
        <f t="shared" ca="1" si="279"/>
        <v>23</v>
      </c>
      <c r="Q628" s="304">
        <f t="shared" ca="1" si="280"/>
        <v>0</v>
      </c>
      <c r="R628" s="306">
        <f t="shared" ca="1" si="281"/>
        <v>0</v>
      </c>
      <c r="S628" s="307">
        <f t="shared" ca="1" si="282"/>
        <v>2.0843000000000003</v>
      </c>
      <c r="T628" s="304">
        <f t="shared" ca="1" si="262"/>
        <v>20.446983000000003</v>
      </c>
      <c r="U628" s="311">
        <f t="shared" ca="1" si="263"/>
        <v>0</v>
      </c>
      <c r="V628" s="306">
        <f t="shared" ca="1" si="264"/>
        <v>1.2252055370634019</v>
      </c>
      <c r="W628" s="304">
        <f t="shared" ca="1" si="265"/>
        <v>7.208567501974569</v>
      </c>
      <c r="Y628" s="314" t="str">
        <f t="shared" ca="1" si="283"/>
        <v/>
      </c>
      <c r="Z628" s="315" t="str">
        <f t="shared" ca="1" si="284"/>
        <v/>
      </c>
      <c r="AA628" s="316" t="str">
        <f t="shared" ca="1" si="285"/>
        <v/>
      </c>
      <c r="AC628" s="310" t="e">
        <f t="shared" ca="1" si="286"/>
        <v>#N/A</v>
      </c>
      <c r="AD628" s="323" t="e">
        <f t="shared" ca="1" si="287"/>
        <v>#N/A</v>
      </c>
      <c r="AE628" s="324">
        <f t="shared" ca="1" si="266"/>
        <v>-1.677712830967516</v>
      </c>
      <c r="AG628" s="306">
        <f t="shared" ca="1" si="288"/>
        <v>6.3236363848356802</v>
      </c>
      <c r="AH628" s="304">
        <f t="shared" ca="1" si="289"/>
        <v>-3.4584214670850315</v>
      </c>
    </row>
    <row r="629" spans="1:34" x14ac:dyDescent="0.2">
      <c r="A629" s="347">
        <f t="shared" ca="1" si="267"/>
        <v>1E-4</v>
      </c>
      <c r="B629" s="304">
        <f t="shared" ca="1" si="268"/>
        <v>12.032499999999899</v>
      </c>
      <c r="D629" s="306">
        <f t="shared" ca="1" si="269"/>
        <v>-0.26084436464286936</v>
      </c>
      <c r="E629" s="307">
        <f t="shared" ca="1" si="270"/>
        <v>-6.3613429561585821</v>
      </c>
      <c r="F629" s="304">
        <f t="shared" ca="1" si="271"/>
        <v>6.3666886203453013</v>
      </c>
      <c r="G629" s="306">
        <f t="shared" ca="1" si="272"/>
        <v>3.9087252422769558</v>
      </c>
      <c r="H629" s="307">
        <f t="shared" ca="1" si="273"/>
        <v>-51.67874240257003</v>
      </c>
      <c r="I629" s="304">
        <f t="shared" ca="1" si="274"/>
        <v>51.82634995184209</v>
      </c>
      <c r="J629" s="306">
        <f t="shared" ca="1" si="275"/>
        <v>56.288824373840264</v>
      </c>
      <c r="K629" s="307">
        <f t="shared" ca="1" si="276"/>
        <v>-1.6828806734010582</v>
      </c>
      <c r="L629" s="304">
        <f t="shared" ca="1" si="261"/>
        <v>56.313975501201661</v>
      </c>
      <c r="M629" s="306">
        <f t="shared" ca="1" si="277"/>
        <v>-1.4953049924587589</v>
      </c>
      <c r="N629" s="304">
        <f t="shared" ca="1" si="278"/>
        <v>-85.674665152728281</v>
      </c>
      <c r="P629" s="310">
        <f t="shared" ca="1" si="279"/>
        <v>23</v>
      </c>
      <c r="Q629" s="304">
        <f t="shared" ca="1" si="280"/>
        <v>0</v>
      </c>
      <c r="R629" s="306">
        <f t="shared" ca="1" si="281"/>
        <v>0</v>
      </c>
      <c r="S629" s="307">
        <f t="shared" ca="1" si="282"/>
        <v>2.0843000000000003</v>
      </c>
      <c r="T629" s="304">
        <f t="shared" ca="1" si="262"/>
        <v>20.446983000000003</v>
      </c>
      <c r="U629" s="311">
        <f t="shared" ca="1" si="263"/>
        <v>0</v>
      </c>
      <c r="V629" s="306">
        <f t="shared" ca="1" si="264"/>
        <v>1.2252061702304864</v>
      </c>
      <c r="W629" s="304">
        <f t="shared" ca="1" si="265"/>
        <v>7.208747140111643</v>
      </c>
      <c r="Y629" s="314" t="str">
        <f t="shared" ca="1" si="283"/>
        <v/>
      </c>
      <c r="Z629" s="315" t="str">
        <f t="shared" ca="1" si="284"/>
        <v/>
      </c>
      <c r="AA629" s="316" t="str">
        <f t="shared" ca="1" si="285"/>
        <v/>
      </c>
      <c r="AC629" s="310" t="e">
        <f t="shared" ca="1" si="286"/>
        <v>#N/A</v>
      </c>
      <c r="AD629" s="323" t="e">
        <f t="shared" ca="1" si="287"/>
        <v>#N/A</v>
      </c>
      <c r="AE629" s="324">
        <f t="shared" ca="1" si="266"/>
        <v>-1.6828806734010582</v>
      </c>
      <c r="AG629" s="306">
        <f t="shared" ca="1" si="288"/>
        <v>6.3235512548317372</v>
      </c>
      <c r="AH629" s="304">
        <f t="shared" ca="1" si="289"/>
        <v>-3.4585076533966168</v>
      </c>
    </row>
    <row r="630" spans="1:34" x14ac:dyDescent="0.2">
      <c r="A630" s="347">
        <f t="shared" ca="1" si="267"/>
        <v>1E-4</v>
      </c>
      <c r="B630" s="304">
        <f t="shared" ca="1" si="268"/>
        <v>12.032599999999899</v>
      </c>
      <c r="D630" s="306">
        <f t="shared" ca="1" si="269"/>
        <v>-0.26084594142993933</v>
      </c>
      <c r="E630" s="307">
        <f t="shared" ca="1" si="270"/>
        <v>-6.3612566429302024</v>
      </c>
      <c r="F630" s="304">
        <f t="shared" ca="1" si="271"/>
        <v>6.3666024441914146</v>
      </c>
      <c r="G630" s="306">
        <f t="shared" ca="1" si="272"/>
        <v>3.908699157682813</v>
      </c>
      <c r="H630" s="307">
        <f t="shared" ca="1" si="273"/>
        <v>-51.679378528234324</v>
      </c>
      <c r="I630" s="304">
        <f t="shared" ca="1" si="274"/>
        <v>51.826982298507382</v>
      </c>
      <c r="J630" s="306">
        <f t="shared" ca="1" si="275"/>
        <v>56.288824373840264</v>
      </c>
      <c r="K630" s="307">
        <f t="shared" ca="1" si="276"/>
        <v>-1.6880485794475983</v>
      </c>
      <c r="L630" s="304">
        <f t="shared" ca="1" si="261"/>
        <v>56.314130175255386</v>
      </c>
      <c r="M630" s="306">
        <f t="shared" ca="1" si="277"/>
        <v>-1.4953064200293922</v>
      </c>
      <c r="N630" s="304">
        <f t="shared" ca="1" si="278"/>
        <v>-85.67474694650052</v>
      </c>
      <c r="P630" s="310">
        <f t="shared" ca="1" si="279"/>
        <v>23</v>
      </c>
      <c r="Q630" s="304">
        <f t="shared" ca="1" si="280"/>
        <v>0</v>
      </c>
      <c r="R630" s="306">
        <f t="shared" ca="1" si="281"/>
        <v>0</v>
      </c>
      <c r="S630" s="307">
        <f t="shared" ca="1" si="282"/>
        <v>2.0843000000000003</v>
      </c>
      <c r="T630" s="304">
        <f t="shared" ca="1" si="262"/>
        <v>20.446983000000003</v>
      </c>
      <c r="U630" s="311">
        <f t="shared" ca="1" si="263"/>
        <v>0</v>
      </c>
      <c r="V630" s="306">
        <f t="shared" ca="1" si="264"/>
        <v>1.2252068034056922</v>
      </c>
      <c r="W630" s="304">
        <f t="shared" ca="1" si="265"/>
        <v>7.208926778256469</v>
      </c>
      <c r="Y630" s="314" t="str">
        <f t="shared" ca="1" si="283"/>
        <v/>
      </c>
      <c r="Z630" s="315" t="str">
        <f t="shared" ca="1" si="284"/>
        <v/>
      </c>
      <c r="AA630" s="316" t="str">
        <f t="shared" ca="1" si="285"/>
        <v/>
      </c>
      <c r="AC630" s="310" t="e">
        <f t="shared" ca="1" si="286"/>
        <v>#N/A</v>
      </c>
      <c r="AD630" s="323" t="e">
        <f t="shared" ca="1" si="287"/>
        <v>#N/A</v>
      </c>
      <c r="AE630" s="324">
        <f t="shared" ca="1" si="266"/>
        <v>-1.6880485794475983</v>
      </c>
      <c r="AG630" s="306">
        <f t="shared" ca="1" si="288"/>
        <v>6.3234661247712696</v>
      </c>
      <c r="AH630" s="304">
        <f t="shared" ca="1" si="289"/>
        <v>-3.4585938397119618</v>
      </c>
    </row>
    <row r="631" spans="1:34" x14ac:dyDescent="0.2">
      <c r="A631" s="347">
        <f t="shared" ca="1" si="267"/>
        <v>1E-4</v>
      </c>
      <c r="B631" s="304">
        <f t="shared" ca="1" si="268"/>
        <v>12.032699999999899</v>
      </c>
      <c r="D631" s="306">
        <f t="shared" ca="1" si="269"/>
        <v>-0.26084751812438062</v>
      </c>
      <c r="E631" s="307">
        <f t="shared" ca="1" si="270"/>
        <v>-6.3611703296981554</v>
      </c>
      <c r="F631" s="304">
        <f t="shared" ca="1" si="271"/>
        <v>6.3665162680341743</v>
      </c>
      <c r="G631" s="306">
        <f t="shared" ca="1" si="272"/>
        <v>3.9086730729310006</v>
      </c>
      <c r="H631" s="307">
        <f t="shared" ca="1" si="273"/>
        <v>-51.680014645267292</v>
      </c>
      <c r="I631" s="304">
        <f t="shared" ca="1" si="274"/>
        <v>51.827614636659654</v>
      </c>
      <c r="J631" s="306">
        <f t="shared" ca="1" si="275"/>
        <v>56.288824373840264</v>
      </c>
      <c r="K631" s="307">
        <f t="shared" ca="1" si="276"/>
        <v>-1.6932165491062734</v>
      </c>
      <c r="L631" s="304">
        <f t="shared" ca="1" si="261"/>
        <v>56.314285325050527</v>
      </c>
      <c r="M631" s="306">
        <f t="shared" ca="1" si="277"/>
        <v>-1.4953078475556638</v>
      </c>
      <c r="N631" s="304">
        <f t="shared" ca="1" si="278"/>
        <v>-85.674828737731033</v>
      </c>
      <c r="P631" s="310">
        <f t="shared" ca="1" si="279"/>
        <v>23</v>
      </c>
      <c r="Q631" s="304">
        <f t="shared" ca="1" si="280"/>
        <v>0</v>
      </c>
      <c r="R631" s="306">
        <f t="shared" ca="1" si="281"/>
        <v>0</v>
      </c>
      <c r="S631" s="307">
        <f t="shared" ca="1" si="282"/>
        <v>2.0843000000000003</v>
      </c>
      <c r="T631" s="304">
        <f t="shared" ca="1" si="262"/>
        <v>20.446983000000003</v>
      </c>
      <c r="U631" s="311">
        <f t="shared" ca="1" si="263"/>
        <v>0</v>
      </c>
      <c r="V631" s="306">
        <f t="shared" ca="1" si="264"/>
        <v>1.2252074365890187</v>
      </c>
      <c r="W631" s="304">
        <f t="shared" ca="1" si="265"/>
        <v>7.2091064164089582</v>
      </c>
      <c r="Y631" s="314" t="str">
        <f t="shared" ca="1" si="283"/>
        <v/>
      </c>
      <c r="Z631" s="315" t="str">
        <f t="shared" ca="1" si="284"/>
        <v/>
      </c>
      <c r="AA631" s="316" t="str">
        <f t="shared" ca="1" si="285"/>
        <v/>
      </c>
      <c r="AC631" s="310" t="e">
        <f t="shared" ca="1" si="286"/>
        <v>#N/A</v>
      </c>
      <c r="AD631" s="323" t="e">
        <f t="shared" ca="1" si="287"/>
        <v>#N/A</v>
      </c>
      <c r="AE631" s="324">
        <f t="shared" ca="1" si="266"/>
        <v>-1.6932165491062734</v>
      </c>
      <c r="AG631" s="306">
        <f t="shared" ca="1" si="288"/>
        <v>6.3233809946543245</v>
      </c>
      <c r="AH631" s="304">
        <f t="shared" ca="1" si="289"/>
        <v>-3.4586800260310264</v>
      </c>
    </row>
    <row r="632" spans="1:34" x14ac:dyDescent="0.2">
      <c r="A632" s="347">
        <f t="shared" ca="1" si="267"/>
        <v>1E-4</v>
      </c>
      <c r="B632" s="304">
        <f t="shared" ca="1" si="268"/>
        <v>12.032799999999899</v>
      </c>
      <c r="D632" s="306">
        <f t="shared" ca="1" si="269"/>
        <v>-0.26084909472619378</v>
      </c>
      <c r="E632" s="307">
        <f t="shared" ca="1" si="270"/>
        <v>-6.3610840164624847</v>
      </c>
      <c r="F632" s="304">
        <f t="shared" ca="1" si="271"/>
        <v>6.3664300918736219</v>
      </c>
      <c r="G632" s="306">
        <f t="shared" ca="1" si="272"/>
        <v>3.9086469880215282</v>
      </c>
      <c r="H632" s="307">
        <f t="shared" ca="1" si="273"/>
        <v>-51.680650753668935</v>
      </c>
      <c r="I632" s="304">
        <f t="shared" ca="1" si="274"/>
        <v>51.828246966298899</v>
      </c>
      <c r="J632" s="306">
        <f t="shared" ca="1" si="275"/>
        <v>56.288824373840264</v>
      </c>
      <c r="K632" s="307">
        <f t="shared" ca="1" si="276"/>
        <v>-1.6983845823762203</v>
      </c>
      <c r="L632" s="304">
        <f t="shared" ca="1" si="261"/>
        <v>56.314440950600648</v>
      </c>
      <c r="M632" s="306">
        <f t="shared" ca="1" si="277"/>
        <v>-1.4953092750375756</v>
      </c>
      <c r="N632" s="304">
        <f t="shared" ca="1" si="278"/>
        <v>-85.674910526419907</v>
      </c>
      <c r="P632" s="310">
        <f t="shared" ca="1" si="279"/>
        <v>23</v>
      </c>
      <c r="Q632" s="304">
        <f t="shared" ca="1" si="280"/>
        <v>0</v>
      </c>
      <c r="R632" s="306">
        <f t="shared" ca="1" si="281"/>
        <v>0</v>
      </c>
      <c r="S632" s="307">
        <f t="shared" ca="1" si="282"/>
        <v>2.0843000000000003</v>
      </c>
      <c r="T632" s="304">
        <f t="shared" ca="1" si="262"/>
        <v>20.446983000000003</v>
      </c>
      <c r="U632" s="311">
        <f t="shared" ca="1" si="263"/>
        <v>0</v>
      </c>
      <c r="V632" s="306">
        <f t="shared" ca="1" si="264"/>
        <v>1.2252080697804666</v>
      </c>
      <c r="W632" s="304">
        <f t="shared" ca="1" si="265"/>
        <v>7.2092860545690272</v>
      </c>
      <c r="Y632" s="314" t="str">
        <f t="shared" ca="1" si="283"/>
        <v/>
      </c>
      <c r="Z632" s="315" t="str">
        <f t="shared" ca="1" si="284"/>
        <v/>
      </c>
      <c r="AA632" s="316" t="str">
        <f t="shared" ca="1" si="285"/>
        <v/>
      </c>
      <c r="AC632" s="310" t="e">
        <f t="shared" ca="1" si="286"/>
        <v>#N/A</v>
      </c>
      <c r="AD632" s="323" t="e">
        <f t="shared" ca="1" si="287"/>
        <v>#N/A</v>
      </c>
      <c r="AE632" s="324">
        <f t="shared" ca="1" si="266"/>
        <v>-1.6983845823762203</v>
      </c>
      <c r="AG632" s="306">
        <f t="shared" ca="1" si="288"/>
        <v>6.3232958644809472</v>
      </c>
      <c r="AH632" s="304">
        <f t="shared" ca="1" si="289"/>
        <v>-3.4587662123537672</v>
      </c>
    </row>
    <row r="633" spans="1:34" x14ac:dyDescent="0.2">
      <c r="A633" s="347">
        <f t="shared" ca="1" si="267"/>
        <v>1E-4</v>
      </c>
      <c r="B633" s="304">
        <f t="shared" ca="1" si="268"/>
        <v>12.032899999999898</v>
      </c>
      <c r="D633" s="306">
        <f t="shared" ca="1" si="269"/>
        <v>-0.26085067123538119</v>
      </c>
      <c r="E633" s="307">
        <f t="shared" ca="1" si="270"/>
        <v>-6.3609977032232283</v>
      </c>
      <c r="F633" s="304">
        <f t="shared" ca="1" si="271"/>
        <v>6.3663439157097956</v>
      </c>
      <c r="G633" s="306">
        <f t="shared" ca="1" si="272"/>
        <v>3.9086209029544046</v>
      </c>
      <c r="H633" s="307">
        <f t="shared" ca="1" si="273"/>
        <v>-51.681286853439261</v>
      </c>
      <c r="I633" s="304">
        <f t="shared" ca="1" si="274"/>
        <v>51.828879287425131</v>
      </c>
      <c r="J633" s="306">
        <f t="shared" ca="1" si="275"/>
        <v>56.288824373840264</v>
      </c>
      <c r="K633" s="307">
        <f t="shared" ca="1" si="276"/>
        <v>-1.7035526792565756</v>
      </c>
      <c r="L633" s="304">
        <f t="shared" ca="1" si="261"/>
        <v>56.314597051919286</v>
      </c>
      <c r="M633" s="306">
        <f t="shared" ca="1" si="277"/>
        <v>-1.49531070247513</v>
      </c>
      <c r="N633" s="304">
        <f t="shared" ca="1" si="278"/>
        <v>-85.674992312567284</v>
      </c>
      <c r="P633" s="310">
        <f t="shared" ca="1" si="279"/>
        <v>23</v>
      </c>
      <c r="Q633" s="304">
        <f t="shared" ca="1" si="280"/>
        <v>0</v>
      </c>
      <c r="R633" s="306">
        <f t="shared" ca="1" si="281"/>
        <v>0</v>
      </c>
      <c r="S633" s="307">
        <f t="shared" ca="1" si="282"/>
        <v>2.0843000000000003</v>
      </c>
      <c r="T633" s="304">
        <f t="shared" ca="1" si="262"/>
        <v>20.446983000000003</v>
      </c>
      <c r="U633" s="311">
        <f t="shared" ca="1" si="263"/>
        <v>0</v>
      </c>
      <c r="V633" s="306">
        <f t="shared" ca="1" si="264"/>
        <v>1.2252087029800351</v>
      </c>
      <c r="W633" s="304">
        <f t="shared" ca="1" si="265"/>
        <v>7.2094656927365959</v>
      </c>
      <c r="Y633" s="314" t="str">
        <f t="shared" ca="1" si="283"/>
        <v/>
      </c>
      <c r="Z633" s="315" t="str">
        <f t="shared" ca="1" si="284"/>
        <v/>
      </c>
      <c r="AA633" s="316" t="str">
        <f t="shared" ca="1" si="285"/>
        <v/>
      </c>
      <c r="AC633" s="310" t="e">
        <f t="shared" ca="1" si="286"/>
        <v>#N/A</v>
      </c>
      <c r="AD633" s="323" t="e">
        <f t="shared" ca="1" si="287"/>
        <v>#N/A</v>
      </c>
      <c r="AE633" s="324">
        <f t="shared" ca="1" si="266"/>
        <v>-1.7035526792565756</v>
      </c>
      <c r="AG633" s="306">
        <f t="shared" ca="1" si="288"/>
        <v>6.3232107342511803</v>
      </c>
      <c r="AH633" s="304">
        <f t="shared" ca="1" si="289"/>
        <v>-3.4588523986801452</v>
      </c>
    </row>
    <row r="634" spans="1:34" x14ac:dyDescent="0.2">
      <c r="A634" s="347">
        <f t="shared" ca="1" si="267"/>
        <v>1E-4</v>
      </c>
      <c r="B634" s="304">
        <f t="shared" ca="1" si="268"/>
        <v>12.032999999999898</v>
      </c>
      <c r="D634" s="306">
        <f t="shared" ca="1" si="269"/>
        <v>-0.26085224765194293</v>
      </c>
      <c r="E634" s="307">
        <f t="shared" ca="1" si="270"/>
        <v>-6.3609113899804282</v>
      </c>
      <c r="F634" s="304">
        <f t="shared" ca="1" si="271"/>
        <v>6.3662577395427382</v>
      </c>
      <c r="G634" s="306">
        <f t="shared" ca="1" si="272"/>
        <v>3.9085948177296395</v>
      </c>
      <c r="H634" s="307">
        <f t="shared" ca="1" si="273"/>
        <v>-51.681922944578261</v>
      </c>
      <c r="I634" s="304">
        <f t="shared" ca="1" si="274"/>
        <v>51.829511600038337</v>
      </c>
      <c r="J634" s="306">
        <f t="shared" ca="1" si="275"/>
        <v>56.288824373840264</v>
      </c>
      <c r="K634" s="307">
        <f t="shared" ca="1" si="276"/>
        <v>-1.7087208397464766</v>
      </c>
      <c r="L634" s="304">
        <f t="shared" ca="1" si="261"/>
        <v>56.314753629019968</v>
      </c>
      <c r="M634" s="306">
        <f t="shared" ca="1" si="277"/>
        <v>-1.495312129868329</v>
      </c>
      <c r="N634" s="304">
        <f t="shared" ca="1" si="278"/>
        <v>-85.67507409617329</v>
      </c>
      <c r="P634" s="310">
        <f t="shared" ca="1" si="279"/>
        <v>23</v>
      </c>
      <c r="Q634" s="304">
        <f t="shared" ca="1" si="280"/>
        <v>0</v>
      </c>
      <c r="R634" s="306">
        <f t="shared" ca="1" si="281"/>
        <v>0</v>
      </c>
      <c r="S634" s="307">
        <f t="shared" ca="1" si="282"/>
        <v>2.0843000000000003</v>
      </c>
      <c r="T634" s="304">
        <f t="shared" ca="1" si="262"/>
        <v>20.446983000000003</v>
      </c>
      <c r="U634" s="311">
        <f t="shared" ca="1" si="263"/>
        <v>0</v>
      </c>
      <c r="V634" s="306">
        <f t="shared" ca="1" si="264"/>
        <v>1.2252093361877243</v>
      </c>
      <c r="W634" s="304">
        <f t="shared" ca="1" si="265"/>
        <v>7.209645330911572</v>
      </c>
      <c r="Y634" s="314" t="str">
        <f t="shared" ca="1" si="283"/>
        <v/>
      </c>
      <c r="Z634" s="315" t="str">
        <f t="shared" ca="1" si="284"/>
        <v/>
      </c>
      <c r="AA634" s="316" t="str">
        <f t="shared" ca="1" si="285"/>
        <v/>
      </c>
      <c r="AC634" s="310" t="e">
        <f t="shared" ca="1" si="286"/>
        <v>#N/A</v>
      </c>
      <c r="AD634" s="323" t="e">
        <f t="shared" ca="1" si="287"/>
        <v>#N/A</v>
      </c>
      <c r="AE634" s="324">
        <f t="shared" ca="1" si="266"/>
        <v>-1.7087208397464766</v>
      </c>
      <c r="AG634" s="306">
        <f t="shared" ca="1" si="288"/>
        <v>6.3231256039650665</v>
      </c>
      <c r="AH634" s="304">
        <f t="shared" ca="1" si="289"/>
        <v>-3.4589385850101211</v>
      </c>
    </row>
    <row r="635" spans="1:34" x14ac:dyDescent="0.2">
      <c r="A635" s="347">
        <f t="shared" ca="1" si="267"/>
        <v>1E-4</v>
      </c>
      <c r="B635" s="304">
        <f t="shared" ca="1" si="268"/>
        <v>12.033099999999898</v>
      </c>
      <c r="D635" s="306">
        <f t="shared" ca="1" si="269"/>
        <v>-0.26085382397588019</v>
      </c>
      <c r="E635" s="307">
        <f t="shared" ca="1" si="270"/>
        <v>-6.360825076734125</v>
      </c>
      <c r="F635" s="304">
        <f t="shared" ca="1" si="271"/>
        <v>6.3661715633724896</v>
      </c>
      <c r="G635" s="306">
        <f t="shared" ca="1" si="272"/>
        <v>3.9085687323472418</v>
      </c>
      <c r="H635" s="307">
        <f t="shared" ca="1" si="273"/>
        <v>-51.682559027085937</v>
      </c>
      <c r="I635" s="304">
        <f t="shared" ca="1" si="274"/>
        <v>51.830143904138488</v>
      </c>
      <c r="J635" s="306">
        <f t="shared" ca="1" si="275"/>
        <v>56.288824373840264</v>
      </c>
      <c r="K635" s="307">
        <f t="shared" ca="1" si="276"/>
        <v>-1.7138890638450599</v>
      </c>
      <c r="L635" s="304">
        <f t="shared" ca="1" si="261"/>
        <v>56.314910681916224</v>
      </c>
      <c r="M635" s="306">
        <f t="shared" ca="1" si="277"/>
        <v>-1.4953135572171747</v>
      </c>
      <c r="N635" s="304">
        <f t="shared" ca="1" si="278"/>
        <v>-85.675155877238055</v>
      </c>
      <c r="P635" s="310">
        <f t="shared" ca="1" si="279"/>
        <v>23</v>
      </c>
      <c r="Q635" s="304">
        <f t="shared" ca="1" si="280"/>
        <v>0</v>
      </c>
      <c r="R635" s="306">
        <f t="shared" ca="1" si="281"/>
        <v>0</v>
      </c>
      <c r="S635" s="307">
        <f t="shared" ca="1" si="282"/>
        <v>2.0843000000000003</v>
      </c>
      <c r="T635" s="304">
        <f t="shared" ca="1" si="262"/>
        <v>20.446983000000003</v>
      </c>
      <c r="U635" s="311">
        <f t="shared" ca="1" si="263"/>
        <v>0</v>
      </c>
      <c r="V635" s="306">
        <f t="shared" ca="1" si="264"/>
        <v>1.2252099694035343</v>
      </c>
      <c r="W635" s="304">
        <f t="shared" ca="1" si="265"/>
        <v>7.2098249690938676</v>
      </c>
      <c r="Y635" s="314" t="str">
        <f t="shared" ca="1" si="283"/>
        <v/>
      </c>
      <c r="Z635" s="315" t="str">
        <f t="shared" ca="1" si="284"/>
        <v/>
      </c>
      <c r="AA635" s="316" t="str">
        <f t="shared" ca="1" si="285"/>
        <v/>
      </c>
      <c r="AC635" s="310" t="e">
        <f t="shared" ca="1" si="286"/>
        <v>#N/A</v>
      </c>
      <c r="AD635" s="323" t="e">
        <f t="shared" ca="1" si="287"/>
        <v>#N/A</v>
      </c>
      <c r="AE635" s="324">
        <f t="shared" ca="1" si="266"/>
        <v>-1.7138890638450599</v>
      </c>
      <c r="AG635" s="306">
        <f t="shared" ca="1" si="288"/>
        <v>6.323040473622652</v>
      </c>
      <c r="AH635" s="304">
        <f t="shared" ca="1" si="289"/>
        <v>-3.4590247713436506</v>
      </c>
    </row>
    <row r="636" spans="1:34" x14ac:dyDescent="0.2">
      <c r="A636" s="347">
        <f t="shared" ca="1" si="267"/>
        <v>1E-4</v>
      </c>
      <c r="B636" s="304">
        <f t="shared" ca="1" si="268"/>
        <v>12.033199999999898</v>
      </c>
      <c r="D636" s="306">
        <f t="shared" ca="1" si="269"/>
        <v>-0.26085540020719356</v>
      </c>
      <c r="E636" s="307">
        <f t="shared" ca="1" si="270"/>
        <v>-6.3607387634843633</v>
      </c>
      <c r="F636" s="304">
        <f t="shared" ca="1" si="271"/>
        <v>6.3660853871990941</v>
      </c>
      <c r="G636" s="306">
        <f t="shared" ca="1" si="272"/>
        <v>3.9085426468072209</v>
      </c>
      <c r="H636" s="307">
        <f t="shared" ca="1" si="273"/>
        <v>-51.683195100962287</v>
      </c>
      <c r="I636" s="304">
        <f t="shared" ca="1" si="274"/>
        <v>51.830776199725612</v>
      </c>
      <c r="J636" s="306">
        <f t="shared" ca="1" si="275"/>
        <v>56.288824373840264</v>
      </c>
      <c r="K636" s="307">
        <f t="shared" ca="1" si="276"/>
        <v>-1.7190573515514622</v>
      </c>
      <c r="L636" s="304">
        <f t="shared" ca="1" si="261"/>
        <v>56.315068210621547</v>
      </c>
      <c r="M636" s="306">
        <f t="shared" ca="1" si="277"/>
        <v>-1.4953149845216696</v>
      </c>
      <c r="N636" s="304">
        <f t="shared" ca="1" si="278"/>
        <v>-85.675237655761691</v>
      </c>
      <c r="P636" s="310">
        <f t="shared" ca="1" si="279"/>
        <v>23</v>
      </c>
      <c r="Q636" s="304">
        <f t="shared" ca="1" si="280"/>
        <v>0</v>
      </c>
      <c r="R636" s="306">
        <f t="shared" ca="1" si="281"/>
        <v>0</v>
      </c>
      <c r="S636" s="307">
        <f t="shared" ca="1" si="282"/>
        <v>2.0843000000000003</v>
      </c>
      <c r="T636" s="304">
        <f t="shared" ca="1" si="262"/>
        <v>20.446983000000003</v>
      </c>
      <c r="U636" s="311">
        <f t="shared" ca="1" si="263"/>
        <v>0</v>
      </c>
      <c r="V636" s="306">
        <f t="shared" ca="1" si="264"/>
        <v>1.2252106026274647</v>
      </c>
      <c r="W636" s="304">
        <f t="shared" ca="1" si="265"/>
        <v>7.2100046072834045</v>
      </c>
      <c r="Y636" s="314" t="str">
        <f t="shared" ca="1" si="283"/>
        <v/>
      </c>
      <c r="Z636" s="315" t="str">
        <f t="shared" ca="1" si="284"/>
        <v/>
      </c>
      <c r="AA636" s="316" t="str">
        <f t="shared" ca="1" si="285"/>
        <v/>
      </c>
      <c r="AC636" s="310" t="e">
        <f t="shared" ca="1" si="286"/>
        <v>#N/A</v>
      </c>
      <c r="AD636" s="323" t="e">
        <f t="shared" ca="1" si="287"/>
        <v>#N/A</v>
      </c>
      <c r="AE636" s="324">
        <f t="shared" ca="1" si="266"/>
        <v>-1.7190573515514622</v>
      </c>
      <c r="AG636" s="306">
        <f t="shared" ca="1" si="288"/>
        <v>6.3229553432239838</v>
      </c>
      <c r="AH636" s="304">
        <f t="shared" ca="1" si="289"/>
        <v>-3.459110957680692</v>
      </c>
    </row>
    <row r="637" spans="1:34" x14ac:dyDescent="0.2">
      <c r="A637" s="347">
        <f t="shared" ca="1" si="267"/>
        <v>1E-4</v>
      </c>
      <c r="B637" s="304">
        <f t="shared" ca="1" si="268"/>
        <v>12.033299999999898</v>
      </c>
      <c r="D637" s="306">
        <f t="shared" ca="1" si="269"/>
        <v>-0.26085697634588406</v>
      </c>
      <c r="E637" s="307">
        <f t="shared" ca="1" si="270"/>
        <v>-6.3606524502311803</v>
      </c>
      <c r="F637" s="304">
        <f t="shared" ca="1" si="271"/>
        <v>6.36599921102259</v>
      </c>
      <c r="G637" s="306">
        <f t="shared" ca="1" si="272"/>
        <v>3.9085165611095865</v>
      </c>
      <c r="H637" s="307">
        <f t="shared" ca="1" si="273"/>
        <v>-51.683831166207312</v>
      </c>
      <c r="I637" s="304">
        <f t="shared" ca="1" si="274"/>
        <v>51.831408486799681</v>
      </c>
      <c r="J637" s="306">
        <f t="shared" ca="1" si="275"/>
        <v>56.288824373840264</v>
      </c>
      <c r="K637" s="307">
        <f t="shared" ca="1" si="276"/>
        <v>-1.7242257028648207</v>
      </c>
      <c r="L637" s="304">
        <f t="shared" ca="1" si="261"/>
        <v>56.31522621514943</v>
      </c>
      <c r="M637" s="306">
        <f t="shared" ca="1" si="277"/>
        <v>-1.4953164117818154</v>
      </c>
      <c r="N637" s="304">
        <f t="shared" ca="1" si="278"/>
        <v>-85.675319431744313</v>
      </c>
      <c r="P637" s="310">
        <f t="shared" ca="1" si="279"/>
        <v>23</v>
      </c>
      <c r="Q637" s="304">
        <f t="shared" ca="1" si="280"/>
        <v>0</v>
      </c>
      <c r="R637" s="306">
        <f t="shared" ca="1" si="281"/>
        <v>0</v>
      </c>
      <c r="S637" s="307">
        <f t="shared" ca="1" si="282"/>
        <v>2.0843000000000003</v>
      </c>
      <c r="T637" s="304">
        <f t="shared" ca="1" si="262"/>
        <v>20.446983000000003</v>
      </c>
      <c r="U637" s="311">
        <f t="shared" ca="1" si="263"/>
        <v>0</v>
      </c>
      <c r="V637" s="306">
        <f t="shared" ca="1" si="264"/>
        <v>1.2252112358595162</v>
      </c>
      <c r="W637" s="304">
        <f t="shared" ca="1" si="265"/>
        <v>7.2101842454800957</v>
      </c>
      <c r="Y637" s="314" t="str">
        <f t="shared" ca="1" si="283"/>
        <v/>
      </c>
      <c r="Z637" s="315" t="str">
        <f t="shared" ca="1" si="284"/>
        <v/>
      </c>
      <c r="AA637" s="316" t="str">
        <f t="shared" ca="1" si="285"/>
        <v/>
      </c>
      <c r="AC637" s="310" t="e">
        <f t="shared" ca="1" si="286"/>
        <v>#N/A</v>
      </c>
      <c r="AD637" s="323" t="e">
        <f t="shared" ca="1" si="287"/>
        <v>#N/A</v>
      </c>
      <c r="AE637" s="324">
        <f t="shared" ca="1" si="266"/>
        <v>-1.7242257028648207</v>
      </c>
      <c r="AG637" s="306">
        <f t="shared" ca="1" si="288"/>
        <v>6.3228702127691028</v>
      </c>
      <c r="AH637" s="304">
        <f t="shared" ca="1" si="289"/>
        <v>-3.4591971440212079</v>
      </c>
    </row>
    <row r="638" spans="1:34" x14ac:dyDescent="0.2">
      <c r="A638" s="347">
        <f t="shared" ca="1" si="267"/>
        <v>1E-4</v>
      </c>
      <c r="B638" s="304">
        <f t="shared" ca="1" si="268"/>
        <v>12.033399999999897</v>
      </c>
      <c r="D638" s="306">
        <f t="shared" ca="1" si="269"/>
        <v>-0.26085855239195299</v>
      </c>
      <c r="E638" s="307">
        <f t="shared" ca="1" si="270"/>
        <v>-6.3605661369746169</v>
      </c>
      <c r="F638" s="304">
        <f t="shared" ca="1" si="271"/>
        <v>6.3659130348430164</v>
      </c>
      <c r="G638" s="306">
        <f t="shared" ca="1" si="272"/>
        <v>3.9084904752543475</v>
      </c>
      <c r="H638" s="307">
        <f t="shared" ca="1" si="273"/>
        <v>-51.684467222821013</v>
      </c>
      <c r="I638" s="304">
        <f t="shared" ca="1" si="274"/>
        <v>51.832040765360695</v>
      </c>
      <c r="J638" s="306">
        <f t="shared" ca="1" si="275"/>
        <v>56.288824373840264</v>
      </c>
      <c r="K638" s="307">
        <f t="shared" ca="1" si="276"/>
        <v>-1.7293941177842722</v>
      </c>
      <c r="L638" s="304">
        <f t="shared" ca="1" si="261"/>
        <v>56.315384695513366</v>
      </c>
      <c r="M638" s="306">
        <f t="shared" ca="1" si="277"/>
        <v>-1.4953178389976147</v>
      </c>
      <c r="N638" s="304">
        <f t="shared" ca="1" si="278"/>
        <v>-85.675401205186063</v>
      </c>
      <c r="P638" s="310">
        <f t="shared" ca="1" si="279"/>
        <v>23</v>
      </c>
      <c r="Q638" s="304">
        <f t="shared" ca="1" si="280"/>
        <v>0</v>
      </c>
      <c r="R638" s="306">
        <f t="shared" ca="1" si="281"/>
        <v>0</v>
      </c>
      <c r="S638" s="307">
        <f t="shared" ca="1" si="282"/>
        <v>2.0843000000000003</v>
      </c>
      <c r="T638" s="304">
        <f t="shared" ca="1" si="262"/>
        <v>20.446983000000003</v>
      </c>
      <c r="U638" s="311">
        <f t="shared" ca="1" si="263"/>
        <v>0</v>
      </c>
      <c r="V638" s="306">
        <f t="shared" ca="1" si="264"/>
        <v>1.2252118690996876</v>
      </c>
      <c r="W638" s="304">
        <f t="shared" ca="1" si="265"/>
        <v>7.2103638836838488</v>
      </c>
      <c r="Y638" s="314" t="str">
        <f t="shared" ca="1" si="283"/>
        <v/>
      </c>
      <c r="Z638" s="315" t="str">
        <f t="shared" ca="1" si="284"/>
        <v/>
      </c>
      <c r="AA638" s="316" t="str">
        <f t="shared" ca="1" si="285"/>
        <v/>
      </c>
      <c r="AC638" s="310" t="e">
        <f t="shared" ca="1" si="286"/>
        <v>#N/A</v>
      </c>
      <c r="AD638" s="323" t="e">
        <f t="shared" ca="1" si="287"/>
        <v>#N/A</v>
      </c>
      <c r="AE638" s="324">
        <f t="shared" ca="1" si="266"/>
        <v>-1.7293941177842722</v>
      </c>
      <c r="AG638" s="306">
        <f t="shared" ca="1" si="288"/>
        <v>6.3227850822580525</v>
      </c>
      <c r="AH638" s="304">
        <f t="shared" ca="1" si="289"/>
        <v>-3.4592833303651562</v>
      </c>
    </row>
    <row r="639" spans="1:34" x14ac:dyDescent="0.2">
      <c r="A639" s="347">
        <f t="shared" ca="1" si="267"/>
        <v>1E-4</v>
      </c>
      <c r="B639" s="304">
        <f t="shared" ca="1" si="268"/>
        <v>12.033499999999897</v>
      </c>
      <c r="D639" s="306">
        <f t="shared" ca="1" si="269"/>
        <v>-0.26086012834540012</v>
      </c>
      <c r="E639" s="307">
        <f t="shared" ca="1" si="270"/>
        <v>-6.3604798237147184</v>
      </c>
      <c r="F639" s="304">
        <f t="shared" ca="1" si="271"/>
        <v>6.3658268586604203</v>
      </c>
      <c r="G639" s="306">
        <f t="shared" ca="1" si="272"/>
        <v>3.9084643892415127</v>
      </c>
      <c r="H639" s="307">
        <f t="shared" ca="1" si="273"/>
        <v>-51.685103270803381</v>
      </c>
      <c r="I639" s="304">
        <f t="shared" ca="1" si="274"/>
        <v>51.832673035408661</v>
      </c>
      <c r="J639" s="306">
        <f t="shared" ca="1" si="275"/>
        <v>56.288824373840264</v>
      </c>
      <c r="K639" s="307">
        <f t="shared" ca="1" si="276"/>
        <v>-1.7345625963089535</v>
      </c>
      <c r="L639" s="304">
        <f t="shared" ca="1" si="261"/>
        <v>56.315543651726813</v>
      </c>
      <c r="M639" s="306">
        <f t="shared" ca="1" si="277"/>
        <v>-1.4953192661690693</v>
      </c>
      <c r="N639" s="304">
        <f t="shared" ca="1" si="278"/>
        <v>-85.675482976087054</v>
      </c>
      <c r="P639" s="310">
        <f t="shared" ca="1" si="279"/>
        <v>23</v>
      </c>
      <c r="Q639" s="304">
        <f t="shared" ca="1" si="280"/>
        <v>0</v>
      </c>
      <c r="R639" s="306">
        <f t="shared" ca="1" si="281"/>
        <v>0</v>
      </c>
      <c r="S639" s="307">
        <f t="shared" ca="1" si="282"/>
        <v>2.0843000000000003</v>
      </c>
      <c r="T639" s="304">
        <f t="shared" ca="1" si="262"/>
        <v>20.446983000000003</v>
      </c>
      <c r="U639" s="311">
        <f t="shared" ca="1" si="263"/>
        <v>0</v>
      </c>
      <c r="V639" s="306">
        <f t="shared" ca="1" si="264"/>
        <v>1.2252125023479792</v>
      </c>
      <c r="W639" s="304">
        <f t="shared" ca="1" si="265"/>
        <v>7.2105435218945848</v>
      </c>
      <c r="Y639" s="314" t="str">
        <f t="shared" ca="1" si="283"/>
        <v/>
      </c>
      <c r="Z639" s="315" t="str">
        <f t="shared" ca="1" si="284"/>
        <v/>
      </c>
      <c r="AA639" s="316" t="str">
        <f t="shared" ca="1" si="285"/>
        <v/>
      </c>
      <c r="AC639" s="310" t="e">
        <f t="shared" ca="1" si="286"/>
        <v>#N/A</v>
      </c>
      <c r="AD639" s="323" t="e">
        <f t="shared" ca="1" si="287"/>
        <v>#N/A</v>
      </c>
      <c r="AE639" s="324">
        <f t="shared" ca="1" si="266"/>
        <v>-1.7345625963089535</v>
      </c>
      <c r="AG639" s="306">
        <f t="shared" ca="1" si="288"/>
        <v>6.3226999516908862</v>
      </c>
      <c r="AH639" s="304">
        <f t="shared" ca="1" si="289"/>
        <v>-3.4593695167124925</v>
      </c>
    </row>
    <row r="640" spans="1:34" x14ac:dyDescent="0.2">
      <c r="A640" s="347">
        <f t="shared" ca="1" si="267"/>
        <v>1E-4</v>
      </c>
      <c r="B640" s="304">
        <f t="shared" ca="1" si="268"/>
        <v>12.033599999999897</v>
      </c>
      <c r="D640" s="306">
        <f t="shared" ca="1" si="269"/>
        <v>-0.2608617042062279</v>
      </c>
      <c r="E640" s="307">
        <f t="shared" ca="1" si="270"/>
        <v>-6.3603935104515221</v>
      </c>
      <c r="F640" s="304">
        <f t="shared" ca="1" si="271"/>
        <v>6.3657406824748382</v>
      </c>
      <c r="G640" s="306">
        <f t="shared" ca="1" si="272"/>
        <v>3.9084383030710921</v>
      </c>
      <c r="H640" s="307">
        <f t="shared" ca="1" si="273"/>
        <v>-51.685739310154425</v>
      </c>
      <c r="I640" s="304">
        <f t="shared" ca="1" si="274"/>
        <v>51.83330529694355</v>
      </c>
      <c r="J640" s="306">
        <f t="shared" ca="1" si="275"/>
        <v>56.288824373840264</v>
      </c>
      <c r="K640" s="307">
        <f t="shared" ca="1" si="276"/>
        <v>-1.7397311384380014</v>
      </c>
      <c r="L640" s="304">
        <f t="shared" ca="1" si="261"/>
        <v>56.315703083803228</v>
      </c>
      <c r="M640" s="306">
        <f t="shared" ca="1" si="277"/>
        <v>-1.4953206932961816</v>
      </c>
      <c r="N640" s="304">
        <f t="shared" ca="1" si="278"/>
        <v>-85.675564744447414</v>
      </c>
      <c r="P640" s="310">
        <f t="shared" ca="1" si="279"/>
        <v>23</v>
      </c>
      <c r="Q640" s="304">
        <f t="shared" ca="1" si="280"/>
        <v>0</v>
      </c>
      <c r="R640" s="306">
        <f t="shared" ca="1" si="281"/>
        <v>0</v>
      </c>
      <c r="S640" s="307">
        <f t="shared" ca="1" si="282"/>
        <v>2.0843000000000003</v>
      </c>
      <c r="T640" s="304">
        <f t="shared" ca="1" si="262"/>
        <v>20.446983000000003</v>
      </c>
      <c r="U640" s="311">
        <f t="shared" ca="1" si="263"/>
        <v>0</v>
      </c>
      <c r="V640" s="306">
        <f t="shared" ca="1" si="264"/>
        <v>1.2252131356043912</v>
      </c>
      <c r="W640" s="304">
        <f t="shared" ca="1" si="265"/>
        <v>7.2107231601122166</v>
      </c>
      <c r="Y640" s="314" t="str">
        <f t="shared" ca="1" si="283"/>
        <v/>
      </c>
      <c r="Z640" s="315" t="str">
        <f t="shared" ca="1" si="284"/>
        <v/>
      </c>
      <c r="AA640" s="316" t="str">
        <f t="shared" ca="1" si="285"/>
        <v/>
      </c>
      <c r="AC640" s="310" t="e">
        <f t="shared" ca="1" si="286"/>
        <v>#N/A</v>
      </c>
      <c r="AD640" s="323" t="e">
        <f t="shared" ca="1" si="287"/>
        <v>#N/A</v>
      </c>
      <c r="AE640" s="324">
        <f t="shared" ca="1" si="266"/>
        <v>-1.7397311384380014</v>
      </c>
      <c r="AG640" s="306">
        <f t="shared" ca="1" si="288"/>
        <v>6.3226148210676367</v>
      </c>
      <c r="AH640" s="304">
        <f t="shared" ca="1" si="289"/>
        <v>-3.459455703063179</v>
      </c>
    </row>
    <row r="641" spans="1:34" x14ac:dyDescent="0.2">
      <c r="A641" s="347">
        <f t="shared" ca="1" si="267"/>
        <v>1E-4</v>
      </c>
      <c r="B641" s="304">
        <f t="shared" ca="1" si="268"/>
        <v>12.033699999999897</v>
      </c>
      <c r="D641" s="306">
        <f t="shared" ca="1" si="269"/>
        <v>-0.26086327997443604</v>
      </c>
      <c r="E641" s="307">
        <f t="shared" ca="1" si="270"/>
        <v>-6.3603071971850706</v>
      </c>
      <c r="F641" s="304">
        <f t="shared" ca="1" si="271"/>
        <v>6.3656545062863126</v>
      </c>
      <c r="G641" s="306">
        <f t="shared" ca="1" si="272"/>
        <v>3.9084122167430948</v>
      </c>
      <c r="H641" s="307">
        <f t="shared" ca="1" si="273"/>
        <v>-51.686375340874143</v>
      </c>
      <c r="I641" s="304">
        <f t="shared" ca="1" si="274"/>
        <v>51.833937549965363</v>
      </c>
      <c r="J641" s="306">
        <f t="shared" ca="1" si="275"/>
        <v>56.288824373840264</v>
      </c>
      <c r="K641" s="307">
        <f t="shared" ca="1" si="276"/>
        <v>-1.7448997441705529</v>
      </c>
      <c r="L641" s="304">
        <f t="shared" ca="1" si="261"/>
        <v>56.31586299175607</v>
      </c>
      <c r="M641" s="306">
        <f t="shared" ca="1" si="277"/>
        <v>-1.4953221203789533</v>
      </c>
      <c r="N641" s="304">
        <f t="shared" ca="1" si="278"/>
        <v>-85.675646510267256</v>
      </c>
      <c r="P641" s="310">
        <f t="shared" ca="1" si="279"/>
        <v>23</v>
      </c>
      <c r="Q641" s="304">
        <f t="shared" ca="1" si="280"/>
        <v>0</v>
      </c>
      <c r="R641" s="306">
        <f t="shared" ca="1" si="281"/>
        <v>0</v>
      </c>
      <c r="S641" s="307">
        <f t="shared" ca="1" si="282"/>
        <v>2.0843000000000003</v>
      </c>
      <c r="T641" s="304">
        <f t="shared" ca="1" si="262"/>
        <v>20.446983000000003</v>
      </c>
      <c r="U641" s="311">
        <f t="shared" ca="1" si="263"/>
        <v>0</v>
      </c>
      <c r="V641" s="306">
        <f t="shared" ca="1" si="264"/>
        <v>1.2252137688689233</v>
      </c>
      <c r="W641" s="304">
        <f t="shared" ca="1" si="265"/>
        <v>7.2109027983366536</v>
      </c>
      <c r="Y641" s="314" t="str">
        <f t="shared" ca="1" si="283"/>
        <v/>
      </c>
      <c r="Z641" s="315" t="str">
        <f t="shared" ca="1" si="284"/>
        <v/>
      </c>
      <c r="AA641" s="316" t="str">
        <f t="shared" ca="1" si="285"/>
        <v/>
      </c>
      <c r="AC641" s="310" t="e">
        <f t="shared" ca="1" si="286"/>
        <v>#N/A</v>
      </c>
      <c r="AD641" s="323" t="e">
        <f t="shared" ca="1" si="287"/>
        <v>#N/A</v>
      </c>
      <c r="AE641" s="324">
        <f t="shared" ca="1" si="266"/>
        <v>-1.7448997441705529</v>
      </c>
      <c r="AG641" s="306">
        <f t="shared" ca="1" si="288"/>
        <v>6.3225296903883557</v>
      </c>
      <c r="AH641" s="304">
        <f t="shared" ca="1" si="289"/>
        <v>-3.4595418894171739</v>
      </c>
    </row>
    <row r="642" spans="1:34" x14ac:dyDescent="0.2">
      <c r="A642" s="347">
        <f t="shared" ca="1" si="267"/>
        <v>1E-4</v>
      </c>
      <c r="B642" s="304">
        <f t="shared" ca="1" si="268"/>
        <v>12.033799999999896</v>
      </c>
      <c r="D642" s="306">
        <f t="shared" ca="1" si="269"/>
        <v>-0.26086485565002671</v>
      </c>
      <c r="E642" s="307">
        <f t="shared" ca="1" si="270"/>
        <v>-6.3602208839154066</v>
      </c>
      <c r="F642" s="304">
        <f t="shared" ca="1" si="271"/>
        <v>6.3655683300948853</v>
      </c>
      <c r="G642" s="306">
        <f t="shared" ca="1" si="272"/>
        <v>3.9083861302575298</v>
      </c>
      <c r="H642" s="307">
        <f t="shared" ca="1" si="273"/>
        <v>-51.687011362962537</v>
      </c>
      <c r="I642" s="304">
        <f t="shared" ca="1" si="274"/>
        <v>51.834569794474113</v>
      </c>
      <c r="J642" s="306">
        <f t="shared" ca="1" si="275"/>
        <v>56.288824373840264</v>
      </c>
      <c r="K642" s="307">
        <f t="shared" ca="1" si="276"/>
        <v>-1.7500684135057447</v>
      </c>
      <c r="L642" s="304">
        <f t="shared" ca="1" si="261"/>
        <v>56.316023375598746</v>
      </c>
      <c r="M642" s="306">
        <f t="shared" ca="1" si="277"/>
        <v>-1.4953235474173872</v>
      </c>
      <c r="N642" s="304">
        <f t="shared" ca="1" si="278"/>
        <v>-85.67572827354671</v>
      </c>
      <c r="P642" s="310">
        <f t="shared" ca="1" si="279"/>
        <v>23</v>
      </c>
      <c r="Q642" s="304">
        <f t="shared" ca="1" si="280"/>
        <v>0</v>
      </c>
      <c r="R642" s="306">
        <f t="shared" ca="1" si="281"/>
        <v>0</v>
      </c>
      <c r="S642" s="307">
        <f t="shared" ca="1" si="282"/>
        <v>2.0843000000000003</v>
      </c>
      <c r="T642" s="304">
        <f t="shared" ca="1" si="262"/>
        <v>20.446983000000003</v>
      </c>
      <c r="U642" s="311">
        <f t="shared" ca="1" si="263"/>
        <v>0</v>
      </c>
      <c r="V642" s="306">
        <f t="shared" ca="1" si="264"/>
        <v>1.2252144021415752</v>
      </c>
      <c r="W642" s="304">
        <f t="shared" ca="1" si="265"/>
        <v>7.2110824365678194</v>
      </c>
      <c r="Y642" s="314" t="str">
        <f t="shared" ca="1" si="283"/>
        <v/>
      </c>
      <c r="Z642" s="315" t="str">
        <f t="shared" ca="1" si="284"/>
        <v/>
      </c>
      <c r="AA642" s="316" t="str">
        <f t="shared" ca="1" si="285"/>
        <v/>
      </c>
      <c r="AC642" s="310" t="e">
        <f t="shared" ca="1" si="286"/>
        <v>#N/A</v>
      </c>
      <c r="AD642" s="323" t="e">
        <f t="shared" ca="1" si="287"/>
        <v>#N/A</v>
      </c>
      <c r="AE642" s="324">
        <f t="shared" ca="1" si="266"/>
        <v>-1.7500684135057447</v>
      </c>
      <c r="AG642" s="306">
        <f t="shared" ca="1" si="288"/>
        <v>6.3224445596530874</v>
      </c>
      <c r="AH642" s="304">
        <f t="shared" ca="1" si="289"/>
        <v>-3.4596280757744338</v>
      </c>
    </row>
    <row r="643" spans="1:34" x14ac:dyDescent="0.2">
      <c r="A643" s="347">
        <f t="shared" ca="1" si="267"/>
        <v>1E-4</v>
      </c>
      <c r="B643" s="304">
        <f t="shared" ca="1" si="268"/>
        <v>12.033899999999896</v>
      </c>
      <c r="D643" s="306">
        <f t="shared" ca="1" si="269"/>
        <v>-0.26086643123299946</v>
      </c>
      <c r="E643" s="307">
        <f t="shared" ca="1" si="270"/>
        <v>-6.3601345706425674</v>
      </c>
      <c r="F643" s="304">
        <f t="shared" ca="1" si="271"/>
        <v>6.3654821539005946</v>
      </c>
      <c r="G643" s="306">
        <f t="shared" ca="1" si="272"/>
        <v>3.9083600436144064</v>
      </c>
      <c r="H643" s="307">
        <f t="shared" ca="1" si="273"/>
        <v>-51.687647376419598</v>
      </c>
      <c r="I643" s="304">
        <f t="shared" ca="1" si="274"/>
        <v>51.835202030469766</v>
      </c>
      <c r="J643" s="306">
        <f t="shared" ca="1" si="275"/>
        <v>56.288824373840264</v>
      </c>
      <c r="K643" s="307">
        <f t="shared" ca="1" si="276"/>
        <v>-1.7552371464427139</v>
      </c>
      <c r="L643" s="304">
        <f t="shared" ca="1" si="261"/>
        <v>56.316184235344693</v>
      </c>
      <c r="M643" s="306">
        <f t="shared" ca="1" si="277"/>
        <v>-1.4953249744114849</v>
      </c>
      <c r="N643" s="304">
        <f t="shared" ca="1" si="278"/>
        <v>-85.675810034285902</v>
      </c>
      <c r="P643" s="310">
        <f t="shared" ca="1" si="279"/>
        <v>23</v>
      </c>
      <c r="Q643" s="304">
        <f t="shared" ca="1" si="280"/>
        <v>0</v>
      </c>
      <c r="R643" s="306">
        <f t="shared" ca="1" si="281"/>
        <v>0</v>
      </c>
      <c r="S643" s="307">
        <f t="shared" ca="1" si="282"/>
        <v>2.0843000000000003</v>
      </c>
      <c r="T643" s="304">
        <f t="shared" ca="1" si="262"/>
        <v>20.446983000000003</v>
      </c>
      <c r="U643" s="311">
        <f t="shared" ca="1" si="263"/>
        <v>0</v>
      </c>
      <c r="V643" s="306">
        <f t="shared" ca="1" si="264"/>
        <v>1.2252150354223477</v>
      </c>
      <c r="W643" s="304">
        <f t="shared" ca="1" si="265"/>
        <v>7.2112620748056209</v>
      </c>
      <c r="Y643" s="314" t="str">
        <f t="shared" ca="1" si="283"/>
        <v/>
      </c>
      <c r="Z643" s="315" t="str">
        <f t="shared" ca="1" si="284"/>
        <v/>
      </c>
      <c r="AA643" s="316" t="str">
        <f t="shared" ca="1" si="285"/>
        <v/>
      </c>
      <c r="AC643" s="310" t="e">
        <f t="shared" ca="1" si="286"/>
        <v>#N/A</v>
      </c>
      <c r="AD643" s="323" t="e">
        <f t="shared" ca="1" si="287"/>
        <v>#N/A</v>
      </c>
      <c r="AE643" s="324">
        <f t="shared" ca="1" si="266"/>
        <v>-1.7552371464427139</v>
      </c>
      <c r="AG643" s="306">
        <f t="shared" ca="1" si="288"/>
        <v>6.3223594288618763</v>
      </c>
      <c r="AH643" s="304">
        <f t="shared" ca="1" si="289"/>
        <v>-3.4597142621349222</v>
      </c>
    </row>
    <row r="644" spans="1:34" x14ac:dyDescent="0.2">
      <c r="A644" s="347">
        <f t="shared" ca="1" si="267"/>
        <v>1E-4</v>
      </c>
      <c r="B644" s="304">
        <f t="shared" ca="1" si="268"/>
        <v>12.033999999999896</v>
      </c>
      <c r="D644" s="306">
        <f t="shared" ca="1" si="269"/>
        <v>-0.26086800672335603</v>
      </c>
      <c r="E644" s="307">
        <f t="shared" ca="1" si="270"/>
        <v>-6.3600482573665964</v>
      </c>
      <c r="F644" s="304">
        <f t="shared" ca="1" si="271"/>
        <v>6.3653959777034839</v>
      </c>
      <c r="G644" s="306">
        <f t="shared" ca="1" si="272"/>
        <v>3.9083339568137339</v>
      </c>
      <c r="H644" s="307">
        <f t="shared" ca="1" si="273"/>
        <v>-51.688283381245334</v>
      </c>
      <c r="I644" s="304">
        <f t="shared" ca="1" si="274"/>
        <v>51.835834257952342</v>
      </c>
      <c r="J644" s="306">
        <f t="shared" ca="1" si="275"/>
        <v>56.288824373840264</v>
      </c>
      <c r="K644" s="307">
        <f t="shared" ca="1" si="276"/>
        <v>-1.7604059429805972</v>
      </c>
      <c r="L644" s="304">
        <f t="shared" ref="L644:L707" ca="1" si="290">SQRT(pos_x^2+pos_z^2)</f>
        <v>56.316345571007318</v>
      </c>
      <c r="M644" s="306">
        <f t="shared" ca="1" si="277"/>
        <v>-1.4953264013612488</v>
      </c>
      <c r="N644" s="304">
        <f t="shared" ca="1" si="278"/>
        <v>-85.675891792484961</v>
      </c>
      <c r="P644" s="310">
        <f t="shared" ca="1" si="279"/>
        <v>23</v>
      </c>
      <c r="Q644" s="304">
        <f t="shared" ca="1" si="280"/>
        <v>0</v>
      </c>
      <c r="R644" s="306">
        <f t="shared" ca="1" si="281"/>
        <v>0</v>
      </c>
      <c r="S644" s="307">
        <f t="shared" ca="1" si="282"/>
        <v>2.0843000000000003</v>
      </c>
      <c r="T644" s="304">
        <f t="shared" ref="T644:T707" ca="1" si="291">m*g</f>
        <v>20.446983000000003</v>
      </c>
      <c r="U644" s="311">
        <f t="shared" ref="U644:U707" ca="1" si="292">IF(pos_xz&lt;L_rampe,Poids*COS(Beta),0)</f>
        <v>0</v>
      </c>
      <c r="V644" s="306">
        <f t="shared" ref="V644:V707" ca="1" si="293">Rho_moyen*(20000-Alt_rampe-pos_z)/(20000+Alt_rampe+pos_z)</f>
        <v>1.2252156687112392</v>
      </c>
      <c r="W644" s="304">
        <f t="shared" ref="W644:W707" ca="1" si="294">1/2*Rho*Sref*Cx*vit_xz^2</f>
        <v>7.2114417130499744</v>
      </c>
      <c r="Y644" s="314" t="str">
        <f t="shared" ca="1" si="283"/>
        <v/>
      </c>
      <c r="Z644" s="315" t="str">
        <f t="shared" ca="1" si="284"/>
        <v/>
      </c>
      <c r="AA644" s="316" t="str">
        <f t="shared" ca="1" si="285"/>
        <v/>
      </c>
      <c r="AC644" s="310" t="e">
        <f t="shared" ca="1" si="286"/>
        <v>#N/A</v>
      </c>
      <c r="AD644" s="323" t="e">
        <f t="shared" ca="1" si="287"/>
        <v>#N/A</v>
      </c>
      <c r="AE644" s="324">
        <f t="shared" ref="AE644:AE707" ca="1" si="295">IF(t&lt;T_para, pos_z, NA())</f>
        <v>-1.7604059429805972</v>
      </c>
      <c r="AG644" s="306">
        <f t="shared" ca="1" si="288"/>
        <v>6.322274298014765</v>
      </c>
      <c r="AH644" s="304">
        <f t="shared" ca="1" si="289"/>
        <v>-3.4598004484985942</v>
      </c>
    </row>
    <row r="645" spans="1:34" x14ac:dyDescent="0.2">
      <c r="A645" s="347">
        <f t="shared" ref="A645:A708" ca="1" si="296">IF(B644+0.01&lt;=T_ini+ROUNDUP(Temps_fin_propu,0), 0.01, IF(K644&gt;0, 0.1, 0.0001))</f>
        <v>1E-4</v>
      </c>
      <c r="B645" s="304">
        <f t="shared" ref="B645:B708" ca="1" si="297">B644+pas</f>
        <v>12.034099999999896</v>
      </c>
      <c r="D645" s="306">
        <f t="shared" ref="D645:D708" ca="1" si="298">IF(AND(L644&lt;L_rampe,Poussee&lt;Poids*SIN(M644)),0,(-W644+Poussee)/m*COS(M644)-U644/m*SIN(M644))</f>
        <v>-0.26086958212109729</v>
      </c>
      <c r="E645" s="307">
        <f t="shared" ref="E645:E708" ca="1" si="299">IF(AND(L644&lt;L_rampe,Poussee&lt;Poids*SIN(M644)),0,(-W644+Poussee)/m*SIN(M644)+U644/m*COS(M644)-Poids/m)</f>
        <v>-6.3599619440875372</v>
      </c>
      <c r="F645" s="304">
        <f t="shared" ref="F645:F708" ca="1" si="300">SQRT(acc_x^2+acc_z^2)</f>
        <v>6.3653098015035967</v>
      </c>
      <c r="G645" s="306">
        <f t="shared" ref="G645:G708" ca="1" si="301">G644+acc_x*pas</f>
        <v>3.9083078698555216</v>
      </c>
      <c r="H645" s="307">
        <f t="shared" ref="H645:H708" ca="1" si="302">H644+acc_z*pas</f>
        <v>-51.688919377439746</v>
      </c>
      <c r="I645" s="304">
        <f t="shared" ref="I645:I708" ca="1" si="303">SQRT(vit_x^2+vit_z^2)</f>
        <v>51.836466476921835</v>
      </c>
      <c r="J645" s="306">
        <f t="shared" ref="J645:J708" ca="1" si="304">J644+0.5*(vit_x+G644)*pas*(K644&gt;=0)</f>
        <v>56.288824373840264</v>
      </c>
      <c r="K645" s="307">
        <f t="shared" ref="K645:K708" ca="1" si="305">K644+0.5*(vit_z+H644)*pas</f>
        <v>-1.7655748031185314</v>
      </c>
      <c r="L645" s="304">
        <f t="shared" ca="1" si="290"/>
        <v>56.316507382600008</v>
      </c>
      <c r="M645" s="306">
        <f t="shared" ref="M645:M708" ca="1" si="306">IF(AND(L644&gt;L_rampe,G645&gt;0),ATAN2(G645,H645),$M$4)</f>
        <v>-1.4953278282666811</v>
      </c>
      <c r="N645" s="304">
        <f t="shared" ref="N645:N708" ca="1" si="307">DEGREES(Beta)</f>
        <v>-85.675973548143986</v>
      </c>
      <c r="P645" s="310">
        <f t="shared" ref="P645:P708" ca="1" si="308">MATCH(t-pas/2-T_ini,CdP_t)</f>
        <v>23</v>
      </c>
      <c r="Q645" s="304">
        <f t="shared" ref="Q645:Q708" ca="1" si="309">(INDEX(CdP,2,i_P+1)-INDEX(CdP,2,i_P+0))/(INDEX(CdP,1,i_P+1)-INDEX(CdP,1,i_P+0))*(t-pas/2-T_ini-INDEX(CdP,1,i_P+0))+INDEX(CdP,2,i_P+0)</f>
        <v>0</v>
      </c>
      <c r="R645" s="306">
        <f t="shared" ref="R645:R708" ca="1" si="310">Poussee/(g*ISP)</f>
        <v>0</v>
      </c>
      <c r="S645" s="307">
        <f t="shared" ref="S645:S708" ca="1" si="311">S644-Débit*pas</f>
        <v>2.0843000000000003</v>
      </c>
      <c r="T645" s="304">
        <f t="shared" ca="1" si="291"/>
        <v>20.446983000000003</v>
      </c>
      <c r="U645" s="311">
        <f t="shared" ca="1" si="292"/>
        <v>0</v>
      </c>
      <c r="V645" s="306">
        <f t="shared" ca="1" si="293"/>
        <v>1.2252163020082507</v>
      </c>
      <c r="W645" s="304">
        <f t="shared" ca="1" si="294"/>
        <v>7.2116213513007974</v>
      </c>
      <c r="Y645" s="314" t="str">
        <f t="shared" ref="Y645:Y708" ca="1" si="312">IF(AND(pos_z&lt;=0,K644&gt;0),"Impact balistique","") &amp; IF(AND(H646&lt;0,vit_z&gt;=0),"Apogée","") &amp; IF(AND(Poussee=0,Q644&gt;0),"Fin de propulsion","") &amp; IF(AND(L646&gt;L_rampe,pos_xz&lt;=L_rampe),"Sortie de rampe","")</f>
        <v/>
      </c>
      <c r="Z645" s="315" t="str">
        <f t="shared" ref="Z645:Z708" ca="1" si="313">IF(ABS(t-T_para)&lt;pas/2,"Para","")</f>
        <v/>
      </c>
      <c r="AA645" s="316" t="str">
        <f t="shared" ref="AA645:AA708" ca="1" si="314">IF(ABS(t-T_satellite)&lt;pas/2,"Satellite","")</f>
        <v/>
      </c>
      <c r="AC645" s="310" t="e">
        <f t="shared" ref="AC645:AC708" ca="1" si="315">IF(ABS(t-ROUND(t,0))&lt;0.001,t,NA())</f>
        <v>#N/A</v>
      </c>
      <c r="AD645" s="323" t="e">
        <f t="shared" ref="AD645:AD708" ca="1" si="316">IF(ABS(t-ROUND(t,0))&lt;0.001,pos_x,NA())</f>
        <v>#N/A</v>
      </c>
      <c r="AE645" s="324">
        <f t="shared" ca="1" si="295"/>
        <v>-1.7655748031185314</v>
      </c>
      <c r="AG645" s="306">
        <f t="shared" ref="AG645:AG708" ca="1" si="317">IF(AND(L644&lt;L_rampe,Poussee&lt;Poids*SIN(M644)),0,(-W644+Poussee)/m-Poids*SIN(M644)/m)</f>
        <v>6.3221891671117962</v>
      </c>
      <c r="AH645" s="304">
        <f t="shared" ref="AH645:AH708" ca="1" si="318">IF(AND(L644&lt;L_rampe,Poussee&lt;Poids*SIN(M644)), g*SIN(M644), (-W644+Poussee)/m)</f>
        <v>-3.4598866348654096</v>
      </c>
    </row>
    <row r="646" spans="1:34" x14ac:dyDescent="0.2">
      <c r="A646" s="347">
        <f t="shared" ca="1" si="296"/>
        <v>1E-4</v>
      </c>
      <c r="B646" s="304">
        <f t="shared" ca="1" si="297"/>
        <v>12.034199999999895</v>
      </c>
      <c r="D646" s="306">
        <f t="shared" ca="1" si="298"/>
        <v>-0.26087115742622408</v>
      </c>
      <c r="E646" s="307">
        <f t="shared" ca="1" si="299"/>
        <v>-6.3598756308054254</v>
      </c>
      <c r="F646" s="304">
        <f t="shared" ca="1" si="300"/>
        <v>6.3652236253009686</v>
      </c>
      <c r="G646" s="306">
        <f t="shared" ca="1" si="301"/>
        <v>3.9082817827397789</v>
      </c>
      <c r="H646" s="307">
        <f t="shared" ca="1" si="302"/>
        <v>-51.689555365002825</v>
      </c>
      <c r="I646" s="304">
        <f t="shared" ca="1" si="303"/>
        <v>51.837098687378216</v>
      </c>
      <c r="J646" s="306">
        <f t="shared" ca="1" si="304"/>
        <v>56.288824373840264</v>
      </c>
      <c r="K646" s="307">
        <f t="shared" ca="1" si="305"/>
        <v>-1.7707437268556536</v>
      </c>
      <c r="L646" s="304">
        <f t="shared" ca="1" si="290"/>
        <v>56.31666967013615</v>
      </c>
      <c r="M646" s="306">
        <f t="shared" ca="1" si="306"/>
        <v>-1.4953292551277839</v>
      </c>
      <c r="N646" s="304">
        <f t="shared" ca="1" si="307"/>
        <v>-85.676055301263133</v>
      </c>
      <c r="P646" s="310">
        <f t="shared" ca="1" si="308"/>
        <v>23</v>
      </c>
      <c r="Q646" s="304">
        <f t="shared" ca="1" si="309"/>
        <v>0</v>
      </c>
      <c r="R646" s="306">
        <f t="shared" ca="1" si="310"/>
        <v>0</v>
      </c>
      <c r="S646" s="307">
        <f t="shared" ca="1" si="311"/>
        <v>2.0843000000000003</v>
      </c>
      <c r="T646" s="304">
        <f t="shared" ca="1" si="291"/>
        <v>20.446983000000003</v>
      </c>
      <c r="U646" s="311">
        <f t="shared" ca="1" si="292"/>
        <v>0</v>
      </c>
      <c r="V646" s="306">
        <f t="shared" ca="1" si="293"/>
        <v>1.2252169353133819</v>
      </c>
      <c r="W646" s="304">
        <f t="shared" ca="1" si="294"/>
        <v>7.2118009895580002</v>
      </c>
      <c r="Y646" s="314" t="str">
        <f t="shared" ca="1" si="312"/>
        <v/>
      </c>
      <c r="Z646" s="315" t="str">
        <f t="shared" ca="1" si="313"/>
        <v/>
      </c>
      <c r="AA646" s="316" t="str">
        <f t="shared" ca="1" si="314"/>
        <v/>
      </c>
      <c r="AC646" s="310" t="e">
        <f t="shared" ca="1" si="315"/>
        <v>#N/A</v>
      </c>
      <c r="AD646" s="323" t="e">
        <f t="shared" ca="1" si="316"/>
        <v>#N/A</v>
      </c>
      <c r="AE646" s="324">
        <f t="shared" ca="1" si="295"/>
        <v>-1.7707437268556536</v>
      </c>
      <c r="AG646" s="306">
        <f t="shared" ca="1" si="317"/>
        <v>6.3221040361530179</v>
      </c>
      <c r="AH646" s="304">
        <f t="shared" ca="1" si="318"/>
        <v>-3.4599728212353291</v>
      </c>
    </row>
    <row r="647" spans="1:34" x14ac:dyDescent="0.2">
      <c r="A647" s="347">
        <f t="shared" ca="1" si="296"/>
        <v>1E-4</v>
      </c>
      <c r="B647" s="304">
        <f t="shared" ca="1" si="297"/>
        <v>12.034299999999895</v>
      </c>
      <c r="D647" s="306">
        <f t="shared" ca="1" si="298"/>
        <v>-0.26087273263873684</v>
      </c>
      <c r="E647" s="307">
        <f t="shared" ca="1" si="299"/>
        <v>-6.3597893175203062</v>
      </c>
      <c r="F647" s="304">
        <f t="shared" ca="1" si="300"/>
        <v>6.3651374490956441</v>
      </c>
      <c r="G647" s="306">
        <f t="shared" ca="1" si="301"/>
        <v>3.9082556954665151</v>
      </c>
      <c r="H647" s="307">
        <f t="shared" ca="1" si="302"/>
        <v>-51.690191343934579</v>
      </c>
      <c r="I647" s="304">
        <f t="shared" ca="1" si="303"/>
        <v>51.837730889321492</v>
      </c>
      <c r="J647" s="306">
        <f t="shared" ca="1" si="304"/>
        <v>56.288824373840264</v>
      </c>
      <c r="K647" s="307">
        <f t="shared" ca="1" si="305"/>
        <v>-1.7759127141911004</v>
      </c>
      <c r="L647" s="304">
        <f t="shared" ca="1" si="290"/>
        <v>56.316832433629109</v>
      </c>
      <c r="M647" s="306">
        <f t="shared" ca="1" si="306"/>
        <v>-1.4953306819445593</v>
      </c>
      <c r="N647" s="304">
        <f t="shared" ca="1" si="307"/>
        <v>-85.676137051842503</v>
      </c>
      <c r="P647" s="310">
        <f t="shared" ca="1" si="308"/>
        <v>23</v>
      </c>
      <c r="Q647" s="304">
        <f t="shared" ca="1" si="309"/>
        <v>0</v>
      </c>
      <c r="R647" s="306">
        <f t="shared" ca="1" si="310"/>
        <v>0</v>
      </c>
      <c r="S647" s="307">
        <f t="shared" ca="1" si="311"/>
        <v>2.0843000000000003</v>
      </c>
      <c r="T647" s="304">
        <f t="shared" ca="1" si="291"/>
        <v>20.446983000000003</v>
      </c>
      <c r="U647" s="311">
        <f t="shared" ca="1" si="292"/>
        <v>0</v>
      </c>
      <c r="V647" s="306">
        <f t="shared" ca="1" si="293"/>
        <v>1.2252175686266331</v>
      </c>
      <c r="W647" s="304">
        <f t="shared" ca="1" si="294"/>
        <v>7.2119806278215011</v>
      </c>
      <c r="Y647" s="314" t="str">
        <f t="shared" ca="1" si="312"/>
        <v/>
      </c>
      <c r="Z647" s="315" t="str">
        <f t="shared" ca="1" si="313"/>
        <v/>
      </c>
      <c r="AA647" s="316" t="str">
        <f t="shared" ca="1" si="314"/>
        <v/>
      </c>
      <c r="AC647" s="310" t="e">
        <f t="shared" ca="1" si="315"/>
        <v>#N/A</v>
      </c>
      <c r="AD647" s="323" t="e">
        <f t="shared" ca="1" si="316"/>
        <v>#N/A</v>
      </c>
      <c r="AE647" s="324">
        <f t="shared" ca="1" si="295"/>
        <v>-1.7759127141911004</v>
      </c>
      <c r="AG647" s="306">
        <f t="shared" ca="1" si="317"/>
        <v>6.3220189051384743</v>
      </c>
      <c r="AH647" s="304">
        <f t="shared" ca="1" si="318"/>
        <v>-3.4600590076083093</v>
      </c>
    </row>
    <row r="648" spans="1:34" x14ac:dyDescent="0.2">
      <c r="A648" s="347">
        <f t="shared" ca="1" si="296"/>
        <v>1E-4</v>
      </c>
      <c r="B648" s="304">
        <f t="shared" ca="1" si="297"/>
        <v>12.034399999999895</v>
      </c>
      <c r="D648" s="306">
        <f t="shared" ca="1" si="298"/>
        <v>-0.26087430775863718</v>
      </c>
      <c r="E648" s="307">
        <f t="shared" ca="1" si="299"/>
        <v>-6.3597030042322187</v>
      </c>
      <c r="F648" s="304">
        <f t="shared" ca="1" si="300"/>
        <v>6.3650512728876629</v>
      </c>
      <c r="G648" s="306">
        <f t="shared" ca="1" si="301"/>
        <v>3.908229608035739</v>
      </c>
      <c r="H648" s="307">
        <f t="shared" ca="1" si="302"/>
        <v>-51.690827314235001</v>
      </c>
      <c r="I648" s="304">
        <f t="shared" ca="1" si="303"/>
        <v>51.838363082751663</v>
      </c>
      <c r="J648" s="306">
        <f t="shared" ca="1" si="304"/>
        <v>56.288824373840264</v>
      </c>
      <c r="K648" s="307">
        <f t="shared" ca="1" si="305"/>
        <v>-1.781081765124009</v>
      </c>
      <c r="L648" s="304">
        <f t="shared" ca="1" si="290"/>
        <v>56.316995673092251</v>
      </c>
      <c r="M648" s="306">
        <f t="shared" ca="1" si="306"/>
        <v>-1.4953321087170095</v>
      </c>
      <c r="N648" s="304">
        <f t="shared" ca="1" si="307"/>
        <v>-85.676218799882221</v>
      </c>
      <c r="P648" s="310">
        <f t="shared" ca="1" si="308"/>
        <v>23</v>
      </c>
      <c r="Q648" s="304">
        <f t="shared" ca="1" si="309"/>
        <v>0</v>
      </c>
      <c r="R648" s="306">
        <f t="shared" ca="1" si="310"/>
        <v>0</v>
      </c>
      <c r="S648" s="307">
        <f t="shared" ca="1" si="311"/>
        <v>2.0843000000000003</v>
      </c>
      <c r="T648" s="304">
        <f t="shared" ca="1" si="291"/>
        <v>20.446983000000003</v>
      </c>
      <c r="U648" s="311">
        <f t="shared" ca="1" si="292"/>
        <v>0</v>
      </c>
      <c r="V648" s="306">
        <f t="shared" ca="1" si="293"/>
        <v>1.2252182019480031</v>
      </c>
      <c r="W648" s="304">
        <f t="shared" ca="1" si="294"/>
        <v>7.2121602660912085</v>
      </c>
      <c r="Y648" s="314" t="str">
        <f t="shared" ca="1" si="312"/>
        <v/>
      </c>
      <c r="Z648" s="315" t="str">
        <f t="shared" ca="1" si="313"/>
        <v/>
      </c>
      <c r="AA648" s="316" t="str">
        <f t="shared" ca="1" si="314"/>
        <v/>
      </c>
      <c r="AC648" s="310" t="e">
        <f t="shared" ca="1" si="315"/>
        <v>#N/A</v>
      </c>
      <c r="AD648" s="323" t="e">
        <f t="shared" ca="1" si="316"/>
        <v>#N/A</v>
      </c>
      <c r="AE648" s="324">
        <f t="shared" ca="1" si="295"/>
        <v>-1.781081765124009</v>
      </c>
      <c r="AG648" s="306">
        <f t="shared" ca="1" si="317"/>
        <v>6.3219337740682082</v>
      </c>
      <c r="AH648" s="304">
        <f t="shared" ca="1" si="318"/>
        <v>-3.4601451939843115</v>
      </c>
    </row>
    <row r="649" spans="1:34" x14ac:dyDescent="0.2">
      <c r="A649" s="347">
        <f t="shared" ca="1" si="296"/>
        <v>1E-4</v>
      </c>
      <c r="B649" s="304">
        <f t="shared" ca="1" si="297"/>
        <v>12.034499999999895</v>
      </c>
      <c r="D649" s="306">
        <f t="shared" ca="1" si="298"/>
        <v>-0.26087588278592549</v>
      </c>
      <c r="E649" s="307">
        <f t="shared" ca="1" si="299"/>
        <v>-6.3596166909412073</v>
      </c>
      <c r="F649" s="304">
        <f t="shared" ca="1" si="300"/>
        <v>6.3649650966770688</v>
      </c>
      <c r="G649" s="306">
        <f t="shared" ca="1" si="301"/>
        <v>3.9082035204474606</v>
      </c>
      <c r="H649" s="307">
        <f t="shared" ca="1" si="302"/>
        <v>-51.691463275904098</v>
      </c>
      <c r="I649" s="304">
        <f t="shared" ca="1" si="303"/>
        <v>51.838995267668722</v>
      </c>
      <c r="J649" s="306">
        <f t="shared" ca="1" si="304"/>
        <v>56.288824373840264</v>
      </c>
      <c r="K649" s="307">
        <f t="shared" ca="1" si="305"/>
        <v>-1.7862508796535159</v>
      </c>
      <c r="L649" s="304">
        <f t="shared" ca="1" si="290"/>
        <v>56.317159388538919</v>
      </c>
      <c r="M649" s="306">
        <f t="shared" ca="1" si="306"/>
        <v>-1.4953335354451365</v>
      </c>
      <c r="N649" s="304">
        <f t="shared" ca="1" si="307"/>
        <v>-85.676300545382404</v>
      </c>
      <c r="P649" s="310">
        <f t="shared" ca="1" si="308"/>
        <v>23</v>
      </c>
      <c r="Q649" s="304">
        <f t="shared" ca="1" si="309"/>
        <v>0</v>
      </c>
      <c r="R649" s="306">
        <f t="shared" ca="1" si="310"/>
        <v>0</v>
      </c>
      <c r="S649" s="307">
        <f t="shared" ca="1" si="311"/>
        <v>2.0843000000000003</v>
      </c>
      <c r="T649" s="304">
        <f t="shared" ca="1" si="291"/>
        <v>20.446983000000003</v>
      </c>
      <c r="U649" s="311">
        <f t="shared" ca="1" si="292"/>
        <v>0</v>
      </c>
      <c r="V649" s="306">
        <f t="shared" ca="1" si="293"/>
        <v>1.2252188352774931</v>
      </c>
      <c r="W649" s="304">
        <f t="shared" ca="1" si="294"/>
        <v>7.2123399043670453</v>
      </c>
      <c r="Y649" s="314" t="str">
        <f t="shared" ca="1" si="312"/>
        <v/>
      </c>
      <c r="Z649" s="315" t="str">
        <f t="shared" ca="1" si="313"/>
        <v/>
      </c>
      <c r="AA649" s="316" t="str">
        <f t="shared" ca="1" si="314"/>
        <v/>
      </c>
      <c r="AC649" s="310" t="e">
        <f t="shared" ca="1" si="315"/>
        <v>#N/A</v>
      </c>
      <c r="AD649" s="323" t="e">
        <f t="shared" ca="1" si="316"/>
        <v>#N/A</v>
      </c>
      <c r="AE649" s="324">
        <f t="shared" ca="1" si="295"/>
        <v>-1.7862508796535159</v>
      </c>
      <c r="AG649" s="306">
        <f t="shared" ca="1" si="317"/>
        <v>6.3218486429422676</v>
      </c>
      <c r="AH649" s="304">
        <f t="shared" ca="1" si="318"/>
        <v>-3.4602313803632909</v>
      </c>
    </row>
    <row r="650" spans="1:34" x14ac:dyDescent="0.2">
      <c r="A650" s="347">
        <f t="shared" ca="1" si="296"/>
        <v>1E-4</v>
      </c>
      <c r="B650" s="304">
        <f t="shared" ca="1" si="297"/>
        <v>12.034599999999894</v>
      </c>
      <c r="D650" s="306">
        <f t="shared" ca="1" si="298"/>
        <v>-0.26087745772060367</v>
      </c>
      <c r="E650" s="307">
        <f t="shared" ca="1" si="299"/>
        <v>-6.3595303776473076</v>
      </c>
      <c r="F650" s="304">
        <f t="shared" ca="1" si="300"/>
        <v>6.364878920463898</v>
      </c>
      <c r="G650" s="306">
        <f t="shared" ca="1" si="301"/>
        <v>3.9081774327016885</v>
      </c>
      <c r="H650" s="307">
        <f t="shared" ca="1" si="302"/>
        <v>-51.692099228941863</v>
      </c>
      <c r="I650" s="304">
        <f t="shared" ca="1" si="303"/>
        <v>51.839627444072654</v>
      </c>
      <c r="J650" s="306">
        <f t="shared" ca="1" si="304"/>
        <v>56.288824373840264</v>
      </c>
      <c r="K650" s="307">
        <f t="shared" ca="1" si="305"/>
        <v>-1.7914200577787582</v>
      </c>
      <c r="L650" s="304">
        <f t="shared" ca="1" si="290"/>
        <v>56.317323579982443</v>
      </c>
      <c r="M650" s="306">
        <f t="shared" ca="1" si="306"/>
        <v>-1.4953349621289425</v>
      </c>
      <c r="N650" s="304">
        <f t="shared" ca="1" si="307"/>
        <v>-85.676382288343191</v>
      </c>
      <c r="P650" s="310">
        <f t="shared" ca="1" si="308"/>
        <v>23</v>
      </c>
      <c r="Q650" s="304">
        <f t="shared" ca="1" si="309"/>
        <v>0</v>
      </c>
      <c r="R650" s="306">
        <f t="shared" ca="1" si="310"/>
        <v>0</v>
      </c>
      <c r="S650" s="307">
        <f t="shared" ca="1" si="311"/>
        <v>2.0843000000000003</v>
      </c>
      <c r="T650" s="304">
        <f t="shared" ca="1" si="291"/>
        <v>20.446983000000003</v>
      </c>
      <c r="U650" s="311">
        <f t="shared" ca="1" si="292"/>
        <v>0</v>
      </c>
      <c r="V650" s="306">
        <f t="shared" ca="1" si="293"/>
        <v>1.2252194686151021</v>
      </c>
      <c r="W650" s="304">
        <f t="shared" ca="1" si="294"/>
        <v>7.212519542648919</v>
      </c>
      <c r="Y650" s="314" t="str">
        <f t="shared" ca="1" si="312"/>
        <v/>
      </c>
      <c r="Z650" s="315" t="str">
        <f t="shared" ca="1" si="313"/>
        <v/>
      </c>
      <c r="AA650" s="316" t="str">
        <f t="shared" ca="1" si="314"/>
        <v/>
      </c>
      <c r="AC650" s="310" t="e">
        <f t="shared" ca="1" si="315"/>
        <v>#N/A</v>
      </c>
      <c r="AD650" s="323" t="e">
        <f t="shared" ca="1" si="316"/>
        <v>#N/A</v>
      </c>
      <c r="AE650" s="324">
        <f t="shared" ca="1" si="295"/>
        <v>-1.7914200577787582</v>
      </c>
      <c r="AG650" s="306">
        <f t="shared" ca="1" si="317"/>
        <v>6.3217635117606905</v>
      </c>
      <c r="AH650" s="304">
        <f t="shared" ca="1" si="318"/>
        <v>-3.4603175667452115</v>
      </c>
    </row>
    <row r="651" spans="1:34" x14ac:dyDescent="0.2">
      <c r="A651" s="347">
        <f t="shared" ca="1" si="296"/>
        <v>1E-4</v>
      </c>
      <c r="B651" s="304">
        <f t="shared" ca="1" si="297"/>
        <v>12.034699999999894</v>
      </c>
      <c r="D651" s="306">
        <f t="shared" ca="1" si="298"/>
        <v>-0.26087903256267209</v>
      </c>
      <c r="E651" s="307">
        <f t="shared" ca="1" si="299"/>
        <v>-6.3594440643505656</v>
      </c>
      <c r="F651" s="304">
        <f t="shared" ca="1" si="300"/>
        <v>6.364792744248196</v>
      </c>
      <c r="G651" s="306">
        <f t="shared" ca="1" si="301"/>
        <v>3.9081513447984322</v>
      </c>
      <c r="H651" s="307">
        <f t="shared" ca="1" si="302"/>
        <v>-51.692735173348296</v>
      </c>
      <c r="I651" s="304">
        <f t="shared" ca="1" si="303"/>
        <v>51.840259611963461</v>
      </c>
      <c r="J651" s="306">
        <f t="shared" ca="1" si="304"/>
        <v>56.288824373840264</v>
      </c>
      <c r="K651" s="307">
        <f t="shared" ca="1" si="305"/>
        <v>-1.7965892994988728</v>
      </c>
      <c r="L651" s="304">
        <f t="shared" ca="1" si="290"/>
        <v>56.317488247436145</v>
      </c>
      <c r="M651" s="306">
        <f t="shared" ca="1" si="306"/>
        <v>-1.4953363887684299</v>
      </c>
      <c r="N651" s="304">
        <f t="shared" ca="1" si="307"/>
        <v>-85.676464028764713</v>
      </c>
      <c r="P651" s="310">
        <f t="shared" ca="1" si="308"/>
        <v>23</v>
      </c>
      <c r="Q651" s="304">
        <f t="shared" ca="1" si="309"/>
        <v>0</v>
      </c>
      <c r="R651" s="306">
        <f t="shared" ca="1" si="310"/>
        <v>0</v>
      </c>
      <c r="S651" s="307">
        <f t="shared" ca="1" si="311"/>
        <v>2.0843000000000003</v>
      </c>
      <c r="T651" s="304">
        <f t="shared" ca="1" si="291"/>
        <v>20.446983000000003</v>
      </c>
      <c r="U651" s="311">
        <f t="shared" ca="1" si="292"/>
        <v>0</v>
      </c>
      <c r="V651" s="306">
        <f t="shared" ca="1" si="293"/>
        <v>1.22522010196083</v>
      </c>
      <c r="W651" s="304">
        <f t="shared" ca="1" si="294"/>
        <v>7.2126991809367427</v>
      </c>
      <c r="Y651" s="314" t="str">
        <f t="shared" ca="1" si="312"/>
        <v/>
      </c>
      <c r="Z651" s="315" t="str">
        <f t="shared" ca="1" si="313"/>
        <v/>
      </c>
      <c r="AA651" s="316" t="str">
        <f t="shared" ca="1" si="314"/>
        <v/>
      </c>
      <c r="AC651" s="310" t="e">
        <f t="shared" ca="1" si="315"/>
        <v>#N/A</v>
      </c>
      <c r="AD651" s="323" t="e">
        <f t="shared" ca="1" si="316"/>
        <v>#N/A</v>
      </c>
      <c r="AE651" s="324">
        <f t="shared" ca="1" si="295"/>
        <v>-1.7965892994988728</v>
      </c>
      <c r="AG651" s="306">
        <f t="shared" ca="1" si="317"/>
        <v>6.3216783805235277</v>
      </c>
      <c r="AH651" s="304">
        <f t="shared" ca="1" si="318"/>
        <v>-3.4604037531300285</v>
      </c>
    </row>
    <row r="652" spans="1:34" x14ac:dyDescent="0.2">
      <c r="A652" s="347">
        <f t="shared" ca="1" si="296"/>
        <v>1E-4</v>
      </c>
      <c r="B652" s="304">
        <f t="shared" ca="1" si="297"/>
        <v>12.034799999999894</v>
      </c>
      <c r="D652" s="306">
        <f t="shared" ca="1" si="298"/>
        <v>-0.26088060731213053</v>
      </c>
      <c r="E652" s="307">
        <f t="shared" ca="1" si="299"/>
        <v>-6.3593577510510215</v>
      </c>
      <c r="F652" s="304">
        <f t="shared" ca="1" si="300"/>
        <v>6.3647065680300026</v>
      </c>
      <c r="G652" s="306">
        <f t="shared" ca="1" si="301"/>
        <v>3.9081252567377009</v>
      </c>
      <c r="H652" s="307">
        <f t="shared" ca="1" si="302"/>
        <v>-51.693371109123404</v>
      </c>
      <c r="I652" s="304">
        <f t="shared" ca="1" si="303"/>
        <v>51.840891771341141</v>
      </c>
      <c r="J652" s="306">
        <f t="shared" ca="1" si="304"/>
        <v>56.288824373840264</v>
      </c>
      <c r="K652" s="307">
        <f t="shared" ca="1" si="305"/>
        <v>-1.8017586048129963</v>
      </c>
      <c r="L652" s="304">
        <f t="shared" ca="1" si="290"/>
        <v>56.317653390913328</v>
      </c>
      <c r="M652" s="306">
        <f t="shared" ca="1" si="306"/>
        <v>-1.4953378153636006</v>
      </c>
      <c r="N652" s="304">
        <f t="shared" ca="1" si="307"/>
        <v>-85.676545766647067</v>
      </c>
      <c r="P652" s="310">
        <f t="shared" ca="1" si="308"/>
        <v>23</v>
      </c>
      <c r="Q652" s="304">
        <f t="shared" ca="1" si="309"/>
        <v>0</v>
      </c>
      <c r="R652" s="306">
        <f t="shared" ca="1" si="310"/>
        <v>0</v>
      </c>
      <c r="S652" s="307">
        <f t="shared" ca="1" si="311"/>
        <v>2.0843000000000003</v>
      </c>
      <c r="T652" s="304">
        <f t="shared" ca="1" si="291"/>
        <v>20.446983000000003</v>
      </c>
      <c r="U652" s="311">
        <f t="shared" ca="1" si="292"/>
        <v>0</v>
      </c>
      <c r="V652" s="306">
        <f t="shared" ca="1" si="293"/>
        <v>1.2252207353146771</v>
      </c>
      <c r="W652" s="304">
        <f t="shared" ca="1" si="294"/>
        <v>7.2128788192304389</v>
      </c>
      <c r="Y652" s="314" t="str">
        <f t="shared" ca="1" si="312"/>
        <v/>
      </c>
      <c r="Z652" s="315" t="str">
        <f t="shared" ca="1" si="313"/>
        <v/>
      </c>
      <c r="AA652" s="316" t="str">
        <f t="shared" ca="1" si="314"/>
        <v/>
      </c>
      <c r="AC652" s="310" t="e">
        <f t="shared" ca="1" si="315"/>
        <v>#N/A</v>
      </c>
      <c r="AD652" s="323" t="e">
        <f t="shared" ca="1" si="316"/>
        <v>#N/A</v>
      </c>
      <c r="AE652" s="324">
        <f t="shared" ca="1" si="295"/>
        <v>-1.8017586048129963</v>
      </c>
      <c r="AG652" s="306">
        <f t="shared" ca="1" si="317"/>
        <v>6.3215932492308244</v>
      </c>
      <c r="AH652" s="304">
        <f t="shared" ca="1" si="318"/>
        <v>-3.4604899395177</v>
      </c>
    </row>
    <row r="653" spans="1:34" x14ac:dyDescent="0.2">
      <c r="A653" s="347">
        <f t="shared" ca="1" si="296"/>
        <v>1E-4</v>
      </c>
      <c r="B653" s="304">
        <f t="shared" ca="1" si="297"/>
        <v>12.034899999999894</v>
      </c>
      <c r="D653" s="306">
        <f t="shared" ca="1" si="298"/>
        <v>-0.26088218196898161</v>
      </c>
      <c r="E653" s="307">
        <f t="shared" ca="1" si="299"/>
        <v>-6.3592714377487134</v>
      </c>
      <c r="F653" s="304">
        <f t="shared" ca="1" si="300"/>
        <v>6.364620391809356</v>
      </c>
      <c r="G653" s="306">
        <f t="shared" ca="1" si="301"/>
        <v>3.9080991685195041</v>
      </c>
      <c r="H653" s="307">
        <f t="shared" ca="1" si="302"/>
        <v>-51.69400703626718</v>
      </c>
      <c r="I653" s="304">
        <f t="shared" ca="1" si="303"/>
        <v>51.841523922205681</v>
      </c>
      <c r="J653" s="306">
        <f t="shared" ca="1" si="304"/>
        <v>56.288824373840264</v>
      </c>
      <c r="K653" s="307">
        <f t="shared" ca="1" si="305"/>
        <v>-1.8069279737202659</v>
      </c>
      <c r="L653" s="304">
        <f t="shared" ca="1" si="290"/>
        <v>56.3178190104273</v>
      </c>
      <c r="M653" s="306">
        <f t="shared" ca="1" si="306"/>
        <v>-1.4953392419144567</v>
      </c>
      <c r="N653" s="304">
        <f t="shared" ca="1" si="307"/>
        <v>-85.676627501990382</v>
      </c>
      <c r="P653" s="310">
        <f t="shared" ca="1" si="308"/>
        <v>23</v>
      </c>
      <c r="Q653" s="304">
        <f t="shared" ca="1" si="309"/>
        <v>0</v>
      </c>
      <c r="R653" s="306">
        <f t="shared" ca="1" si="310"/>
        <v>0</v>
      </c>
      <c r="S653" s="307">
        <f t="shared" ca="1" si="311"/>
        <v>2.0843000000000003</v>
      </c>
      <c r="T653" s="304">
        <f t="shared" ca="1" si="291"/>
        <v>20.446983000000003</v>
      </c>
      <c r="U653" s="311">
        <f t="shared" ca="1" si="292"/>
        <v>0</v>
      </c>
      <c r="V653" s="306">
        <f t="shared" ca="1" si="293"/>
        <v>1.2252213686766436</v>
      </c>
      <c r="W653" s="304">
        <f t="shared" ca="1" si="294"/>
        <v>7.2130584575299164</v>
      </c>
      <c r="Y653" s="314" t="str">
        <f t="shared" ca="1" si="312"/>
        <v/>
      </c>
      <c r="Z653" s="315" t="str">
        <f t="shared" ca="1" si="313"/>
        <v/>
      </c>
      <c r="AA653" s="316" t="str">
        <f t="shared" ca="1" si="314"/>
        <v/>
      </c>
      <c r="AC653" s="310" t="e">
        <f t="shared" ca="1" si="315"/>
        <v>#N/A</v>
      </c>
      <c r="AD653" s="323" t="e">
        <f t="shared" ca="1" si="316"/>
        <v>#N/A</v>
      </c>
      <c r="AE653" s="324">
        <f t="shared" ca="1" si="295"/>
        <v>-1.8069279737202659</v>
      </c>
      <c r="AG653" s="306">
        <f t="shared" ca="1" si="317"/>
        <v>6.3215081178826171</v>
      </c>
      <c r="AH653" s="304">
        <f t="shared" ca="1" si="318"/>
        <v>-3.4605761259081889</v>
      </c>
    </row>
    <row r="654" spans="1:34" x14ac:dyDescent="0.2">
      <c r="A654" s="347">
        <f t="shared" ca="1" si="296"/>
        <v>1E-4</v>
      </c>
      <c r="B654" s="304">
        <f t="shared" ca="1" si="297"/>
        <v>12.034999999999894</v>
      </c>
      <c r="D654" s="306">
        <f t="shared" ca="1" si="298"/>
        <v>-0.26088375653322571</v>
      </c>
      <c r="E654" s="307">
        <f t="shared" ca="1" si="299"/>
        <v>-6.3591851244436857</v>
      </c>
      <c r="F654" s="304">
        <f t="shared" ca="1" si="300"/>
        <v>6.3645342155863016</v>
      </c>
      <c r="G654" s="306">
        <f t="shared" ca="1" si="301"/>
        <v>3.9080730801438506</v>
      </c>
      <c r="H654" s="307">
        <f t="shared" ca="1" si="302"/>
        <v>-51.694642954779624</v>
      </c>
      <c r="I654" s="304">
        <f t="shared" ca="1" si="303"/>
        <v>51.842156064557074</v>
      </c>
      <c r="J654" s="306">
        <f t="shared" ca="1" si="304"/>
        <v>56.288824373840264</v>
      </c>
      <c r="K654" s="307">
        <f t="shared" ca="1" si="305"/>
        <v>-1.8120974062198183</v>
      </c>
      <c r="L654" s="304">
        <f t="shared" ca="1" si="290"/>
        <v>56.31798510599134</v>
      </c>
      <c r="M654" s="306">
        <f t="shared" ca="1" si="306"/>
        <v>-1.4953406684210007</v>
      </c>
      <c r="N654" s="304">
        <f t="shared" ca="1" si="307"/>
        <v>-85.676709234794799</v>
      </c>
      <c r="P654" s="310">
        <f t="shared" ca="1" si="308"/>
        <v>23</v>
      </c>
      <c r="Q654" s="304">
        <f t="shared" ca="1" si="309"/>
        <v>0</v>
      </c>
      <c r="R654" s="306">
        <f t="shared" ca="1" si="310"/>
        <v>0</v>
      </c>
      <c r="S654" s="307">
        <f t="shared" ca="1" si="311"/>
        <v>2.0843000000000003</v>
      </c>
      <c r="T654" s="304">
        <f t="shared" ca="1" si="291"/>
        <v>20.446983000000003</v>
      </c>
      <c r="U654" s="311">
        <f t="shared" ca="1" si="292"/>
        <v>0</v>
      </c>
      <c r="V654" s="306">
        <f t="shared" ca="1" si="293"/>
        <v>1.2252220020467284</v>
      </c>
      <c r="W654" s="304">
        <f t="shared" ca="1" si="294"/>
        <v>7.213238095835087</v>
      </c>
      <c r="Y654" s="314" t="str">
        <f t="shared" ca="1" si="312"/>
        <v/>
      </c>
      <c r="Z654" s="315" t="str">
        <f t="shared" ca="1" si="313"/>
        <v/>
      </c>
      <c r="AA654" s="316" t="str">
        <f t="shared" ca="1" si="314"/>
        <v/>
      </c>
      <c r="AC654" s="310" t="e">
        <f t="shared" ca="1" si="315"/>
        <v>#N/A</v>
      </c>
      <c r="AD654" s="323" t="e">
        <f t="shared" ca="1" si="316"/>
        <v>#N/A</v>
      </c>
      <c r="AE654" s="324">
        <f t="shared" ca="1" si="295"/>
        <v>-1.8120974062198183</v>
      </c>
      <c r="AG654" s="306">
        <f t="shared" ca="1" si="317"/>
        <v>6.3214229864789573</v>
      </c>
      <c r="AH654" s="304">
        <f t="shared" ca="1" si="318"/>
        <v>-3.4606623123014515</v>
      </c>
    </row>
    <row r="655" spans="1:34" x14ac:dyDescent="0.2">
      <c r="A655" s="347">
        <f t="shared" ca="1" si="296"/>
        <v>1E-4</v>
      </c>
      <c r="B655" s="304">
        <f t="shared" ca="1" si="297"/>
        <v>12.035099999999893</v>
      </c>
      <c r="D655" s="306">
        <f t="shared" ca="1" si="298"/>
        <v>-0.26088533100486272</v>
      </c>
      <c r="E655" s="307">
        <f t="shared" ca="1" si="299"/>
        <v>-6.359098811135981</v>
      </c>
      <c r="F655" s="304">
        <f t="shared" ca="1" si="300"/>
        <v>6.3644480393608811</v>
      </c>
      <c r="G655" s="306">
        <f t="shared" ca="1" si="301"/>
        <v>3.9080469916107501</v>
      </c>
      <c r="H655" s="307">
        <f t="shared" ca="1" si="302"/>
        <v>-51.695278864660736</v>
      </c>
      <c r="I655" s="304">
        <f t="shared" ca="1" si="303"/>
        <v>51.842788198395318</v>
      </c>
      <c r="J655" s="306">
        <f t="shared" ca="1" si="304"/>
        <v>56.288824373840264</v>
      </c>
      <c r="K655" s="307">
        <f t="shared" ca="1" si="305"/>
        <v>-1.8172669023107904</v>
      </c>
      <c r="L655" s="304">
        <f t="shared" ca="1" si="290"/>
        <v>56.318151677618722</v>
      </c>
      <c r="M655" s="306">
        <f t="shared" ca="1" si="306"/>
        <v>-1.4953420948832343</v>
      </c>
      <c r="N655" s="304">
        <f t="shared" ca="1" si="307"/>
        <v>-85.67679096506042</v>
      </c>
      <c r="P655" s="310">
        <f t="shared" ca="1" si="308"/>
        <v>23</v>
      </c>
      <c r="Q655" s="304">
        <f t="shared" ca="1" si="309"/>
        <v>0</v>
      </c>
      <c r="R655" s="306">
        <f t="shared" ca="1" si="310"/>
        <v>0</v>
      </c>
      <c r="S655" s="307">
        <f t="shared" ca="1" si="311"/>
        <v>2.0843000000000003</v>
      </c>
      <c r="T655" s="304">
        <f t="shared" ca="1" si="291"/>
        <v>20.446983000000003</v>
      </c>
      <c r="U655" s="311">
        <f t="shared" ca="1" si="292"/>
        <v>0</v>
      </c>
      <c r="V655" s="306">
        <f t="shared" ca="1" si="293"/>
        <v>1.2252226354249327</v>
      </c>
      <c r="W655" s="304">
        <f t="shared" ca="1" si="294"/>
        <v>7.2134177341458727</v>
      </c>
      <c r="Y655" s="314" t="str">
        <f t="shared" ca="1" si="312"/>
        <v/>
      </c>
      <c r="Z655" s="315" t="str">
        <f t="shared" ca="1" si="313"/>
        <v/>
      </c>
      <c r="AA655" s="316" t="str">
        <f t="shared" ca="1" si="314"/>
        <v/>
      </c>
      <c r="AC655" s="310" t="e">
        <f t="shared" ca="1" si="315"/>
        <v>#N/A</v>
      </c>
      <c r="AD655" s="323" t="e">
        <f t="shared" ca="1" si="316"/>
        <v>#N/A</v>
      </c>
      <c r="AE655" s="324">
        <f t="shared" ca="1" si="295"/>
        <v>-1.8172669023107904</v>
      </c>
      <c r="AG655" s="306">
        <f t="shared" ca="1" si="317"/>
        <v>6.3213378550198884</v>
      </c>
      <c r="AH655" s="304">
        <f t="shared" ca="1" si="318"/>
        <v>-3.4607484986974457</v>
      </c>
    </row>
    <row r="656" spans="1:34" x14ac:dyDescent="0.2">
      <c r="A656" s="347">
        <f t="shared" ca="1" si="296"/>
        <v>1E-4</v>
      </c>
      <c r="B656" s="304">
        <f t="shared" ca="1" si="297"/>
        <v>12.035199999999893</v>
      </c>
      <c r="D656" s="306">
        <f t="shared" ca="1" si="298"/>
        <v>-0.26088690538389503</v>
      </c>
      <c r="E656" s="307">
        <f t="shared" ca="1" si="299"/>
        <v>-6.3590124978256348</v>
      </c>
      <c r="F656" s="304">
        <f t="shared" ca="1" si="300"/>
        <v>6.36436186313313</v>
      </c>
      <c r="G656" s="306">
        <f t="shared" ca="1" si="301"/>
        <v>3.9080209029202115</v>
      </c>
      <c r="H656" s="307">
        <f t="shared" ca="1" si="302"/>
        <v>-51.695914765910516</v>
      </c>
      <c r="I656" s="304">
        <f t="shared" ca="1" si="303"/>
        <v>51.843420323720409</v>
      </c>
      <c r="J656" s="306">
        <f t="shared" ca="1" si="304"/>
        <v>56.288824373840264</v>
      </c>
      <c r="K656" s="307">
        <f t="shared" ca="1" si="305"/>
        <v>-1.822436461992319</v>
      </c>
      <c r="L656" s="304">
        <f t="shared" ca="1" si="290"/>
        <v>56.318318725322698</v>
      </c>
      <c r="M656" s="306">
        <f t="shared" ca="1" si="306"/>
        <v>-1.4953435213011599</v>
      </c>
      <c r="N656" s="304">
        <f t="shared" ca="1" si="307"/>
        <v>-85.67687269278737</v>
      </c>
      <c r="P656" s="310">
        <f t="shared" ca="1" si="308"/>
        <v>23</v>
      </c>
      <c r="Q656" s="304">
        <f t="shared" ca="1" si="309"/>
        <v>0</v>
      </c>
      <c r="R656" s="306">
        <f t="shared" ca="1" si="310"/>
        <v>0</v>
      </c>
      <c r="S656" s="307">
        <f t="shared" ca="1" si="311"/>
        <v>2.0843000000000003</v>
      </c>
      <c r="T656" s="304">
        <f t="shared" ca="1" si="291"/>
        <v>20.446983000000003</v>
      </c>
      <c r="U656" s="311">
        <f t="shared" ca="1" si="292"/>
        <v>0</v>
      </c>
      <c r="V656" s="306">
        <f t="shared" ca="1" si="293"/>
        <v>1.2252232688112554</v>
      </c>
      <c r="W656" s="304">
        <f t="shared" ca="1" si="294"/>
        <v>7.2135973724621811</v>
      </c>
      <c r="Y656" s="314" t="str">
        <f t="shared" ca="1" si="312"/>
        <v/>
      </c>
      <c r="Z656" s="315" t="str">
        <f t="shared" ca="1" si="313"/>
        <v/>
      </c>
      <c r="AA656" s="316" t="str">
        <f t="shared" ca="1" si="314"/>
        <v/>
      </c>
      <c r="AC656" s="310" t="e">
        <f t="shared" ca="1" si="315"/>
        <v>#N/A</v>
      </c>
      <c r="AD656" s="323" t="e">
        <f t="shared" ca="1" si="316"/>
        <v>#N/A</v>
      </c>
      <c r="AE656" s="324">
        <f t="shared" ca="1" si="295"/>
        <v>-1.822436461992319</v>
      </c>
      <c r="AG656" s="306">
        <f t="shared" ca="1" si="317"/>
        <v>6.3212527235054532</v>
      </c>
      <c r="AH656" s="304">
        <f t="shared" ca="1" si="318"/>
        <v>-3.4608346850961338</v>
      </c>
    </row>
    <row r="657" spans="1:34" x14ac:dyDescent="0.2">
      <c r="A657" s="347">
        <f t="shared" ca="1" si="296"/>
        <v>1E-4</v>
      </c>
      <c r="B657" s="304">
        <f t="shared" ca="1" si="297"/>
        <v>12.035299999999893</v>
      </c>
      <c r="D657" s="306">
        <f t="shared" ca="1" si="298"/>
        <v>-0.26088847967032319</v>
      </c>
      <c r="E657" s="307">
        <f t="shared" ca="1" si="299"/>
        <v>-6.3589261845126925</v>
      </c>
      <c r="F657" s="304">
        <f t="shared" ca="1" si="300"/>
        <v>6.3642756869030936</v>
      </c>
      <c r="G657" s="306">
        <f t="shared" ca="1" si="301"/>
        <v>3.9079948140722447</v>
      </c>
      <c r="H657" s="307">
        <f t="shared" ca="1" si="302"/>
        <v>-51.69655065852897</v>
      </c>
      <c r="I657" s="304">
        <f t="shared" ca="1" si="303"/>
        <v>51.844052440532344</v>
      </c>
      <c r="J657" s="306">
        <f t="shared" ca="1" si="304"/>
        <v>56.288824373840264</v>
      </c>
      <c r="K657" s="307">
        <f t="shared" ca="1" si="305"/>
        <v>-1.827606085263541</v>
      </c>
      <c r="L657" s="304">
        <f t="shared" ca="1" si="290"/>
        <v>56.318486249116518</v>
      </c>
      <c r="M657" s="306">
        <f t="shared" ca="1" si="306"/>
        <v>-1.4953449476747795</v>
      </c>
      <c r="N657" s="304">
        <f t="shared" ca="1" si="307"/>
        <v>-85.676954417975793</v>
      </c>
      <c r="P657" s="310">
        <f t="shared" ca="1" si="308"/>
        <v>23</v>
      </c>
      <c r="Q657" s="304">
        <f t="shared" ca="1" si="309"/>
        <v>0</v>
      </c>
      <c r="R657" s="306">
        <f t="shared" ca="1" si="310"/>
        <v>0</v>
      </c>
      <c r="S657" s="307">
        <f t="shared" ca="1" si="311"/>
        <v>2.0843000000000003</v>
      </c>
      <c r="T657" s="304">
        <f t="shared" ca="1" si="291"/>
        <v>20.446983000000003</v>
      </c>
      <c r="U657" s="311">
        <f t="shared" ca="1" si="292"/>
        <v>0</v>
      </c>
      <c r="V657" s="306">
        <f t="shared" ca="1" si="293"/>
        <v>1.2252239022056963</v>
      </c>
      <c r="W657" s="304">
        <f t="shared" ca="1" si="294"/>
        <v>7.2137770107839296</v>
      </c>
      <c r="Y657" s="314" t="str">
        <f t="shared" ca="1" si="312"/>
        <v/>
      </c>
      <c r="Z657" s="315" t="str">
        <f t="shared" ca="1" si="313"/>
        <v/>
      </c>
      <c r="AA657" s="316" t="str">
        <f t="shared" ca="1" si="314"/>
        <v/>
      </c>
      <c r="AC657" s="310" t="e">
        <f t="shared" ca="1" si="315"/>
        <v>#N/A</v>
      </c>
      <c r="AD657" s="323" t="e">
        <f t="shared" ca="1" si="316"/>
        <v>#N/A</v>
      </c>
      <c r="AE657" s="324">
        <f t="shared" ca="1" si="295"/>
        <v>-1.827606085263541</v>
      </c>
      <c r="AG657" s="306">
        <f t="shared" ca="1" si="317"/>
        <v>6.3211675919356978</v>
      </c>
      <c r="AH657" s="304">
        <f t="shared" ca="1" si="318"/>
        <v>-3.4609208714974717</v>
      </c>
    </row>
    <row r="658" spans="1:34" x14ac:dyDescent="0.2">
      <c r="A658" s="347">
        <f t="shared" ca="1" si="296"/>
        <v>1E-4</v>
      </c>
      <c r="B658" s="304">
        <f t="shared" ca="1" si="297"/>
        <v>12.035399999999893</v>
      </c>
      <c r="D658" s="306">
        <f t="shared" ca="1" si="298"/>
        <v>-0.26089005386414782</v>
      </c>
      <c r="E658" s="307">
        <f t="shared" ca="1" si="299"/>
        <v>-6.3588398711971941</v>
      </c>
      <c r="F658" s="304">
        <f t="shared" ca="1" si="300"/>
        <v>6.3641895106708111</v>
      </c>
      <c r="G658" s="306">
        <f t="shared" ca="1" si="301"/>
        <v>3.9079687250668584</v>
      </c>
      <c r="H658" s="307">
        <f t="shared" ca="1" si="302"/>
        <v>-51.697186542516093</v>
      </c>
      <c r="I658" s="304">
        <f t="shared" ca="1" si="303"/>
        <v>51.844684548831111</v>
      </c>
      <c r="J658" s="306">
        <f t="shared" ca="1" si="304"/>
        <v>56.288824373840264</v>
      </c>
      <c r="K658" s="307">
        <f t="shared" ca="1" si="305"/>
        <v>-1.8327757721235931</v>
      </c>
      <c r="L658" s="304">
        <f t="shared" ca="1" si="290"/>
        <v>56.31865424901342</v>
      </c>
      <c r="M658" s="306">
        <f t="shared" ca="1" si="306"/>
        <v>-1.4953463740040955</v>
      </c>
      <c r="N658" s="304">
        <f t="shared" ca="1" si="307"/>
        <v>-85.677036140625788</v>
      </c>
      <c r="P658" s="310">
        <f t="shared" ca="1" si="308"/>
        <v>23</v>
      </c>
      <c r="Q658" s="304">
        <f t="shared" ca="1" si="309"/>
        <v>0</v>
      </c>
      <c r="R658" s="306">
        <f t="shared" ca="1" si="310"/>
        <v>0</v>
      </c>
      <c r="S658" s="307">
        <f t="shared" ca="1" si="311"/>
        <v>2.0843000000000003</v>
      </c>
      <c r="T658" s="304">
        <f t="shared" ca="1" si="291"/>
        <v>20.446983000000003</v>
      </c>
      <c r="U658" s="311">
        <f t="shared" ca="1" si="292"/>
        <v>0</v>
      </c>
      <c r="V658" s="306">
        <f t="shared" ca="1" si="293"/>
        <v>1.2252245356082565</v>
      </c>
      <c r="W658" s="304">
        <f t="shared" ca="1" si="294"/>
        <v>7.213956649111033</v>
      </c>
      <c r="Y658" s="314" t="str">
        <f t="shared" ca="1" si="312"/>
        <v/>
      </c>
      <c r="Z658" s="315" t="str">
        <f t="shared" ca="1" si="313"/>
        <v/>
      </c>
      <c r="AA658" s="316" t="str">
        <f t="shared" ca="1" si="314"/>
        <v/>
      </c>
      <c r="AC658" s="310" t="e">
        <f t="shared" ca="1" si="315"/>
        <v>#N/A</v>
      </c>
      <c r="AD658" s="323" t="e">
        <f t="shared" ca="1" si="316"/>
        <v>#N/A</v>
      </c>
      <c r="AE658" s="324">
        <f t="shared" ca="1" si="295"/>
        <v>-1.8327757721235931</v>
      </c>
      <c r="AG658" s="306">
        <f t="shared" ca="1" si="317"/>
        <v>6.3210824603106683</v>
      </c>
      <c r="AH658" s="304">
        <f t="shared" ca="1" si="318"/>
        <v>-3.4610070579014196</v>
      </c>
    </row>
    <row r="659" spans="1:34" x14ac:dyDescent="0.2">
      <c r="A659" s="347">
        <f t="shared" ca="1" si="296"/>
        <v>1E-4</v>
      </c>
      <c r="B659" s="304">
        <f t="shared" ca="1" si="297"/>
        <v>12.035499999999892</v>
      </c>
      <c r="D659" s="306">
        <f t="shared" ca="1" si="298"/>
        <v>-0.2608916279653698</v>
      </c>
      <c r="E659" s="307">
        <f t="shared" ca="1" si="299"/>
        <v>-6.3587535578791812</v>
      </c>
      <c r="F659" s="304">
        <f t="shared" ca="1" si="300"/>
        <v>6.3641033344363258</v>
      </c>
      <c r="G659" s="306">
        <f t="shared" ca="1" si="301"/>
        <v>3.9079426359040621</v>
      </c>
      <c r="H659" s="307">
        <f t="shared" ca="1" si="302"/>
        <v>-51.697822417871883</v>
      </c>
      <c r="I659" s="304">
        <f t="shared" ca="1" si="303"/>
        <v>51.845316648616709</v>
      </c>
      <c r="J659" s="306">
        <f t="shared" ca="1" si="304"/>
        <v>56.288824373840264</v>
      </c>
      <c r="K659" s="307">
        <f t="shared" ca="1" si="305"/>
        <v>-1.8379455225716126</v>
      </c>
      <c r="L659" s="304">
        <f t="shared" ca="1" si="290"/>
        <v>56.318822725026621</v>
      </c>
      <c r="M659" s="306">
        <f t="shared" ca="1" si="306"/>
        <v>-1.4953478002891099</v>
      </c>
      <c r="N659" s="304">
        <f t="shared" ca="1" si="307"/>
        <v>-85.677117860737496</v>
      </c>
      <c r="P659" s="310">
        <f t="shared" ca="1" si="308"/>
        <v>23</v>
      </c>
      <c r="Q659" s="304">
        <f t="shared" ca="1" si="309"/>
        <v>0</v>
      </c>
      <c r="R659" s="306">
        <f t="shared" ca="1" si="310"/>
        <v>0</v>
      </c>
      <c r="S659" s="307">
        <f t="shared" ca="1" si="311"/>
        <v>2.0843000000000003</v>
      </c>
      <c r="T659" s="304">
        <f t="shared" ca="1" si="291"/>
        <v>20.446983000000003</v>
      </c>
      <c r="U659" s="311">
        <f t="shared" ca="1" si="292"/>
        <v>0</v>
      </c>
      <c r="V659" s="306">
        <f t="shared" ca="1" si="293"/>
        <v>1.2252251690189349</v>
      </c>
      <c r="W659" s="304">
        <f t="shared" ca="1" si="294"/>
        <v>7.214136287443405</v>
      </c>
      <c r="Y659" s="314" t="str">
        <f t="shared" ca="1" si="312"/>
        <v/>
      </c>
      <c r="Z659" s="315" t="str">
        <f t="shared" ca="1" si="313"/>
        <v/>
      </c>
      <c r="AA659" s="316" t="str">
        <f t="shared" ca="1" si="314"/>
        <v/>
      </c>
      <c r="AC659" s="310" t="e">
        <f t="shared" ca="1" si="315"/>
        <v>#N/A</v>
      </c>
      <c r="AD659" s="323" t="e">
        <f t="shared" ca="1" si="316"/>
        <v>#N/A</v>
      </c>
      <c r="AE659" s="324">
        <f t="shared" ca="1" si="295"/>
        <v>-1.8379455225716126</v>
      </c>
      <c r="AG659" s="306">
        <f t="shared" ca="1" si="317"/>
        <v>6.3209973286304022</v>
      </c>
      <c r="AH659" s="304">
        <f t="shared" ca="1" si="318"/>
        <v>-3.4610932443079365</v>
      </c>
    </row>
    <row r="660" spans="1:34" x14ac:dyDescent="0.2">
      <c r="A660" s="347">
        <f t="shared" ca="1" si="296"/>
        <v>1E-4</v>
      </c>
      <c r="B660" s="304">
        <f t="shared" ca="1" si="297"/>
        <v>12.035599999999892</v>
      </c>
      <c r="D660" s="306">
        <f t="shared" ca="1" si="298"/>
        <v>-0.26089320197399041</v>
      </c>
      <c r="E660" s="307">
        <f t="shared" ca="1" si="299"/>
        <v>-6.3586672445586938</v>
      </c>
      <c r="F660" s="304">
        <f t="shared" ca="1" si="300"/>
        <v>6.3640171581996769</v>
      </c>
      <c r="G660" s="306">
        <f t="shared" ca="1" si="301"/>
        <v>3.9079165465838646</v>
      </c>
      <c r="H660" s="307">
        <f t="shared" ca="1" si="302"/>
        <v>-51.698458284596342</v>
      </c>
      <c r="I660" s="304">
        <f t="shared" ca="1" si="303"/>
        <v>51.845948739889138</v>
      </c>
      <c r="J660" s="306">
        <f t="shared" ca="1" si="304"/>
        <v>56.288824373840264</v>
      </c>
      <c r="K660" s="307">
        <f t="shared" ca="1" si="305"/>
        <v>-1.8431153366067361</v>
      </c>
      <c r="L660" s="304">
        <f t="shared" ca="1" si="290"/>
        <v>56.318991677169336</v>
      </c>
      <c r="M660" s="306">
        <f t="shared" ca="1" si="306"/>
        <v>-1.4953492265298247</v>
      </c>
      <c r="N660" s="304">
        <f t="shared" ca="1" si="307"/>
        <v>-85.677199578311033</v>
      </c>
      <c r="P660" s="310">
        <f t="shared" ca="1" si="308"/>
        <v>23</v>
      </c>
      <c r="Q660" s="304">
        <f t="shared" ca="1" si="309"/>
        <v>0</v>
      </c>
      <c r="R660" s="306">
        <f t="shared" ca="1" si="310"/>
        <v>0</v>
      </c>
      <c r="S660" s="307">
        <f t="shared" ca="1" si="311"/>
        <v>2.0843000000000003</v>
      </c>
      <c r="T660" s="304">
        <f t="shared" ca="1" si="291"/>
        <v>20.446983000000003</v>
      </c>
      <c r="U660" s="311">
        <f t="shared" ca="1" si="292"/>
        <v>0</v>
      </c>
      <c r="V660" s="306">
        <f t="shared" ca="1" si="293"/>
        <v>1.2252258024377314</v>
      </c>
      <c r="W660" s="304">
        <f t="shared" ca="1" si="294"/>
        <v>7.2143159257809613</v>
      </c>
      <c r="Y660" s="314" t="str">
        <f t="shared" ca="1" si="312"/>
        <v/>
      </c>
      <c r="Z660" s="315" t="str">
        <f t="shared" ca="1" si="313"/>
        <v/>
      </c>
      <c r="AA660" s="316" t="str">
        <f t="shared" ca="1" si="314"/>
        <v/>
      </c>
      <c r="AC660" s="310" t="e">
        <f t="shared" ca="1" si="315"/>
        <v>#N/A</v>
      </c>
      <c r="AD660" s="323" t="e">
        <f t="shared" ca="1" si="316"/>
        <v>#N/A</v>
      </c>
      <c r="AE660" s="324">
        <f t="shared" ca="1" si="295"/>
        <v>-1.8431153366067361</v>
      </c>
      <c r="AG660" s="306">
        <f t="shared" ca="1" si="317"/>
        <v>6.3209121968949535</v>
      </c>
      <c r="AH660" s="304">
        <f t="shared" ca="1" si="318"/>
        <v>-3.4611794307169812</v>
      </c>
    </row>
    <row r="661" spans="1:34" x14ac:dyDescent="0.2">
      <c r="A661" s="347">
        <f t="shared" ca="1" si="296"/>
        <v>1E-4</v>
      </c>
      <c r="B661" s="304">
        <f t="shared" ca="1" si="297"/>
        <v>12.035699999999892</v>
      </c>
      <c r="D661" s="306">
        <f t="shared" ca="1" si="298"/>
        <v>-0.26089477589001037</v>
      </c>
      <c r="E661" s="307">
        <f t="shared" ca="1" si="299"/>
        <v>-6.3585809312357728</v>
      </c>
      <c r="F661" s="304">
        <f t="shared" ca="1" si="300"/>
        <v>6.3639309819609053</v>
      </c>
      <c r="G661" s="306">
        <f t="shared" ca="1" si="301"/>
        <v>3.9078904571062756</v>
      </c>
      <c r="H661" s="307">
        <f t="shared" ca="1" si="302"/>
        <v>-51.699094142689468</v>
      </c>
      <c r="I661" s="304">
        <f t="shared" ca="1" si="303"/>
        <v>51.846580822648377</v>
      </c>
      <c r="J661" s="306">
        <f t="shared" ca="1" si="304"/>
        <v>56.288824373840264</v>
      </c>
      <c r="K661" s="307">
        <f t="shared" ca="1" si="305"/>
        <v>-1.8482852142281003</v>
      </c>
      <c r="L661" s="304">
        <f t="shared" ca="1" si="290"/>
        <v>56.319161105454761</v>
      </c>
      <c r="M661" s="306">
        <f t="shared" ca="1" si="306"/>
        <v>-1.4953506527262423</v>
      </c>
      <c r="N661" s="304">
        <f t="shared" ca="1" si="307"/>
        <v>-85.67728129334651</v>
      </c>
      <c r="P661" s="310">
        <f t="shared" ca="1" si="308"/>
        <v>23</v>
      </c>
      <c r="Q661" s="304">
        <f t="shared" ca="1" si="309"/>
        <v>0</v>
      </c>
      <c r="R661" s="306">
        <f t="shared" ca="1" si="310"/>
        <v>0</v>
      </c>
      <c r="S661" s="307">
        <f t="shared" ca="1" si="311"/>
        <v>2.0843000000000003</v>
      </c>
      <c r="T661" s="304">
        <f t="shared" ca="1" si="291"/>
        <v>20.446983000000003</v>
      </c>
      <c r="U661" s="311">
        <f t="shared" ca="1" si="292"/>
        <v>0</v>
      </c>
      <c r="V661" s="306">
        <f t="shared" ca="1" si="293"/>
        <v>1.2252264358646463</v>
      </c>
      <c r="W661" s="304">
        <f t="shared" ca="1" si="294"/>
        <v>7.2144955641236148</v>
      </c>
      <c r="Y661" s="314" t="str">
        <f t="shared" ca="1" si="312"/>
        <v/>
      </c>
      <c r="Z661" s="315" t="str">
        <f t="shared" ca="1" si="313"/>
        <v/>
      </c>
      <c r="AA661" s="316" t="str">
        <f t="shared" ca="1" si="314"/>
        <v/>
      </c>
      <c r="AC661" s="310" t="e">
        <f t="shared" ca="1" si="315"/>
        <v>#N/A</v>
      </c>
      <c r="AD661" s="323" t="e">
        <f t="shared" ca="1" si="316"/>
        <v>#N/A</v>
      </c>
      <c r="AE661" s="324">
        <f t="shared" ca="1" si="295"/>
        <v>-1.8482852142281003</v>
      </c>
      <c r="AG661" s="306">
        <f t="shared" ca="1" si="317"/>
        <v>6.3208270651043588</v>
      </c>
      <c r="AH661" s="304">
        <f t="shared" ca="1" si="318"/>
        <v>-3.4612656171285132</v>
      </c>
    </row>
    <row r="662" spans="1:34" x14ac:dyDescent="0.2">
      <c r="A662" s="347">
        <f t="shared" ca="1" si="296"/>
        <v>1E-4</v>
      </c>
      <c r="B662" s="304">
        <f t="shared" ca="1" si="297"/>
        <v>12.035799999999892</v>
      </c>
      <c r="D662" s="306">
        <f t="shared" ca="1" si="298"/>
        <v>-0.2608963497134304</v>
      </c>
      <c r="E662" s="307">
        <f t="shared" ca="1" si="299"/>
        <v>-6.3584946179104609</v>
      </c>
      <c r="F662" s="304">
        <f t="shared" ca="1" si="300"/>
        <v>6.3638448057200527</v>
      </c>
      <c r="G662" s="306">
        <f t="shared" ca="1" si="301"/>
        <v>3.9078643674713041</v>
      </c>
      <c r="H662" s="307">
        <f t="shared" ca="1" si="302"/>
        <v>-51.699729992151262</v>
      </c>
      <c r="I662" s="304">
        <f t="shared" ca="1" si="303"/>
        <v>51.847212896894433</v>
      </c>
      <c r="J662" s="306">
        <f t="shared" ca="1" si="304"/>
        <v>56.288824373840264</v>
      </c>
      <c r="K662" s="307">
        <f t="shared" ca="1" si="305"/>
        <v>-1.8534551554348424</v>
      </c>
      <c r="L662" s="304">
        <f t="shared" ca="1" si="290"/>
        <v>56.319331009896075</v>
      </c>
      <c r="M662" s="306">
        <f t="shared" ca="1" si="306"/>
        <v>-1.4953520788783647</v>
      </c>
      <c r="N662" s="304">
        <f t="shared" ca="1" si="307"/>
        <v>-85.677363005844072</v>
      </c>
      <c r="P662" s="310">
        <f t="shared" ca="1" si="308"/>
        <v>23</v>
      </c>
      <c r="Q662" s="304">
        <f t="shared" ca="1" si="309"/>
        <v>0</v>
      </c>
      <c r="R662" s="306">
        <f t="shared" ca="1" si="310"/>
        <v>0</v>
      </c>
      <c r="S662" s="307">
        <f t="shared" ca="1" si="311"/>
        <v>2.0843000000000003</v>
      </c>
      <c r="T662" s="304">
        <f t="shared" ca="1" si="291"/>
        <v>20.446983000000003</v>
      </c>
      <c r="U662" s="311">
        <f t="shared" ca="1" si="292"/>
        <v>0</v>
      </c>
      <c r="V662" s="306">
        <f t="shared" ca="1" si="293"/>
        <v>1.225227069299679</v>
      </c>
      <c r="W662" s="304">
        <f t="shared" ca="1" si="294"/>
        <v>7.2146752024712768</v>
      </c>
      <c r="Y662" s="314" t="str">
        <f t="shared" ca="1" si="312"/>
        <v/>
      </c>
      <c r="Z662" s="315" t="str">
        <f t="shared" ca="1" si="313"/>
        <v/>
      </c>
      <c r="AA662" s="316" t="str">
        <f t="shared" ca="1" si="314"/>
        <v/>
      </c>
      <c r="AC662" s="310" t="e">
        <f t="shared" ca="1" si="315"/>
        <v>#N/A</v>
      </c>
      <c r="AD662" s="323" t="e">
        <f t="shared" ca="1" si="316"/>
        <v>#N/A</v>
      </c>
      <c r="AE662" s="324">
        <f t="shared" ca="1" si="295"/>
        <v>-1.8534551554348424</v>
      </c>
      <c r="AG662" s="306">
        <f t="shared" ca="1" si="317"/>
        <v>6.3207419332586658</v>
      </c>
      <c r="AH662" s="304">
        <f t="shared" ca="1" si="318"/>
        <v>-3.4613518035424908</v>
      </c>
    </row>
    <row r="663" spans="1:34" x14ac:dyDescent="0.2">
      <c r="A663" s="347">
        <f t="shared" ca="1" si="296"/>
        <v>1E-4</v>
      </c>
      <c r="B663" s="304">
        <f t="shared" ca="1" si="297"/>
        <v>12.035899999999891</v>
      </c>
      <c r="D663" s="306">
        <f t="shared" ca="1" si="298"/>
        <v>-0.26089792344425167</v>
      </c>
      <c r="E663" s="307">
        <f t="shared" ca="1" si="299"/>
        <v>-6.3584083045827988</v>
      </c>
      <c r="F663" s="304">
        <f t="shared" ca="1" si="300"/>
        <v>6.36375862947716</v>
      </c>
      <c r="G663" s="306">
        <f t="shared" ca="1" si="301"/>
        <v>3.9078382776789597</v>
      </c>
      <c r="H663" s="307">
        <f t="shared" ca="1" si="302"/>
        <v>-51.700365832981717</v>
      </c>
      <c r="I663" s="304">
        <f t="shared" ca="1" si="303"/>
        <v>51.847844962627292</v>
      </c>
      <c r="J663" s="306">
        <f t="shared" ca="1" si="304"/>
        <v>56.288824373840264</v>
      </c>
      <c r="K663" s="307">
        <f t="shared" ca="1" si="305"/>
        <v>-1.858625160226099</v>
      </c>
      <c r="L663" s="304">
        <f t="shared" ca="1" si="290"/>
        <v>56.31950139050646</v>
      </c>
      <c r="M663" s="306">
        <f t="shared" ca="1" si="306"/>
        <v>-1.4953535049861943</v>
      </c>
      <c r="N663" s="304">
        <f t="shared" ca="1" si="307"/>
        <v>-85.677444715803844</v>
      </c>
      <c r="P663" s="310">
        <f t="shared" ca="1" si="308"/>
        <v>23</v>
      </c>
      <c r="Q663" s="304">
        <f t="shared" ca="1" si="309"/>
        <v>0</v>
      </c>
      <c r="R663" s="306">
        <f t="shared" ca="1" si="310"/>
        <v>0</v>
      </c>
      <c r="S663" s="307">
        <f t="shared" ca="1" si="311"/>
        <v>2.0843000000000003</v>
      </c>
      <c r="T663" s="304">
        <f t="shared" ca="1" si="291"/>
        <v>20.446983000000003</v>
      </c>
      <c r="U663" s="311">
        <f t="shared" ca="1" si="292"/>
        <v>0</v>
      </c>
      <c r="V663" s="306">
        <f t="shared" ca="1" si="293"/>
        <v>1.22522770274283</v>
      </c>
      <c r="W663" s="304">
        <f t="shared" ca="1" si="294"/>
        <v>7.2148548408238655</v>
      </c>
      <c r="Y663" s="314" t="str">
        <f t="shared" ca="1" si="312"/>
        <v/>
      </c>
      <c r="Z663" s="315" t="str">
        <f t="shared" ca="1" si="313"/>
        <v/>
      </c>
      <c r="AA663" s="316" t="str">
        <f t="shared" ca="1" si="314"/>
        <v/>
      </c>
      <c r="AC663" s="310" t="e">
        <f t="shared" ca="1" si="315"/>
        <v>#N/A</v>
      </c>
      <c r="AD663" s="323" t="e">
        <f t="shared" ca="1" si="316"/>
        <v>#N/A</v>
      </c>
      <c r="AE663" s="324">
        <f t="shared" ca="1" si="295"/>
        <v>-1.858625160226099</v>
      </c>
      <c r="AG663" s="306">
        <f t="shared" ca="1" si="317"/>
        <v>6.320656801357921</v>
      </c>
      <c r="AH663" s="304">
        <f t="shared" ca="1" si="318"/>
        <v>-3.4614379899588714</v>
      </c>
    </row>
    <row r="664" spans="1:34" x14ac:dyDescent="0.2">
      <c r="A664" s="347">
        <f t="shared" ca="1" si="296"/>
        <v>1E-4</v>
      </c>
      <c r="B664" s="304">
        <f t="shared" ca="1" si="297"/>
        <v>12.035999999999891</v>
      </c>
      <c r="D664" s="306">
        <f t="shared" ca="1" si="298"/>
        <v>-0.2608994970824744</v>
      </c>
      <c r="E664" s="307">
        <f t="shared" ca="1" si="299"/>
        <v>-6.3583219912528284</v>
      </c>
      <c r="F664" s="304">
        <f t="shared" ca="1" si="300"/>
        <v>6.3636724532322706</v>
      </c>
      <c r="G664" s="306">
        <f t="shared" ca="1" si="301"/>
        <v>3.9078121877292515</v>
      </c>
      <c r="H664" s="307">
        <f t="shared" ca="1" si="302"/>
        <v>-51.70100166518084</v>
      </c>
      <c r="I664" s="304">
        <f t="shared" ca="1" si="303"/>
        <v>51.848477019846953</v>
      </c>
      <c r="J664" s="306">
        <f t="shared" ca="1" si="304"/>
        <v>56.288824373840264</v>
      </c>
      <c r="K664" s="307">
        <f t="shared" ca="1" si="305"/>
        <v>-1.8637952286010071</v>
      </c>
      <c r="L664" s="304">
        <f t="shared" ca="1" si="290"/>
        <v>56.319672247299074</v>
      </c>
      <c r="M664" s="306">
        <f t="shared" ca="1" si="306"/>
        <v>-1.4953549310497327</v>
      </c>
      <c r="N664" s="304">
        <f t="shared" ca="1" si="307"/>
        <v>-85.677526423225899</v>
      </c>
      <c r="P664" s="310">
        <f t="shared" ca="1" si="308"/>
        <v>23</v>
      </c>
      <c r="Q664" s="304">
        <f t="shared" ca="1" si="309"/>
        <v>0</v>
      </c>
      <c r="R664" s="306">
        <f t="shared" ca="1" si="310"/>
        <v>0</v>
      </c>
      <c r="S664" s="307">
        <f t="shared" ca="1" si="311"/>
        <v>2.0843000000000003</v>
      </c>
      <c r="T664" s="304">
        <f t="shared" ca="1" si="291"/>
        <v>20.446983000000003</v>
      </c>
      <c r="U664" s="311">
        <f t="shared" ca="1" si="292"/>
        <v>0</v>
      </c>
      <c r="V664" s="306">
        <f t="shared" ca="1" si="293"/>
        <v>1.2252283361940992</v>
      </c>
      <c r="W664" s="304">
        <f t="shared" ca="1" si="294"/>
        <v>7.2150344791812984</v>
      </c>
      <c r="Y664" s="314" t="str">
        <f t="shared" ca="1" si="312"/>
        <v/>
      </c>
      <c r="Z664" s="315" t="str">
        <f t="shared" ca="1" si="313"/>
        <v/>
      </c>
      <c r="AA664" s="316" t="str">
        <f t="shared" ca="1" si="314"/>
        <v/>
      </c>
      <c r="AC664" s="310" t="e">
        <f t="shared" ca="1" si="315"/>
        <v>#N/A</v>
      </c>
      <c r="AD664" s="323" t="e">
        <f t="shared" ca="1" si="316"/>
        <v>#N/A</v>
      </c>
      <c r="AE664" s="324">
        <f t="shared" ca="1" si="295"/>
        <v>-1.8637952286010071</v>
      </c>
      <c r="AG664" s="306">
        <f t="shared" ca="1" si="317"/>
        <v>6.3205716694021667</v>
      </c>
      <c r="AH664" s="304">
        <f t="shared" ca="1" si="318"/>
        <v>-3.4615241763776159</v>
      </c>
    </row>
    <row r="665" spans="1:34" x14ac:dyDescent="0.2">
      <c r="A665" s="347">
        <f t="shared" ca="1" si="296"/>
        <v>1E-4</v>
      </c>
      <c r="B665" s="304">
        <f t="shared" ca="1" si="297"/>
        <v>12.036099999999891</v>
      </c>
      <c r="D665" s="306">
        <f t="shared" ca="1" si="298"/>
        <v>-0.26090107062810153</v>
      </c>
      <c r="E665" s="307">
        <f t="shared" ca="1" si="299"/>
        <v>-6.3582356779205877</v>
      </c>
      <c r="F665" s="304">
        <f t="shared" ca="1" si="300"/>
        <v>6.363586276985421</v>
      </c>
      <c r="G665" s="306">
        <f t="shared" ca="1" si="301"/>
        <v>3.9077860976221888</v>
      </c>
      <c r="H665" s="307">
        <f t="shared" ca="1" si="302"/>
        <v>-51.701637488748631</v>
      </c>
      <c r="I665" s="304">
        <f t="shared" ca="1" si="303"/>
        <v>51.849109068553403</v>
      </c>
      <c r="J665" s="306">
        <f t="shared" ca="1" si="304"/>
        <v>56.288824373840264</v>
      </c>
      <c r="K665" s="307">
        <f t="shared" ca="1" si="305"/>
        <v>-1.8689653605587035</v>
      </c>
      <c r="L665" s="304">
        <f t="shared" ca="1" si="290"/>
        <v>56.319843580287063</v>
      </c>
      <c r="M665" s="306">
        <f t="shared" ca="1" si="306"/>
        <v>-1.4953563570689825</v>
      </c>
      <c r="N665" s="304">
        <f t="shared" ca="1" si="307"/>
        <v>-85.677608128110421</v>
      </c>
      <c r="P665" s="310">
        <f t="shared" ca="1" si="308"/>
        <v>23</v>
      </c>
      <c r="Q665" s="304">
        <f t="shared" ca="1" si="309"/>
        <v>0</v>
      </c>
      <c r="R665" s="306">
        <f t="shared" ca="1" si="310"/>
        <v>0</v>
      </c>
      <c r="S665" s="307">
        <f t="shared" ca="1" si="311"/>
        <v>2.0843000000000003</v>
      </c>
      <c r="T665" s="304">
        <f t="shared" ca="1" si="291"/>
        <v>20.446983000000003</v>
      </c>
      <c r="U665" s="311">
        <f t="shared" ca="1" si="292"/>
        <v>0</v>
      </c>
      <c r="V665" s="306">
        <f t="shared" ca="1" si="293"/>
        <v>1.2252289696534859</v>
      </c>
      <c r="W665" s="304">
        <f t="shared" ca="1" si="294"/>
        <v>7.2152141175434785</v>
      </c>
      <c r="Y665" s="314" t="str">
        <f t="shared" ca="1" si="312"/>
        <v/>
      </c>
      <c r="Z665" s="315" t="str">
        <f t="shared" ca="1" si="313"/>
        <v/>
      </c>
      <c r="AA665" s="316" t="str">
        <f t="shared" ca="1" si="314"/>
        <v/>
      </c>
      <c r="AC665" s="310" t="e">
        <f t="shared" ca="1" si="315"/>
        <v>#N/A</v>
      </c>
      <c r="AD665" s="323" t="e">
        <f t="shared" ca="1" si="316"/>
        <v>#N/A</v>
      </c>
      <c r="AE665" s="324">
        <f t="shared" ca="1" si="295"/>
        <v>-1.8689653605587035</v>
      </c>
      <c r="AG665" s="306">
        <f t="shared" ca="1" si="317"/>
        <v>6.3204865373914458</v>
      </c>
      <c r="AH665" s="304">
        <f t="shared" ca="1" si="318"/>
        <v>-3.4616103627986843</v>
      </c>
    </row>
    <row r="666" spans="1:34" x14ac:dyDescent="0.2">
      <c r="A666" s="347">
        <f t="shared" ca="1" si="296"/>
        <v>1E-4</v>
      </c>
      <c r="B666" s="304">
        <f t="shared" ca="1" si="297"/>
        <v>12.036199999999891</v>
      </c>
      <c r="D666" s="306">
        <f t="shared" ca="1" si="298"/>
        <v>-0.26090264408113184</v>
      </c>
      <c r="E666" s="307">
        <f t="shared" ca="1" si="299"/>
        <v>-6.3581493645861231</v>
      </c>
      <c r="F666" s="304">
        <f t="shared" ca="1" si="300"/>
        <v>6.3635001007366574</v>
      </c>
      <c r="G666" s="306">
        <f t="shared" ca="1" si="301"/>
        <v>3.9077600073577807</v>
      </c>
      <c r="H666" s="307">
        <f t="shared" ca="1" si="302"/>
        <v>-51.702273303685089</v>
      </c>
      <c r="I666" s="304">
        <f t="shared" ca="1" si="303"/>
        <v>51.849741108746656</v>
      </c>
      <c r="J666" s="306">
        <f t="shared" ca="1" si="304"/>
        <v>56.288824373840264</v>
      </c>
      <c r="K666" s="307">
        <f t="shared" ca="1" si="305"/>
        <v>-1.8741355560983253</v>
      </c>
      <c r="L666" s="304">
        <f t="shared" ca="1" si="290"/>
        <v>56.320015389483565</v>
      </c>
      <c r="M666" s="306">
        <f t="shared" ca="1" si="306"/>
        <v>-1.495357783043946</v>
      </c>
      <c r="N666" s="304">
        <f t="shared" ca="1" si="307"/>
        <v>-85.677689830457524</v>
      </c>
      <c r="P666" s="310">
        <f t="shared" ca="1" si="308"/>
        <v>23</v>
      </c>
      <c r="Q666" s="304">
        <f t="shared" ca="1" si="309"/>
        <v>0</v>
      </c>
      <c r="R666" s="306">
        <f t="shared" ca="1" si="310"/>
        <v>0</v>
      </c>
      <c r="S666" s="307">
        <f t="shared" ca="1" si="311"/>
        <v>2.0843000000000003</v>
      </c>
      <c r="T666" s="304">
        <f t="shared" ca="1" si="291"/>
        <v>20.446983000000003</v>
      </c>
      <c r="U666" s="311">
        <f t="shared" ca="1" si="292"/>
        <v>0</v>
      </c>
      <c r="V666" s="306">
        <f t="shared" ca="1" si="293"/>
        <v>1.2252296031209908</v>
      </c>
      <c r="W666" s="304">
        <f t="shared" ca="1" si="294"/>
        <v>7.2153937559103367</v>
      </c>
      <c r="Y666" s="314" t="str">
        <f t="shared" ca="1" si="312"/>
        <v/>
      </c>
      <c r="Z666" s="315" t="str">
        <f t="shared" ca="1" si="313"/>
        <v/>
      </c>
      <c r="AA666" s="316" t="str">
        <f t="shared" ca="1" si="314"/>
        <v/>
      </c>
      <c r="AC666" s="310" t="e">
        <f t="shared" ca="1" si="315"/>
        <v>#N/A</v>
      </c>
      <c r="AD666" s="323" t="e">
        <f t="shared" ca="1" si="316"/>
        <v>#N/A</v>
      </c>
      <c r="AE666" s="324">
        <f t="shared" ca="1" si="295"/>
        <v>-1.8741355560983253</v>
      </c>
      <c r="AG666" s="306">
        <f t="shared" ca="1" si="317"/>
        <v>6.320401405325808</v>
      </c>
      <c r="AH666" s="304">
        <f t="shared" ca="1" si="318"/>
        <v>-3.4616965492220304</v>
      </c>
    </row>
    <row r="667" spans="1:34" x14ac:dyDescent="0.2">
      <c r="A667" s="347">
        <f t="shared" ca="1" si="296"/>
        <v>1E-4</v>
      </c>
      <c r="B667" s="304">
        <f t="shared" ca="1" si="297"/>
        <v>12.036299999999891</v>
      </c>
      <c r="D667" s="306">
        <f t="shared" ca="1" si="298"/>
        <v>-0.26090421744156655</v>
      </c>
      <c r="E667" s="307">
        <f t="shared" ca="1" si="299"/>
        <v>-6.35806305124947</v>
      </c>
      <c r="F667" s="304">
        <f t="shared" ca="1" si="300"/>
        <v>6.3634139244860153</v>
      </c>
      <c r="G667" s="306">
        <f t="shared" ca="1" si="301"/>
        <v>3.9077339169360368</v>
      </c>
      <c r="H667" s="307">
        <f t="shared" ca="1" si="302"/>
        <v>-51.702909109990216</v>
      </c>
      <c r="I667" s="304">
        <f t="shared" ca="1" si="303"/>
        <v>51.85037314042669</v>
      </c>
      <c r="J667" s="306">
        <f t="shared" ca="1" si="304"/>
        <v>56.288824373840264</v>
      </c>
      <c r="K667" s="307">
        <f t="shared" ca="1" si="305"/>
        <v>-1.879305815219009</v>
      </c>
      <c r="L667" s="304">
        <f t="shared" ca="1" si="290"/>
        <v>56.320187674901703</v>
      </c>
      <c r="M667" s="306">
        <f t="shared" ca="1" si="306"/>
        <v>-1.4953592089746246</v>
      </c>
      <c r="N667" s="304">
        <f t="shared" ca="1" si="307"/>
        <v>-85.677771530267279</v>
      </c>
      <c r="P667" s="310">
        <f t="shared" ca="1" si="308"/>
        <v>23</v>
      </c>
      <c r="Q667" s="304">
        <f t="shared" ca="1" si="309"/>
        <v>0</v>
      </c>
      <c r="R667" s="306">
        <f t="shared" ca="1" si="310"/>
        <v>0</v>
      </c>
      <c r="S667" s="307">
        <f t="shared" ca="1" si="311"/>
        <v>2.0843000000000003</v>
      </c>
      <c r="T667" s="304">
        <f t="shared" ca="1" si="291"/>
        <v>20.446983000000003</v>
      </c>
      <c r="U667" s="311">
        <f t="shared" ca="1" si="292"/>
        <v>0</v>
      </c>
      <c r="V667" s="306">
        <f t="shared" ca="1" si="293"/>
        <v>1.225230236596613</v>
      </c>
      <c r="W667" s="304">
        <f t="shared" ca="1" si="294"/>
        <v>7.2155733942817761</v>
      </c>
      <c r="Y667" s="314" t="str">
        <f t="shared" ca="1" si="312"/>
        <v/>
      </c>
      <c r="Z667" s="315" t="str">
        <f t="shared" ca="1" si="313"/>
        <v/>
      </c>
      <c r="AA667" s="316" t="str">
        <f t="shared" ca="1" si="314"/>
        <v/>
      </c>
      <c r="AC667" s="310" t="e">
        <f t="shared" ca="1" si="315"/>
        <v>#N/A</v>
      </c>
      <c r="AD667" s="323" t="e">
        <f t="shared" ca="1" si="316"/>
        <v>#N/A</v>
      </c>
      <c r="AE667" s="324">
        <f t="shared" ca="1" si="295"/>
        <v>-1.879305815219009</v>
      </c>
      <c r="AG667" s="306">
        <f t="shared" ca="1" si="317"/>
        <v>6.3203162732052913</v>
      </c>
      <c r="AH667" s="304">
        <f t="shared" ca="1" si="318"/>
        <v>-3.4617827356476205</v>
      </c>
    </row>
    <row r="668" spans="1:34" x14ac:dyDescent="0.2">
      <c r="A668" s="347">
        <f t="shared" ca="1" si="296"/>
        <v>1E-4</v>
      </c>
      <c r="B668" s="304">
        <f t="shared" ca="1" si="297"/>
        <v>12.03639999999989</v>
      </c>
      <c r="D668" s="306">
        <f t="shared" ca="1" si="298"/>
        <v>-0.26090579070940834</v>
      </c>
      <c r="E668" s="307">
        <f t="shared" ca="1" si="299"/>
        <v>-6.3579767379106711</v>
      </c>
      <c r="F668" s="304">
        <f t="shared" ca="1" si="300"/>
        <v>6.3633277482335391</v>
      </c>
      <c r="G668" s="306">
        <f t="shared" ca="1" si="301"/>
        <v>3.9077078263569658</v>
      </c>
      <c r="H668" s="307">
        <f t="shared" ca="1" si="302"/>
        <v>-51.703544907664011</v>
      </c>
      <c r="I668" s="304">
        <f t="shared" ca="1" si="303"/>
        <v>51.851005163593506</v>
      </c>
      <c r="J668" s="306">
        <f t="shared" ca="1" si="304"/>
        <v>56.288824373840264</v>
      </c>
      <c r="K668" s="307">
        <f t="shared" ca="1" si="305"/>
        <v>-1.8844761379198918</v>
      </c>
      <c r="L668" s="304">
        <f t="shared" ca="1" si="290"/>
        <v>56.320360436554587</v>
      </c>
      <c r="M668" s="306">
        <f t="shared" ca="1" si="306"/>
        <v>-1.4953606348610213</v>
      </c>
      <c r="N668" s="304">
        <f t="shared" ca="1" si="307"/>
        <v>-85.677853227539885</v>
      </c>
      <c r="P668" s="310">
        <f t="shared" ca="1" si="308"/>
        <v>23</v>
      </c>
      <c r="Q668" s="304">
        <f t="shared" ca="1" si="309"/>
        <v>0</v>
      </c>
      <c r="R668" s="306">
        <f t="shared" ca="1" si="310"/>
        <v>0</v>
      </c>
      <c r="S668" s="307">
        <f t="shared" ca="1" si="311"/>
        <v>2.0843000000000003</v>
      </c>
      <c r="T668" s="304">
        <f t="shared" ca="1" si="291"/>
        <v>20.446983000000003</v>
      </c>
      <c r="U668" s="311">
        <f t="shared" ca="1" si="292"/>
        <v>0</v>
      </c>
      <c r="V668" s="306">
        <f t="shared" ca="1" si="293"/>
        <v>1.2252308700803531</v>
      </c>
      <c r="W668" s="304">
        <f t="shared" ca="1" si="294"/>
        <v>7.2157530326577124</v>
      </c>
      <c r="Y668" s="314" t="str">
        <f t="shared" ca="1" si="312"/>
        <v/>
      </c>
      <c r="Z668" s="315" t="str">
        <f t="shared" ca="1" si="313"/>
        <v/>
      </c>
      <c r="AA668" s="316" t="str">
        <f t="shared" ca="1" si="314"/>
        <v/>
      </c>
      <c r="AC668" s="310" t="e">
        <f t="shared" ca="1" si="315"/>
        <v>#N/A</v>
      </c>
      <c r="AD668" s="323" t="e">
        <f t="shared" ca="1" si="316"/>
        <v>#N/A</v>
      </c>
      <c r="AE668" s="324">
        <f t="shared" ca="1" si="295"/>
        <v>-1.8844761379198918</v>
      </c>
      <c r="AG668" s="306">
        <f t="shared" ca="1" si="317"/>
        <v>6.3202311410299448</v>
      </c>
      <c r="AH668" s="304">
        <f t="shared" ca="1" si="318"/>
        <v>-3.4618689220754093</v>
      </c>
    </row>
    <row r="669" spans="1:34" x14ac:dyDescent="0.2">
      <c r="A669" s="347">
        <f t="shared" ca="1" si="296"/>
        <v>1E-4</v>
      </c>
      <c r="B669" s="304">
        <f t="shared" ca="1" si="297"/>
        <v>12.03649999999989</v>
      </c>
      <c r="D669" s="306">
        <f t="shared" ca="1" si="298"/>
        <v>-0.26090736388465546</v>
      </c>
      <c r="E669" s="307">
        <f t="shared" ca="1" si="299"/>
        <v>-6.3578904245697707</v>
      </c>
      <c r="F669" s="304">
        <f t="shared" ca="1" si="300"/>
        <v>6.3632415719792705</v>
      </c>
      <c r="G669" s="306">
        <f t="shared" ca="1" si="301"/>
        <v>3.9076817356205775</v>
      </c>
      <c r="H669" s="307">
        <f t="shared" ca="1" si="302"/>
        <v>-51.704180696706466</v>
      </c>
      <c r="I669" s="304">
        <f t="shared" ca="1" si="303"/>
        <v>51.851637178247096</v>
      </c>
      <c r="J669" s="306">
        <f t="shared" ca="1" si="304"/>
        <v>56.288824373840264</v>
      </c>
      <c r="K669" s="307">
        <f t="shared" ca="1" si="305"/>
        <v>-1.8896465242001104</v>
      </c>
      <c r="L669" s="304">
        <f t="shared" ca="1" si="290"/>
        <v>56.320533674455319</v>
      </c>
      <c r="M669" s="306">
        <f t="shared" ca="1" si="306"/>
        <v>-1.4953620607031377</v>
      </c>
      <c r="N669" s="304">
        <f t="shared" ca="1" si="307"/>
        <v>-85.677934922275398</v>
      </c>
      <c r="P669" s="310">
        <f t="shared" ca="1" si="308"/>
        <v>23</v>
      </c>
      <c r="Q669" s="304">
        <f t="shared" ca="1" si="309"/>
        <v>0</v>
      </c>
      <c r="R669" s="306">
        <f t="shared" ca="1" si="310"/>
        <v>0</v>
      </c>
      <c r="S669" s="307">
        <f t="shared" ca="1" si="311"/>
        <v>2.0843000000000003</v>
      </c>
      <c r="T669" s="304">
        <f t="shared" ca="1" si="291"/>
        <v>20.446983000000003</v>
      </c>
      <c r="U669" s="311">
        <f t="shared" ca="1" si="292"/>
        <v>0</v>
      </c>
      <c r="V669" s="306">
        <f t="shared" ca="1" si="293"/>
        <v>1.2252315035722106</v>
      </c>
      <c r="W669" s="304">
        <f t="shared" ca="1" si="294"/>
        <v>7.2159326710380629</v>
      </c>
      <c r="Y669" s="314" t="str">
        <f t="shared" ca="1" si="312"/>
        <v/>
      </c>
      <c r="Z669" s="315" t="str">
        <f t="shared" ca="1" si="313"/>
        <v/>
      </c>
      <c r="AA669" s="316" t="str">
        <f t="shared" ca="1" si="314"/>
        <v/>
      </c>
      <c r="AC669" s="310" t="e">
        <f t="shared" ca="1" si="315"/>
        <v>#N/A</v>
      </c>
      <c r="AD669" s="323" t="e">
        <f t="shared" ca="1" si="316"/>
        <v>#N/A</v>
      </c>
      <c r="AE669" s="324">
        <f t="shared" ca="1" si="295"/>
        <v>-1.8896465242001104</v>
      </c>
      <c r="AG669" s="306">
        <f t="shared" ca="1" si="317"/>
        <v>6.3201460087998118</v>
      </c>
      <c r="AH669" s="304">
        <f t="shared" ca="1" si="318"/>
        <v>-3.461955108505355</v>
      </c>
    </row>
    <row r="670" spans="1:34" x14ac:dyDescent="0.2">
      <c r="A670" s="347">
        <f t="shared" ca="1" si="296"/>
        <v>1E-4</v>
      </c>
      <c r="B670" s="304">
        <f t="shared" ca="1" si="297"/>
        <v>12.03659999999989</v>
      </c>
      <c r="D670" s="306">
        <f t="shared" ca="1" si="298"/>
        <v>-0.2609089369673111</v>
      </c>
      <c r="E670" s="307">
        <f t="shared" ca="1" si="299"/>
        <v>-6.3578041112268053</v>
      </c>
      <c r="F670" s="304">
        <f t="shared" ca="1" si="300"/>
        <v>6.3631553957232478</v>
      </c>
      <c r="G670" s="306">
        <f t="shared" ca="1" si="301"/>
        <v>3.9076556447268809</v>
      </c>
      <c r="H670" s="307">
        <f t="shared" ca="1" si="302"/>
        <v>-51.704816477117589</v>
      </c>
      <c r="I670" s="304">
        <f t="shared" ca="1" si="303"/>
        <v>51.852269184387453</v>
      </c>
      <c r="J670" s="306">
        <f t="shared" ca="1" si="304"/>
        <v>56.288824373840264</v>
      </c>
      <c r="K670" s="307">
        <f t="shared" ca="1" si="305"/>
        <v>-1.8948169740588017</v>
      </c>
      <c r="L670" s="304">
        <f t="shared" ca="1" si="290"/>
        <v>56.320707388616981</v>
      </c>
      <c r="M670" s="306">
        <f t="shared" ca="1" si="306"/>
        <v>-1.4953634865009762</v>
      </c>
      <c r="N670" s="304">
        <f t="shared" ca="1" si="307"/>
        <v>-85.678016614473989</v>
      </c>
      <c r="P670" s="310">
        <f t="shared" ca="1" si="308"/>
        <v>23</v>
      </c>
      <c r="Q670" s="304">
        <f t="shared" ca="1" si="309"/>
        <v>0</v>
      </c>
      <c r="R670" s="306">
        <f t="shared" ca="1" si="310"/>
        <v>0</v>
      </c>
      <c r="S670" s="307">
        <f t="shared" ca="1" si="311"/>
        <v>2.0843000000000003</v>
      </c>
      <c r="T670" s="304">
        <f t="shared" ca="1" si="291"/>
        <v>20.446983000000003</v>
      </c>
      <c r="U670" s="311">
        <f t="shared" ca="1" si="292"/>
        <v>0</v>
      </c>
      <c r="V670" s="306">
        <f t="shared" ca="1" si="293"/>
        <v>1.2252321370721853</v>
      </c>
      <c r="W670" s="304">
        <f t="shared" ca="1" si="294"/>
        <v>7.2161123094227397</v>
      </c>
      <c r="Y670" s="314" t="str">
        <f t="shared" ca="1" si="312"/>
        <v/>
      </c>
      <c r="Z670" s="315" t="str">
        <f t="shared" ca="1" si="313"/>
        <v/>
      </c>
      <c r="AA670" s="316" t="str">
        <f t="shared" ca="1" si="314"/>
        <v/>
      </c>
      <c r="AC670" s="310" t="e">
        <f t="shared" ca="1" si="315"/>
        <v>#N/A</v>
      </c>
      <c r="AD670" s="323" t="e">
        <f t="shared" ca="1" si="316"/>
        <v>#N/A</v>
      </c>
      <c r="AE670" s="324">
        <f t="shared" ca="1" si="295"/>
        <v>-1.8948169740588017</v>
      </c>
      <c r="AG670" s="306">
        <f t="shared" ca="1" si="317"/>
        <v>6.3200608765149342</v>
      </c>
      <c r="AH670" s="304">
        <f t="shared" ca="1" si="318"/>
        <v>-3.4620412949374186</v>
      </c>
    </row>
    <row r="671" spans="1:34" x14ac:dyDescent="0.2">
      <c r="A671" s="347">
        <f t="shared" ca="1" si="296"/>
        <v>1E-4</v>
      </c>
      <c r="B671" s="304">
        <f t="shared" ca="1" si="297"/>
        <v>12.03669999999989</v>
      </c>
      <c r="D671" s="306">
        <f t="shared" ca="1" si="298"/>
        <v>-0.26091050995737503</v>
      </c>
      <c r="E671" s="307">
        <f t="shared" ca="1" si="299"/>
        <v>-6.3577177978818202</v>
      </c>
      <c r="F671" s="304">
        <f t="shared" ca="1" si="300"/>
        <v>6.3630692194655154</v>
      </c>
      <c r="G671" s="306">
        <f t="shared" ca="1" si="301"/>
        <v>3.9076295536758852</v>
      </c>
      <c r="H671" s="307">
        <f t="shared" ca="1" si="302"/>
        <v>-51.70545224889738</v>
      </c>
      <c r="I671" s="304">
        <f t="shared" ca="1" si="303"/>
        <v>51.85290118201457</v>
      </c>
      <c r="J671" s="306">
        <f t="shared" ca="1" si="304"/>
        <v>56.288824373840264</v>
      </c>
      <c r="K671" s="307">
        <f t="shared" ca="1" si="305"/>
        <v>-1.8999874874951024</v>
      </c>
      <c r="L671" s="304">
        <f t="shared" ca="1" si="290"/>
        <v>56.320881579052646</v>
      </c>
      <c r="M671" s="306">
        <f t="shared" ca="1" si="306"/>
        <v>-1.4953649122545387</v>
      </c>
      <c r="N671" s="304">
        <f t="shared" ca="1" si="307"/>
        <v>-85.678098304135744</v>
      </c>
      <c r="P671" s="310">
        <f t="shared" ca="1" si="308"/>
        <v>23</v>
      </c>
      <c r="Q671" s="304">
        <f t="shared" ca="1" si="309"/>
        <v>0</v>
      </c>
      <c r="R671" s="306">
        <f t="shared" ca="1" si="310"/>
        <v>0</v>
      </c>
      <c r="S671" s="307">
        <f t="shared" ca="1" si="311"/>
        <v>2.0843000000000003</v>
      </c>
      <c r="T671" s="304">
        <f t="shared" ca="1" si="291"/>
        <v>20.446983000000003</v>
      </c>
      <c r="U671" s="311">
        <f t="shared" ca="1" si="292"/>
        <v>0</v>
      </c>
      <c r="V671" s="306">
        <f t="shared" ca="1" si="293"/>
        <v>1.2252327705802775</v>
      </c>
      <c r="W671" s="304">
        <f t="shared" ca="1" si="294"/>
        <v>7.2162919478116558</v>
      </c>
      <c r="Y671" s="314" t="str">
        <f t="shared" ca="1" si="312"/>
        <v/>
      </c>
      <c r="Z671" s="315" t="str">
        <f t="shared" ca="1" si="313"/>
        <v/>
      </c>
      <c r="AA671" s="316" t="str">
        <f t="shared" ca="1" si="314"/>
        <v/>
      </c>
      <c r="AC671" s="310" t="e">
        <f t="shared" ca="1" si="315"/>
        <v>#N/A</v>
      </c>
      <c r="AD671" s="323" t="e">
        <f t="shared" ca="1" si="316"/>
        <v>#N/A</v>
      </c>
      <c r="AE671" s="324">
        <f t="shared" ca="1" si="295"/>
        <v>-1.8999874874951024</v>
      </c>
      <c r="AG671" s="306">
        <f t="shared" ca="1" si="317"/>
        <v>6.319975744175359</v>
      </c>
      <c r="AH671" s="304">
        <f t="shared" ca="1" si="318"/>
        <v>-3.4621274813715583</v>
      </c>
    </row>
    <row r="672" spans="1:34" x14ac:dyDescent="0.2">
      <c r="A672" s="347">
        <f t="shared" ca="1" si="296"/>
        <v>1E-4</v>
      </c>
      <c r="B672" s="304">
        <f t="shared" ca="1" si="297"/>
        <v>12.036799999999889</v>
      </c>
      <c r="D672" s="306">
        <f t="shared" ca="1" si="298"/>
        <v>-0.26091208285484863</v>
      </c>
      <c r="E672" s="307">
        <f t="shared" ca="1" si="299"/>
        <v>-6.3576314845348554</v>
      </c>
      <c r="F672" s="304">
        <f t="shared" ca="1" si="300"/>
        <v>6.3629830432061132</v>
      </c>
      <c r="G672" s="306">
        <f t="shared" ca="1" si="301"/>
        <v>3.9076034624675997</v>
      </c>
      <c r="H672" s="307">
        <f t="shared" ca="1" si="302"/>
        <v>-51.706088012045832</v>
      </c>
      <c r="I672" s="304">
        <f t="shared" ca="1" si="303"/>
        <v>51.853533171128454</v>
      </c>
      <c r="J672" s="306">
        <f t="shared" ca="1" si="304"/>
        <v>56.288824373840264</v>
      </c>
      <c r="K672" s="307">
        <f t="shared" ca="1" si="305"/>
        <v>-1.9051580645081496</v>
      </c>
      <c r="L672" s="304">
        <f t="shared" ca="1" si="290"/>
        <v>56.321056245775381</v>
      </c>
      <c r="M672" s="306">
        <f t="shared" ca="1" si="306"/>
        <v>-1.4953663379638276</v>
      </c>
      <c r="N672" s="304">
        <f t="shared" ca="1" si="307"/>
        <v>-85.678179991260805</v>
      </c>
      <c r="P672" s="310">
        <f t="shared" ca="1" si="308"/>
        <v>23</v>
      </c>
      <c r="Q672" s="304">
        <f t="shared" ca="1" si="309"/>
        <v>0</v>
      </c>
      <c r="R672" s="306">
        <f t="shared" ca="1" si="310"/>
        <v>0</v>
      </c>
      <c r="S672" s="307">
        <f t="shared" ca="1" si="311"/>
        <v>2.0843000000000003</v>
      </c>
      <c r="T672" s="304">
        <f t="shared" ca="1" si="291"/>
        <v>20.446983000000003</v>
      </c>
      <c r="U672" s="311">
        <f t="shared" ca="1" si="292"/>
        <v>0</v>
      </c>
      <c r="V672" s="306">
        <f t="shared" ca="1" si="293"/>
        <v>1.225233404096487</v>
      </c>
      <c r="W672" s="304">
        <f t="shared" ca="1" si="294"/>
        <v>7.2164715862047322</v>
      </c>
      <c r="Y672" s="314" t="str">
        <f t="shared" ca="1" si="312"/>
        <v/>
      </c>
      <c r="Z672" s="315" t="str">
        <f t="shared" ca="1" si="313"/>
        <v/>
      </c>
      <c r="AA672" s="316" t="str">
        <f t="shared" ca="1" si="314"/>
        <v/>
      </c>
      <c r="AC672" s="310" t="e">
        <f t="shared" ca="1" si="315"/>
        <v>#N/A</v>
      </c>
      <c r="AD672" s="323" t="e">
        <f t="shared" ca="1" si="316"/>
        <v>#N/A</v>
      </c>
      <c r="AE672" s="324">
        <f t="shared" ca="1" si="295"/>
        <v>-1.9051580645081496</v>
      </c>
      <c r="AG672" s="306">
        <f t="shared" ca="1" si="317"/>
        <v>6.3198906117811351</v>
      </c>
      <c r="AH672" s="304">
        <f t="shared" ca="1" si="318"/>
        <v>-3.4622136678077315</v>
      </c>
    </row>
    <row r="673" spans="1:34" x14ac:dyDescent="0.2">
      <c r="A673" s="347">
        <f t="shared" ca="1" si="296"/>
        <v>1E-4</v>
      </c>
      <c r="B673" s="304">
        <f t="shared" ca="1" si="297"/>
        <v>12.036899999999889</v>
      </c>
      <c r="D673" s="306">
        <f t="shared" ca="1" si="298"/>
        <v>-0.26091365565973285</v>
      </c>
      <c r="E673" s="307">
        <f t="shared" ca="1" si="299"/>
        <v>-6.357545171185949</v>
      </c>
      <c r="F673" s="304">
        <f t="shared" ca="1" si="300"/>
        <v>6.3628968669450794</v>
      </c>
      <c r="G673" s="306">
        <f t="shared" ca="1" si="301"/>
        <v>3.9075773711020338</v>
      </c>
      <c r="H673" s="307">
        <f t="shared" ca="1" si="302"/>
        <v>-51.706723766562952</v>
      </c>
      <c r="I673" s="304">
        <f t="shared" ca="1" si="303"/>
        <v>51.854165151729084</v>
      </c>
      <c r="J673" s="306">
        <f t="shared" ca="1" si="304"/>
        <v>56.288824373840264</v>
      </c>
      <c r="K673" s="307">
        <f t="shared" ca="1" si="305"/>
        <v>-1.9103287050970801</v>
      </c>
      <c r="L673" s="304">
        <f t="shared" ca="1" si="290"/>
        <v>56.321231388798239</v>
      </c>
      <c r="M673" s="306">
        <f t="shared" ca="1" si="306"/>
        <v>-1.4953677636288449</v>
      </c>
      <c r="N673" s="304">
        <f t="shared" ca="1" si="307"/>
        <v>-85.678261675849299</v>
      </c>
      <c r="P673" s="310">
        <f t="shared" ca="1" si="308"/>
        <v>23</v>
      </c>
      <c r="Q673" s="304">
        <f t="shared" ca="1" si="309"/>
        <v>0</v>
      </c>
      <c r="R673" s="306">
        <f t="shared" ca="1" si="310"/>
        <v>0</v>
      </c>
      <c r="S673" s="307">
        <f t="shared" ca="1" si="311"/>
        <v>2.0843000000000003</v>
      </c>
      <c r="T673" s="304">
        <f t="shared" ca="1" si="291"/>
        <v>20.446983000000003</v>
      </c>
      <c r="U673" s="311">
        <f t="shared" ca="1" si="292"/>
        <v>0</v>
      </c>
      <c r="V673" s="306">
        <f t="shared" ca="1" si="293"/>
        <v>1.2252340376208137</v>
      </c>
      <c r="W673" s="304">
        <f t="shared" ca="1" si="294"/>
        <v>7.2166512246018799</v>
      </c>
      <c r="Y673" s="314" t="str">
        <f t="shared" ca="1" si="312"/>
        <v/>
      </c>
      <c r="Z673" s="315" t="str">
        <f t="shared" ca="1" si="313"/>
        <v/>
      </c>
      <c r="AA673" s="316" t="str">
        <f t="shared" ca="1" si="314"/>
        <v/>
      </c>
      <c r="AC673" s="310" t="e">
        <f t="shared" ca="1" si="315"/>
        <v>#N/A</v>
      </c>
      <c r="AD673" s="323" t="e">
        <f t="shared" ca="1" si="316"/>
        <v>#N/A</v>
      </c>
      <c r="AE673" s="324">
        <f t="shared" ca="1" si="295"/>
        <v>-1.9103287050970801</v>
      </c>
      <c r="AG673" s="306">
        <f t="shared" ca="1" si="317"/>
        <v>6.3198054793322971</v>
      </c>
      <c r="AH673" s="304">
        <f t="shared" ca="1" si="318"/>
        <v>-3.4622998542459009</v>
      </c>
    </row>
    <row r="674" spans="1:34" x14ac:dyDescent="0.2">
      <c r="A674" s="347">
        <f t="shared" ca="1" si="296"/>
        <v>1E-4</v>
      </c>
      <c r="B674" s="304">
        <f t="shared" ca="1" si="297"/>
        <v>12.036999999999889</v>
      </c>
      <c r="D674" s="306">
        <f t="shared" ca="1" si="298"/>
        <v>-0.26091522837202819</v>
      </c>
      <c r="E674" s="307">
        <f t="shared" ca="1" si="299"/>
        <v>-6.3574588578351445</v>
      </c>
      <c r="F674" s="304">
        <f t="shared" ca="1" si="300"/>
        <v>6.3628106906824575</v>
      </c>
      <c r="G674" s="306">
        <f t="shared" ca="1" si="301"/>
        <v>3.9075512795791965</v>
      </c>
      <c r="H674" s="307">
        <f t="shared" ca="1" si="302"/>
        <v>-51.707359512448733</v>
      </c>
      <c r="I674" s="304">
        <f t="shared" ca="1" si="303"/>
        <v>51.854797123816454</v>
      </c>
      <c r="J674" s="306">
        <f t="shared" ca="1" si="304"/>
        <v>56.288824373840264</v>
      </c>
      <c r="K674" s="307">
        <f t="shared" ca="1" si="305"/>
        <v>-1.9154994092610307</v>
      </c>
      <c r="L674" s="304">
        <f t="shared" ca="1" si="290"/>
        <v>56.321407008134244</v>
      </c>
      <c r="M674" s="306">
        <f t="shared" ca="1" si="306"/>
        <v>-1.4953691892495928</v>
      </c>
      <c r="N674" s="304">
        <f t="shared" ca="1" si="307"/>
        <v>-85.67834335790134</v>
      </c>
      <c r="P674" s="310">
        <f t="shared" ca="1" si="308"/>
        <v>23</v>
      </c>
      <c r="Q674" s="304">
        <f t="shared" ca="1" si="309"/>
        <v>0</v>
      </c>
      <c r="R674" s="306">
        <f t="shared" ca="1" si="310"/>
        <v>0</v>
      </c>
      <c r="S674" s="307">
        <f t="shared" ca="1" si="311"/>
        <v>2.0843000000000003</v>
      </c>
      <c r="T674" s="304">
        <f t="shared" ca="1" si="291"/>
        <v>20.446983000000003</v>
      </c>
      <c r="U674" s="311">
        <f t="shared" ca="1" si="292"/>
        <v>0</v>
      </c>
      <c r="V674" s="306">
        <f t="shared" ca="1" si="293"/>
        <v>1.2252346711532573</v>
      </c>
      <c r="W674" s="304">
        <f t="shared" ca="1" si="294"/>
        <v>7.2168308630030067</v>
      </c>
      <c r="Y674" s="314" t="str">
        <f t="shared" ca="1" si="312"/>
        <v/>
      </c>
      <c r="Z674" s="315" t="str">
        <f t="shared" ca="1" si="313"/>
        <v/>
      </c>
      <c r="AA674" s="316" t="str">
        <f t="shared" ca="1" si="314"/>
        <v/>
      </c>
      <c r="AC674" s="310" t="e">
        <f t="shared" ca="1" si="315"/>
        <v>#N/A</v>
      </c>
      <c r="AD674" s="323" t="e">
        <f t="shared" ca="1" si="316"/>
        <v>#N/A</v>
      </c>
      <c r="AE674" s="324">
        <f t="shared" ca="1" si="295"/>
        <v>-1.9154994092610307</v>
      </c>
      <c r="AG674" s="306">
        <f t="shared" ca="1" si="317"/>
        <v>6.3197203468288965</v>
      </c>
      <c r="AH674" s="304">
        <f t="shared" ca="1" si="318"/>
        <v>-3.4623860406860234</v>
      </c>
    </row>
    <row r="675" spans="1:34" x14ac:dyDescent="0.2">
      <c r="A675" s="347">
        <f t="shared" ca="1" si="296"/>
        <v>1E-4</v>
      </c>
      <c r="B675" s="304">
        <f t="shared" ca="1" si="297"/>
        <v>12.037099999999889</v>
      </c>
      <c r="D675" s="306">
        <f t="shared" ca="1" si="298"/>
        <v>-0.26091680099173586</v>
      </c>
      <c r="E675" s="307">
        <f t="shared" ca="1" si="299"/>
        <v>-6.3573725444824847</v>
      </c>
      <c r="F675" s="304">
        <f t="shared" ca="1" si="300"/>
        <v>6.3627245144182902</v>
      </c>
      <c r="G675" s="306">
        <f t="shared" ca="1" si="301"/>
        <v>3.9075251878990973</v>
      </c>
      <c r="H675" s="307">
        <f t="shared" ca="1" si="302"/>
        <v>-51.707995249703181</v>
      </c>
      <c r="I675" s="304">
        <f t="shared" ca="1" si="303"/>
        <v>51.855429087390576</v>
      </c>
      <c r="J675" s="306">
        <f t="shared" ca="1" si="304"/>
        <v>56.288824373840264</v>
      </c>
      <c r="K675" s="307">
        <f t="shared" ca="1" si="305"/>
        <v>-1.9206701769991383</v>
      </c>
      <c r="L675" s="304">
        <f t="shared" ca="1" si="290"/>
        <v>56.321583103796435</v>
      </c>
      <c r="M675" s="306">
        <f t="shared" ca="1" si="306"/>
        <v>-1.4953706148260735</v>
      </c>
      <c r="N675" s="304">
        <f t="shared" ca="1" si="307"/>
        <v>-85.678425037417057</v>
      </c>
      <c r="P675" s="310">
        <f t="shared" ca="1" si="308"/>
        <v>23</v>
      </c>
      <c r="Q675" s="304">
        <f t="shared" ca="1" si="309"/>
        <v>0</v>
      </c>
      <c r="R675" s="306">
        <f t="shared" ca="1" si="310"/>
        <v>0</v>
      </c>
      <c r="S675" s="307">
        <f t="shared" ca="1" si="311"/>
        <v>2.0843000000000003</v>
      </c>
      <c r="T675" s="304">
        <f t="shared" ca="1" si="291"/>
        <v>20.446983000000003</v>
      </c>
      <c r="U675" s="311">
        <f t="shared" ca="1" si="292"/>
        <v>0</v>
      </c>
      <c r="V675" s="306">
        <f t="shared" ca="1" si="293"/>
        <v>1.2252353046938178</v>
      </c>
      <c r="W675" s="304">
        <f t="shared" ca="1" si="294"/>
        <v>7.2170105014080361</v>
      </c>
      <c r="Y675" s="314" t="str">
        <f t="shared" ca="1" si="312"/>
        <v/>
      </c>
      <c r="Z675" s="315" t="str">
        <f t="shared" ca="1" si="313"/>
        <v/>
      </c>
      <c r="AA675" s="316" t="str">
        <f t="shared" ca="1" si="314"/>
        <v/>
      </c>
      <c r="AC675" s="310" t="e">
        <f t="shared" ca="1" si="315"/>
        <v>#N/A</v>
      </c>
      <c r="AD675" s="323" t="e">
        <f t="shared" ca="1" si="316"/>
        <v>#N/A</v>
      </c>
      <c r="AE675" s="324">
        <f t="shared" ca="1" si="295"/>
        <v>-1.9206701769991383</v>
      </c>
      <c r="AG675" s="306">
        <f t="shared" ca="1" si="317"/>
        <v>6.3196352142709777</v>
      </c>
      <c r="AH675" s="304">
        <f t="shared" ca="1" si="318"/>
        <v>-3.4624722271280555</v>
      </c>
    </row>
    <row r="676" spans="1:34" x14ac:dyDescent="0.2">
      <c r="A676" s="347">
        <f t="shared" ca="1" si="296"/>
        <v>1E-4</v>
      </c>
      <c r="B676" s="304">
        <f t="shared" ca="1" si="297"/>
        <v>12.037199999999888</v>
      </c>
      <c r="D676" s="306">
        <f t="shared" ca="1" si="298"/>
        <v>-0.26091837351885677</v>
      </c>
      <c r="E676" s="307">
        <f t="shared" ca="1" si="299"/>
        <v>-6.3572862311280076</v>
      </c>
      <c r="F676" s="304">
        <f t="shared" ca="1" si="300"/>
        <v>6.3626383381526157</v>
      </c>
      <c r="G676" s="306">
        <f t="shared" ca="1" si="301"/>
        <v>3.9074990960617453</v>
      </c>
      <c r="H676" s="307">
        <f t="shared" ca="1" si="302"/>
        <v>-51.708630978326291</v>
      </c>
      <c r="I676" s="304">
        <f t="shared" ca="1" si="303"/>
        <v>51.856061042451429</v>
      </c>
      <c r="J676" s="306">
        <f t="shared" ca="1" si="304"/>
        <v>56.288824373840264</v>
      </c>
      <c r="K676" s="307">
        <f t="shared" ca="1" si="305"/>
        <v>-1.9258410083105397</v>
      </c>
      <c r="L676" s="304">
        <f t="shared" ca="1" si="290"/>
        <v>56.321759675797814</v>
      </c>
      <c r="M676" s="306">
        <f t="shared" ca="1" si="306"/>
        <v>-1.4953720403582891</v>
      </c>
      <c r="N676" s="304">
        <f t="shared" ca="1" si="307"/>
        <v>-85.678506714396576</v>
      </c>
      <c r="P676" s="310">
        <f t="shared" ca="1" si="308"/>
        <v>23</v>
      </c>
      <c r="Q676" s="304">
        <f t="shared" ca="1" si="309"/>
        <v>0</v>
      </c>
      <c r="R676" s="306">
        <f t="shared" ca="1" si="310"/>
        <v>0</v>
      </c>
      <c r="S676" s="307">
        <f t="shared" ca="1" si="311"/>
        <v>2.0843000000000003</v>
      </c>
      <c r="T676" s="304">
        <f t="shared" ca="1" si="291"/>
        <v>20.446983000000003</v>
      </c>
      <c r="U676" s="311">
        <f t="shared" ca="1" si="292"/>
        <v>0</v>
      </c>
      <c r="V676" s="306">
        <f t="shared" ca="1" si="293"/>
        <v>1.2252359382424951</v>
      </c>
      <c r="W676" s="304">
        <f t="shared" ca="1" si="294"/>
        <v>7.2171901398168776</v>
      </c>
      <c r="Y676" s="314" t="str">
        <f t="shared" ca="1" si="312"/>
        <v/>
      </c>
      <c r="Z676" s="315" t="str">
        <f t="shared" ca="1" si="313"/>
        <v/>
      </c>
      <c r="AA676" s="316" t="str">
        <f t="shared" ca="1" si="314"/>
        <v/>
      </c>
      <c r="AC676" s="310" t="e">
        <f t="shared" ca="1" si="315"/>
        <v>#N/A</v>
      </c>
      <c r="AD676" s="323" t="e">
        <f t="shared" ca="1" si="316"/>
        <v>#N/A</v>
      </c>
      <c r="AE676" s="324">
        <f t="shared" ca="1" si="295"/>
        <v>-1.9258410083105397</v>
      </c>
      <c r="AG676" s="306">
        <f t="shared" ca="1" si="317"/>
        <v>6.3195500816585808</v>
      </c>
      <c r="AH676" s="304">
        <f t="shared" ca="1" si="318"/>
        <v>-3.4625584135719594</v>
      </c>
    </row>
    <row r="677" spans="1:34" x14ac:dyDescent="0.2">
      <c r="A677" s="347">
        <f t="shared" ca="1" si="296"/>
        <v>1E-4</v>
      </c>
      <c r="B677" s="304">
        <f t="shared" ca="1" si="297"/>
        <v>12.037299999999888</v>
      </c>
      <c r="D677" s="306">
        <f t="shared" ca="1" si="298"/>
        <v>-0.26091994595339157</v>
      </c>
      <c r="E677" s="307">
        <f t="shared" ca="1" si="299"/>
        <v>-6.3571999177717569</v>
      </c>
      <c r="F677" s="304">
        <f t="shared" ca="1" si="300"/>
        <v>6.3625521618854766</v>
      </c>
      <c r="G677" s="306">
        <f t="shared" ca="1" si="301"/>
        <v>3.9074730040671501</v>
      </c>
      <c r="H677" s="307">
        <f t="shared" ca="1" si="302"/>
        <v>-51.709266698318068</v>
      </c>
      <c r="I677" s="304">
        <f t="shared" ca="1" si="303"/>
        <v>51.856692988999015</v>
      </c>
      <c r="J677" s="306">
        <f t="shared" ca="1" si="304"/>
        <v>56.288824373840264</v>
      </c>
      <c r="K677" s="307">
        <f t="shared" ca="1" si="305"/>
        <v>-1.931011903194372</v>
      </c>
      <c r="L677" s="304">
        <f t="shared" ca="1" si="290"/>
        <v>56.321936724151385</v>
      </c>
      <c r="M677" s="306">
        <f t="shared" ca="1" si="306"/>
        <v>-1.4953734658462416</v>
      </c>
      <c r="N677" s="304">
        <f t="shared" ca="1" si="307"/>
        <v>-85.678588388839998</v>
      </c>
      <c r="P677" s="310">
        <f t="shared" ca="1" si="308"/>
        <v>23</v>
      </c>
      <c r="Q677" s="304">
        <f t="shared" ca="1" si="309"/>
        <v>0</v>
      </c>
      <c r="R677" s="306">
        <f t="shared" ca="1" si="310"/>
        <v>0</v>
      </c>
      <c r="S677" s="307">
        <f t="shared" ca="1" si="311"/>
        <v>2.0843000000000003</v>
      </c>
      <c r="T677" s="304">
        <f t="shared" ca="1" si="291"/>
        <v>20.446983000000003</v>
      </c>
      <c r="U677" s="311">
        <f t="shared" ca="1" si="292"/>
        <v>0</v>
      </c>
      <c r="V677" s="306">
        <f t="shared" ca="1" si="293"/>
        <v>1.2252365717992895</v>
      </c>
      <c r="W677" s="304">
        <f t="shared" ca="1" si="294"/>
        <v>7.2173697782294512</v>
      </c>
      <c r="Y677" s="314" t="str">
        <f t="shared" ca="1" si="312"/>
        <v/>
      </c>
      <c r="Z677" s="315" t="str">
        <f t="shared" ca="1" si="313"/>
        <v/>
      </c>
      <c r="AA677" s="316" t="str">
        <f t="shared" ca="1" si="314"/>
        <v/>
      </c>
      <c r="AC677" s="310" t="e">
        <f t="shared" ca="1" si="315"/>
        <v>#N/A</v>
      </c>
      <c r="AD677" s="323" t="e">
        <f t="shared" ca="1" si="316"/>
        <v>#N/A</v>
      </c>
      <c r="AE677" s="324">
        <f t="shared" ca="1" si="295"/>
        <v>-1.931011903194372</v>
      </c>
      <c r="AG677" s="306">
        <f t="shared" ca="1" si="317"/>
        <v>6.3194649489917554</v>
      </c>
      <c r="AH677" s="304">
        <f t="shared" ca="1" si="318"/>
        <v>-3.4626446000176925</v>
      </c>
    </row>
    <row r="678" spans="1:34" x14ac:dyDescent="0.2">
      <c r="A678" s="347">
        <f t="shared" ca="1" si="296"/>
        <v>1E-4</v>
      </c>
      <c r="B678" s="304">
        <f t="shared" ca="1" si="297"/>
        <v>12.037399999999888</v>
      </c>
      <c r="D678" s="306">
        <f t="shared" ca="1" si="298"/>
        <v>-0.26092151829534177</v>
      </c>
      <c r="E678" s="307">
        <f t="shared" ca="1" si="299"/>
        <v>-6.3571136044137706</v>
      </c>
      <c r="F678" s="304">
        <f t="shared" ca="1" si="300"/>
        <v>6.3624659856169119</v>
      </c>
      <c r="G678" s="306">
        <f t="shared" ca="1" si="301"/>
        <v>3.9074469119153208</v>
      </c>
      <c r="H678" s="307">
        <f t="shared" ca="1" si="302"/>
        <v>-51.709902409678506</v>
      </c>
      <c r="I678" s="304">
        <f t="shared" ca="1" si="303"/>
        <v>51.857324927033325</v>
      </c>
      <c r="J678" s="306">
        <f t="shared" ca="1" si="304"/>
        <v>56.288824373840264</v>
      </c>
      <c r="K678" s="307">
        <f t="shared" ca="1" si="305"/>
        <v>-1.9361828616497718</v>
      </c>
      <c r="L678" s="304">
        <f t="shared" ca="1" si="290"/>
        <v>56.322114248870136</v>
      </c>
      <c r="M678" s="306">
        <f t="shared" ca="1" si="306"/>
        <v>-1.4953748912899334</v>
      </c>
      <c r="N678" s="304">
        <f t="shared" ca="1" si="307"/>
        <v>-85.678670060747478</v>
      </c>
      <c r="P678" s="310">
        <f t="shared" ca="1" si="308"/>
        <v>23</v>
      </c>
      <c r="Q678" s="304">
        <f t="shared" ca="1" si="309"/>
        <v>0</v>
      </c>
      <c r="R678" s="306">
        <f t="shared" ca="1" si="310"/>
        <v>0</v>
      </c>
      <c r="S678" s="307">
        <f t="shared" ca="1" si="311"/>
        <v>2.0843000000000003</v>
      </c>
      <c r="T678" s="304">
        <f t="shared" ca="1" si="291"/>
        <v>20.446983000000003</v>
      </c>
      <c r="U678" s="311">
        <f t="shared" ca="1" si="292"/>
        <v>0</v>
      </c>
      <c r="V678" s="306">
        <f t="shared" ca="1" si="293"/>
        <v>1.2252372053642</v>
      </c>
      <c r="W678" s="304">
        <f t="shared" ca="1" si="294"/>
        <v>7.2175494166456637</v>
      </c>
      <c r="Y678" s="314" t="str">
        <f t="shared" ca="1" si="312"/>
        <v/>
      </c>
      <c r="Z678" s="315" t="str">
        <f t="shared" ca="1" si="313"/>
        <v/>
      </c>
      <c r="AA678" s="316" t="str">
        <f t="shared" ca="1" si="314"/>
        <v/>
      </c>
      <c r="AC678" s="310" t="e">
        <f t="shared" ca="1" si="315"/>
        <v>#N/A</v>
      </c>
      <c r="AD678" s="323" t="e">
        <f t="shared" ca="1" si="316"/>
        <v>#N/A</v>
      </c>
      <c r="AE678" s="324">
        <f t="shared" ca="1" si="295"/>
        <v>-1.9361828616497718</v>
      </c>
      <c r="AG678" s="306">
        <f t="shared" ca="1" si="317"/>
        <v>6.3193798162705397</v>
      </c>
      <c r="AH678" s="304">
        <f t="shared" ca="1" si="318"/>
        <v>-3.4627307864652161</v>
      </c>
    </row>
    <row r="679" spans="1:34" x14ac:dyDescent="0.2">
      <c r="A679" s="347">
        <f t="shared" ca="1" si="296"/>
        <v>1E-4</v>
      </c>
      <c r="B679" s="304">
        <f t="shared" ca="1" si="297"/>
        <v>12.037499999999888</v>
      </c>
      <c r="D679" s="306">
        <f t="shared" ca="1" si="298"/>
        <v>-0.2609230905447078</v>
      </c>
      <c r="E679" s="307">
        <f t="shared" ca="1" si="299"/>
        <v>-6.3570272910540924</v>
      </c>
      <c r="F679" s="304">
        <f t="shared" ca="1" si="300"/>
        <v>6.3623798093469661</v>
      </c>
      <c r="G679" s="306">
        <f t="shared" ca="1" si="301"/>
        <v>3.9074208196062665</v>
      </c>
      <c r="H679" s="307">
        <f t="shared" ca="1" si="302"/>
        <v>-51.710538112407612</v>
      </c>
      <c r="I679" s="304">
        <f t="shared" ca="1" si="303"/>
        <v>51.857956856554352</v>
      </c>
      <c r="J679" s="306">
        <f t="shared" ca="1" si="304"/>
        <v>56.288824373840264</v>
      </c>
      <c r="K679" s="307">
        <f t="shared" ca="1" si="305"/>
        <v>-1.9413538836758761</v>
      </c>
      <c r="L679" s="304">
        <f t="shared" ca="1" si="290"/>
        <v>56.322292249967042</v>
      </c>
      <c r="M679" s="306">
        <f t="shared" ca="1" si="306"/>
        <v>-1.4953763166893663</v>
      </c>
      <c r="N679" s="304">
        <f t="shared" ca="1" si="307"/>
        <v>-85.678751730119103</v>
      </c>
      <c r="P679" s="310">
        <f t="shared" ca="1" si="308"/>
        <v>23</v>
      </c>
      <c r="Q679" s="304">
        <f t="shared" ca="1" si="309"/>
        <v>0</v>
      </c>
      <c r="R679" s="306">
        <f t="shared" ca="1" si="310"/>
        <v>0</v>
      </c>
      <c r="S679" s="307">
        <f t="shared" ca="1" si="311"/>
        <v>2.0843000000000003</v>
      </c>
      <c r="T679" s="304">
        <f t="shared" ca="1" si="291"/>
        <v>20.446983000000003</v>
      </c>
      <c r="U679" s="311">
        <f t="shared" ca="1" si="292"/>
        <v>0</v>
      </c>
      <c r="V679" s="306">
        <f t="shared" ca="1" si="293"/>
        <v>1.2252378389372274</v>
      </c>
      <c r="W679" s="304">
        <f t="shared" ca="1" si="294"/>
        <v>7.2177290550654334</v>
      </c>
      <c r="Y679" s="314" t="str">
        <f t="shared" ca="1" si="312"/>
        <v/>
      </c>
      <c r="Z679" s="315" t="str">
        <f t="shared" ca="1" si="313"/>
        <v/>
      </c>
      <c r="AA679" s="316" t="str">
        <f t="shared" ca="1" si="314"/>
        <v/>
      </c>
      <c r="AC679" s="310" t="e">
        <f t="shared" ca="1" si="315"/>
        <v>#N/A</v>
      </c>
      <c r="AD679" s="323" t="e">
        <f t="shared" ca="1" si="316"/>
        <v>#N/A</v>
      </c>
      <c r="AE679" s="324">
        <f t="shared" ca="1" si="295"/>
        <v>-1.9413538836758761</v>
      </c>
      <c r="AG679" s="306">
        <f t="shared" ca="1" si="317"/>
        <v>6.319294683494987</v>
      </c>
      <c r="AH679" s="304">
        <f t="shared" ca="1" si="318"/>
        <v>-3.462816972914486</v>
      </c>
    </row>
    <row r="680" spans="1:34" x14ac:dyDescent="0.2">
      <c r="A680" s="347">
        <f t="shared" ca="1" si="296"/>
        <v>1E-4</v>
      </c>
      <c r="B680" s="304">
        <f t="shared" ca="1" si="297"/>
        <v>12.037599999999888</v>
      </c>
      <c r="D680" s="306">
        <f t="shared" ca="1" si="298"/>
        <v>-0.26092466270149123</v>
      </c>
      <c r="E680" s="307">
        <f t="shared" ca="1" si="299"/>
        <v>-6.3569409776927639</v>
      </c>
      <c r="F680" s="304">
        <f t="shared" ca="1" si="300"/>
        <v>6.3622936330756792</v>
      </c>
      <c r="G680" s="306">
        <f t="shared" ca="1" si="301"/>
        <v>3.9073947271399962</v>
      </c>
      <c r="H680" s="307">
        <f t="shared" ca="1" si="302"/>
        <v>-51.711173806505379</v>
      </c>
      <c r="I680" s="304">
        <f t="shared" ca="1" si="303"/>
        <v>51.858588777562098</v>
      </c>
      <c r="J680" s="306">
        <f t="shared" ca="1" si="304"/>
        <v>56.288824373840264</v>
      </c>
      <c r="K680" s="307">
        <f t="shared" ca="1" si="305"/>
        <v>-1.9465249692718218</v>
      </c>
      <c r="L680" s="304">
        <f t="shared" ca="1" si="290"/>
        <v>56.322470727455062</v>
      </c>
      <c r="M680" s="306">
        <f t="shared" ca="1" si="306"/>
        <v>-1.4953777420445429</v>
      </c>
      <c r="N680" s="304">
        <f t="shared" ca="1" si="307"/>
        <v>-85.678833396955028</v>
      </c>
      <c r="P680" s="310">
        <f t="shared" ca="1" si="308"/>
        <v>23</v>
      </c>
      <c r="Q680" s="304">
        <f t="shared" ca="1" si="309"/>
        <v>0</v>
      </c>
      <c r="R680" s="306">
        <f t="shared" ca="1" si="310"/>
        <v>0</v>
      </c>
      <c r="S680" s="307">
        <f t="shared" ca="1" si="311"/>
        <v>2.0843000000000003</v>
      </c>
      <c r="T680" s="304">
        <f t="shared" ca="1" si="291"/>
        <v>20.446983000000003</v>
      </c>
      <c r="U680" s="311">
        <f t="shared" ca="1" si="292"/>
        <v>0</v>
      </c>
      <c r="V680" s="306">
        <f t="shared" ca="1" si="293"/>
        <v>1.2252384725183716</v>
      </c>
      <c r="W680" s="304">
        <f t="shared" ca="1" si="294"/>
        <v>7.2179086934886767</v>
      </c>
      <c r="Y680" s="314" t="str">
        <f t="shared" ca="1" si="312"/>
        <v/>
      </c>
      <c r="Z680" s="315" t="str">
        <f t="shared" ca="1" si="313"/>
        <v/>
      </c>
      <c r="AA680" s="316" t="str">
        <f t="shared" ca="1" si="314"/>
        <v/>
      </c>
      <c r="AC680" s="310" t="e">
        <f t="shared" ca="1" si="315"/>
        <v>#N/A</v>
      </c>
      <c r="AD680" s="323" t="e">
        <f t="shared" ca="1" si="316"/>
        <v>#N/A</v>
      </c>
      <c r="AE680" s="324">
        <f t="shared" ca="1" si="295"/>
        <v>-1.9465249692718218</v>
      </c>
      <c r="AG680" s="306">
        <f t="shared" ca="1" si="317"/>
        <v>6.3192095506651356</v>
      </c>
      <c r="AH680" s="304">
        <f t="shared" ca="1" si="318"/>
        <v>-3.462903159365462</v>
      </c>
    </row>
    <row r="681" spans="1:34" x14ac:dyDescent="0.2">
      <c r="A681" s="347">
        <f t="shared" ca="1" si="296"/>
        <v>1E-4</v>
      </c>
      <c r="B681" s="304">
        <f t="shared" ca="1" si="297"/>
        <v>12.037699999999887</v>
      </c>
      <c r="D681" s="306">
        <f t="shared" ca="1" si="298"/>
        <v>-0.26092623476569199</v>
      </c>
      <c r="E681" s="307">
        <f t="shared" ca="1" si="299"/>
        <v>-6.3568546643298234</v>
      </c>
      <c r="F681" s="304">
        <f t="shared" ca="1" si="300"/>
        <v>6.3622074568030893</v>
      </c>
      <c r="G681" s="306">
        <f t="shared" ca="1" si="301"/>
        <v>3.9073686345165197</v>
      </c>
      <c r="H681" s="307">
        <f t="shared" ca="1" si="302"/>
        <v>-51.711809491971813</v>
      </c>
      <c r="I681" s="304">
        <f t="shared" ca="1" si="303"/>
        <v>51.859220690056553</v>
      </c>
      <c r="J681" s="306">
        <f t="shared" ca="1" si="304"/>
        <v>56.288824373840264</v>
      </c>
      <c r="K681" s="307">
        <f t="shared" ca="1" si="305"/>
        <v>-1.9516961184367456</v>
      </c>
      <c r="L681" s="304">
        <f t="shared" ca="1" si="290"/>
        <v>56.322649681347158</v>
      </c>
      <c r="M681" s="306">
        <f t="shared" ca="1" si="306"/>
        <v>-1.4953791673554651</v>
      </c>
      <c r="N681" s="304">
        <f t="shared" ca="1" si="307"/>
        <v>-85.678915061255353</v>
      </c>
      <c r="P681" s="310">
        <f t="shared" ca="1" si="308"/>
        <v>23</v>
      </c>
      <c r="Q681" s="304">
        <f t="shared" ca="1" si="309"/>
        <v>0</v>
      </c>
      <c r="R681" s="306">
        <f t="shared" ca="1" si="310"/>
        <v>0</v>
      </c>
      <c r="S681" s="307">
        <f t="shared" ca="1" si="311"/>
        <v>2.0843000000000003</v>
      </c>
      <c r="T681" s="304">
        <f t="shared" ca="1" si="291"/>
        <v>20.446983000000003</v>
      </c>
      <c r="U681" s="311">
        <f t="shared" ca="1" si="292"/>
        <v>0</v>
      </c>
      <c r="V681" s="306">
        <f t="shared" ca="1" si="293"/>
        <v>1.225239106107632</v>
      </c>
      <c r="W681" s="304">
        <f t="shared" ca="1" si="294"/>
        <v>7.2180883319153066</v>
      </c>
      <c r="Y681" s="314" t="str">
        <f t="shared" ca="1" si="312"/>
        <v/>
      </c>
      <c r="Z681" s="315" t="str">
        <f t="shared" ca="1" si="313"/>
        <v/>
      </c>
      <c r="AA681" s="316" t="str">
        <f t="shared" ca="1" si="314"/>
        <v/>
      </c>
      <c r="AC681" s="310" t="e">
        <f t="shared" ca="1" si="315"/>
        <v>#N/A</v>
      </c>
      <c r="AD681" s="323" t="e">
        <f t="shared" ca="1" si="316"/>
        <v>#N/A</v>
      </c>
      <c r="AE681" s="324">
        <f t="shared" ca="1" si="295"/>
        <v>-1.9516961184367456</v>
      </c>
      <c r="AG681" s="306">
        <f t="shared" ca="1" si="317"/>
        <v>6.3191244177810297</v>
      </c>
      <c r="AH681" s="304">
        <f t="shared" ca="1" si="318"/>
        <v>-3.4629893458181047</v>
      </c>
    </row>
    <row r="682" spans="1:34" x14ac:dyDescent="0.2">
      <c r="A682" s="347">
        <f t="shared" ca="1" si="296"/>
        <v>1E-4</v>
      </c>
      <c r="B682" s="304">
        <f t="shared" ca="1" si="297"/>
        <v>12.037799999999887</v>
      </c>
      <c r="D682" s="306">
        <f t="shared" ca="1" si="298"/>
        <v>-0.26092780673731147</v>
      </c>
      <c r="E682" s="307">
        <f t="shared" ca="1" si="299"/>
        <v>-6.3567683509653126</v>
      </c>
      <c r="F682" s="304">
        <f t="shared" ca="1" si="300"/>
        <v>6.3621212805292391</v>
      </c>
      <c r="G682" s="306">
        <f t="shared" ca="1" si="301"/>
        <v>3.9073425417358458</v>
      </c>
      <c r="H682" s="307">
        <f t="shared" ca="1" si="302"/>
        <v>-51.712445168806909</v>
      </c>
      <c r="I682" s="304">
        <f t="shared" ca="1" si="303"/>
        <v>51.859852594037704</v>
      </c>
      <c r="J682" s="306">
        <f t="shared" ca="1" si="304"/>
        <v>56.288824373840264</v>
      </c>
      <c r="K682" s="307">
        <f t="shared" ca="1" si="305"/>
        <v>-1.9568673311697846</v>
      </c>
      <c r="L682" s="304">
        <f t="shared" ca="1" si="290"/>
        <v>56.322829111656254</v>
      </c>
      <c r="M682" s="306">
        <f t="shared" ca="1" si="306"/>
        <v>-1.4953805926221349</v>
      </c>
      <c r="N682" s="304">
        <f t="shared" ca="1" si="307"/>
        <v>-85.678996723020219</v>
      </c>
      <c r="P682" s="310">
        <f t="shared" ca="1" si="308"/>
        <v>23</v>
      </c>
      <c r="Q682" s="304">
        <f t="shared" ca="1" si="309"/>
        <v>0</v>
      </c>
      <c r="R682" s="306">
        <f t="shared" ca="1" si="310"/>
        <v>0</v>
      </c>
      <c r="S682" s="307">
        <f t="shared" ca="1" si="311"/>
        <v>2.0843000000000003</v>
      </c>
      <c r="T682" s="304">
        <f t="shared" ca="1" si="291"/>
        <v>20.446983000000003</v>
      </c>
      <c r="U682" s="311">
        <f t="shared" ca="1" si="292"/>
        <v>0</v>
      </c>
      <c r="V682" s="306">
        <f t="shared" ca="1" si="293"/>
        <v>1.2252397397050081</v>
      </c>
      <c r="W682" s="304">
        <f t="shared" ca="1" si="294"/>
        <v>7.2182679703452308</v>
      </c>
      <c r="Y682" s="314" t="str">
        <f t="shared" ca="1" si="312"/>
        <v/>
      </c>
      <c r="Z682" s="315" t="str">
        <f t="shared" ca="1" si="313"/>
        <v/>
      </c>
      <c r="AA682" s="316" t="str">
        <f t="shared" ca="1" si="314"/>
        <v/>
      </c>
      <c r="AC682" s="310" t="e">
        <f t="shared" ca="1" si="315"/>
        <v>#N/A</v>
      </c>
      <c r="AD682" s="323" t="e">
        <f t="shared" ca="1" si="316"/>
        <v>#N/A</v>
      </c>
      <c r="AE682" s="324">
        <f t="shared" ca="1" si="295"/>
        <v>-1.9568673311697846</v>
      </c>
      <c r="AG682" s="306">
        <f t="shared" ca="1" si="317"/>
        <v>6.3190392848427148</v>
      </c>
      <c r="AH682" s="304">
        <f t="shared" ca="1" si="318"/>
        <v>-3.4630755322723723</v>
      </c>
    </row>
    <row r="683" spans="1:34" x14ac:dyDescent="0.2">
      <c r="A683" s="347">
        <f t="shared" ca="1" si="296"/>
        <v>1E-4</v>
      </c>
      <c r="B683" s="304">
        <f t="shared" ca="1" si="297"/>
        <v>12.037899999999887</v>
      </c>
      <c r="D683" s="306">
        <f t="shared" ca="1" si="298"/>
        <v>-0.2609293786163509</v>
      </c>
      <c r="E683" s="307">
        <f t="shared" ca="1" si="299"/>
        <v>-6.3566820375992767</v>
      </c>
      <c r="F683" s="304">
        <f t="shared" ca="1" si="300"/>
        <v>6.362035104254173</v>
      </c>
      <c r="G683" s="306">
        <f t="shared" ca="1" si="301"/>
        <v>3.9073164487979843</v>
      </c>
      <c r="H683" s="307">
        <f t="shared" ca="1" si="302"/>
        <v>-51.713080837010672</v>
      </c>
      <c r="I683" s="304">
        <f t="shared" ca="1" si="303"/>
        <v>51.860484489505573</v>
      </c>
      <c r="J683" s="306">
        <f t="shared" ca="1" si="304"/>
        <v>56.288824373840264</v>
      </c>
      <c r="K683" s="307">
        <f t="shared" ca="1" si="305"/>
        <v>-1.9620386074700755</v>
      </c>
      <c r="L683" s="304">
        <f t="shared" ca="1" si="290"/>
        <v>56.32300901839529</v>
      </c>
      <c r="M683" s="306">
        <f t="shared" ca="1" si="306"/>
        <v>-1.4953820178445547</v>
      </c>
      <c r="N683" s="304">
        <f t="shared" ca="1" si="307"/>
        <v>-85.679078382249742</v>
      </c>
      <c r="P683" s="310">
        <f t="shared" ca="1" si="308"/>
        <v>23</v>
      </c>
      <c r="Q683" s="304">
        <f t="shared" ca="1" si="309"/>
        <v>0</v>
      </c>
      <c r="R683" s="306">
        <f t="shared" ca="1" si="310"/>
        <v>0</v>
      </c>
      <c r="S683" s="307">
        <f t="shared" ca="1" si="311"/>
        <v>2.0843000000000003</v>
      </c>
      <c r="T683" s="304">
        <f t="shared" ca="1" si="291"/>
        <v>20.446983000000003</v>
      </c>
      <c r="U683" s="311">
        <f t="shared" ca="1" si="292"/>
        <v>0</v>
      </c>
      <c r="V683" s="306">
        <f t="shared" ca="1" si="293"/>
        <v>1.2252403733105011</v>
      </c>
      <c r="W683" s="304">
        <f t="shared" ca="1" si="294"/>
        <v>7.21844760877838</v>
      </c>
      <c r="Y683" s="314" t="str">
        <f t="shared" ca="1" si="312"/>
        <v/>
      </c>
      <c r="Z683" s="315" t="str">
        <f t="shared" ca="1" si="313"/>
        <v/>
      </c>
      <c r="AA683" s="316" t="str">
        <f t="shared" ca="1" si="314"/>
        <v/>
      </c>
      <c r="AC683" s="310" t="e">
        <f t="shared" ca="1" si="315"/>
        <v>#N/A</v>
      </c>
      <c r="AD683" s="323" t="e">
        <f t="shared" ca="1" si="316"/>
        <v>#N/A</v>
      </c>
      <c r="AE683" s="324">
        <f t="shared" ca="1" si="295"/>
        <v>-1.9620386074700755</v>
      </c>
      <c r="AG683" s="306">
        <f t="shared" ca="1" si="317"/>
        <v>6.3189541518502397</v>
      </c>
      <c r="AH683" s="304">
        <f t="shared" ca="1" si="318"/>
        <v>-3.4631617187282204</v>
      </c>
    </row>
    <row r="684" spans="1:34" x14ac:dyDescent="0.2">
      <c r="A684" s="347">
        <f t="shared" ca="1" si="296"/>
        <v>1E-4</v>
      </c>
      <c r="B684" s="304">
        <f t="shared" ca="1" si="297"/>
        <v>12.037999999999887</v>
      </c>
      <c r="D684" s="306">
        <f t="shared" ca="1" si="298"/>
        <v>-0.26093095040281072</v>
      </c>
      <c r="E684" s="307">
        <f t="shared" ca="1" si="299"/>
        <v>-6.3565957242317488</v>
      </c>
      <c r="F684" s="304">
        <f t="shared" ca="1" si="300"/>
        <v>6.3619489279779247</v>
      </c>
      <c r="G684" s="306">
        <f t="shared" ca="1" si="301"/>
        <v>3.9072903557029441</v>
      </c>
      <c r="H684" s="307">
        <f t="shared" ca="1" si="302"/>
        <v>-51.713716496583096</v>
      </c>
      <c r="I684" s="304">
        <f t="shared" ca="1" si="303"/>
        <v>51.861116376460117</v>
      </c>
      <c r="J684" s="306">
        <f t="shared" ca="1" si="304"/>
        <v>56.288824373840264</v>
      </c>
      <c r="K684" s="307">
        <f t="shared" ca="1" si="305"/>
        <v>-1.9672099473367552</v>
      </c>
      <c r="L684" s="304">
        <f t="shared" ca="1" si="290"/>
        <v>56.323189401577167</v>
      </c>
      <c r="M684" s="306">
        <f t="shared" ca="1" si="306"/>
        <v>-1.4953834430227264</v>
      </c>
      <c r="N684" s="304">
        <f t="shared" ca="1" si="307"/>
        <v>-85.679160038944033</v>
      </c>
      <c r="P684" s="310">
        <f t="shared" ca="1" si="308"/>
        <v>23</v>
      </c>
      <c r="Q684" s="304">
        <f t="shared" ca="1" si="309"/>
        <v>0</v>
      </c>
      <c r="R684" s="306">
        <f t="shared" ca="1" si="310"/>
        <v>0</v>
      </c>
      <c r="S684" s="307">
        <f t="shared" ca="1" si="311"/>
        <v>2.0843000000000003</v>
      </c>
      <c r="T684" s="304">
        <f t="shared" ca="1" si="291"/>
        <v>20.446983000000003</v>
      </c>
      <c r="U684" s="311">
        <f t="shared" ca="1" si="292"/>
        <v>0</v>
      </c>
      <c r="V684" s="306">
        <f t="shared" ca="1" si="293"/>
        <v>1.2252410069241095</v>
      </c>
      <c r="W684" s="304">
        <f t="shared" ca="1" si="294"/>
        <v>7.2186272472146493</v>
      </c>
      <c r="Y684" s="314" t="str">
        <f t="shared" ca="1" si="312"/>
        <v/>
      </c>
      <c r="Z684" s="315" t="str">
        <f t="shared" ca="1" si="313"/>
        <v/>
      </c>
      <c r="AA684" s="316" t="str">
        <f t="shared" ca="1" si="314"/>
        <v/>
      </c>
      <c r="AC684" s="310" t="e">
        <f t="shared" ca="1" si="315"/>
        <v>#N/A</v>
      </c>
      <c r="AD684" s="323" t="e">
        <f t="shared" ca="1" si="316"/>
        <v>#N/A</v>
      </c>
      <c r="AE684" s="324">
        <f t="shared" ca="1" si="295"/>
        <v>-1.9672099473367552</v>
      </c>
      <c r="AG684" s="306">
        <f t="shared" ca="1" si="317"/>
        <v>6.3188690188036389</v>
      </c>
      <c r="AH684" s="304">
        <f t="shared" ca="1" si="318"/>
        <v>-3.4632479051856158</v>
      </c>
    </row>
    <row r="685" spans="1:34" x14ac:dyDescent="0.2">
      <c r="A685" s="347">
        <f t="shared" ca="1" si="296"/>
        <v>1E-4</v>
      </c>
      <c r="B685" s="304">
        <f t="shared" ca="1" si="297"/>
        <v>12.038099999999886</v>
      </c>
      <c r="D685" s="306">
        <f t="shared" ca="1" si="298"/>
        <v>-0.26093252209669249</v>
      </c>
      <c r="E685" s="307">
        <f t="shared" ca="1" si="299"/>
        <v>-6.3565094108627793</v>
      </c>
      <c r="F685" s="304">
        <f t="shared" ca="1" si="300"/>
        <v>6.3618627517005439</v>
      </c>
      <c r="G685" s="306">
        <f t="shared" ca="1" si="301"/>
        <v>3.9072642624507345</v>
      </c>
      <c r="H685" s="307">
        <f t="shared" ca="1" si="302"/>
        <v>-51.714352147524181</v>
      </c>
      <c r="I685" s="304">
        <f t="shared" ca="1" si="303"/>
        <v>51.86174825490135</v>
      </c>
      <c r="J685" s="306">
        <f t="shared" ca="1" si="304"/>
        <v>56.288824373840264</v>
      </c>
      <c r="K685" s="307">
        <f t="shared" ca="1" si="305"/>
        <v>-1.9723813507689607</v>
      </c>
      <c r="L685" s="304">
        <f t="shared" ca="1" si="290"/>
        <v>56.323370261214791</v>
      </c>
      <c r="M685" s="306">
        <f t="shared" ca="1" si="306"/>
        <v>-1.4953848681566524</v>
      </c>
      <c r="N685" s="304">
        <f t="shared" ca="1" si="307"/>
        <v>-85.679241693103236</v>
      </c>
      <c r="P685" s="310">
        <f t="shared" ca="1" si="308"/>
        <v>23</v>
      </c>
      <c r="Q685" s="304">
        <f t="shared" ca="1" si="309"/>
        <v>0</v>
      </c>
      <c r="R685" s="306">
        <f t="shared" ca="1" si="310"/>
        <v>0</v>
      </c>
      <c r="S685" s="307">
        <f t="shared" ca="1" si="311"/>
        <v>2.0843000000000003</v>
      </c>
      <c r="T685" s="304">
        <f t="shared" ca="1" si="291"/>
        <v>20.446983000000003</v>
      </c>
      <c r="U685" s="311">
        <f t="shared" ca="1" si="292"/>
        <v>0</v>
      </c>
      <c r="V685" s="306">
        <f t="shared" ca="1" si="293"/>
        <v>1.2252416405458346</v>
      </c>
      <c r="W685" s="304">
        <f t="shared" ca="1" si="294"/>
        <v>7.2188068856539678</v>
      </c>
      <c r="Y685" s="314" t="str">
        <f t="shared" ca="1" si="312"/>
        <v/>
      </c>
      <c r="Z685" s="315" t="str">
        <f t="shared" ca="1" si="313"/>
        <v/>
      </c>
      <c r="AA685" s="316" t="str">
        <f t="shared" ca="1" si="314"/>
        <v/>
      </c>
      <c r="AC685" s="310" t="e">
        <f t="shared" ca="1" si="315"/>
        <v>#N/A</v>
      </c>
      <c r="AD685" s="323" t="e">
        <f t="shared" ca="1" si="316"/>
        <v>#N/A</v>
      </c>
      <c r="AE685" s="324">
        <f t="shared" ca="1" si="295"/>
        <v>-1.9723813507689607</v>
      </c>
      <c r="AG685" s="306">
        <f t="shared" ca="1" si="317"/>
        <v>6.3187838857029686</v>
      </c>
      <c r="AH685" s="304">
        <f t="shared" ca="1" si="318"/>
        <v>-3.4633340916445081</v>
      </c>
    </row>
    <row r="686" spans="1:34" x14ac:dyDescent="0.2">
      <c r="A686" s="347">
        <f t="shared" ca="1" si="296"/>
        <v>1E-4</v>
      </c>
      <c r="B686" s="304">
        <f t="shared" ca="1" si="297"/>
        <v>12.038199999999886</v>
      </c>
      <c r="D686" s="306">
        <f t="shared" ca="1" si="298"/>
        <v>-0.26093409369799647</v>
      </c>
      <c r="E686" s="307">
        <f t="shared" ca="1" si="299"/>
        <v>-6.356423097492403</v>
      </c>
      <c r="F686" s="304">
        <f t="shared" ca="1" si="300"/>
        <v>6.3617765754220663</v>
      </c>
      <c r="G686" s="306">
        <f t="shared" ca="1" si="301"/>
        <v>3.9072381690413649</v>
      </c>
      <c r="H686" s="307">
        <f t="shared" ca="1" si="302"/>
        <v>-51.714987789833927</v>
      </c>
      <c r="I686" s="304">
        <f t="shared" ca="1" si="303"/>
        <v>51.862380124829265</v>
      </c>
      <c r="J686" s="306">
        <f t="shared" ca="1" si="304"/>
        <v>56.288824373840264</v>
      </c>
      <c r="K686" s="307">
        <f t="shared" ca="1" si="305"/>
        <v>-1.9775528177658286</v>
      </c>
      <c r="L686" s="304">
        <f t="shared" ca="1" si="290"/>
        <v>56.323551597321057</v>
      </c>
      <c r="M686" s="306">
        <f t="shared" ca="1" si="306"/>
        <v>-1.4953862932463349</v>
      </c>
      <c r="N686" s="304">
        <f t="shared" ca="1" si="307"/>
        <v>-85.679323344727464</v>
      </c>
      <c r="P686" s="310">
        <f t="shared" ca="1" si="308"/>
        <v>23</v>
      </c>
      <c r="Q686" s="304">
        <f t="shared" ca="1" si="309"/>
        <v>0</v>
      </c>
      <c r="R686" s="306">
        <f t="shared" ca="1" si="310"/>
        <v>0</v>
      </c>
      <c r="S686" s="307">
        <f t="shared" ca="1" si="311"/>
        <v>2.0843000000000003</v>
      </c>
      <c r="T686" s="304">
        <f t="shared" ca="1" si="291"/>
        <v>20.446983000000003</v>
      </c>
      <c r="U686" s="311">
        <f t="shared" ca="1" si="292"/>
        <v>0</v>
      </c>
      <c r="V686" s="306">
        <f t="shared" ca="1" si="293"/>
        <v>1.2252422741756754</v>
      </c>
      <c r="W686" s="304">
        <f t="shared" ca="1" si="294"/>
        <v>7.2189865240962421</v>
      </c>
      <c r="Y686" s="314" t="str">
        <f t="shared" ca="1" si="312"/>
        <v/>
      </c>
      <c r="Z686" s="315" t="str">
        <f t="shared" ca="1" si="313"/>
        <v/>
      </c>
      <c r="AA686" s="316" t="str">
        <f t="shared" ca="1" si="314"/>
        <v/>
      </c>
      <c r="AC686" s="310" t="e">
        <f t="shared" ca="1" si="315"/>
        <v>#N/A</v>
      </c>
      <c r="AD686" s="323" t="e">
        <f t="shared" ca="1" si="316"/>
        <v>#N/A</v>
      </c>
      <c r="AE686" s="324">
        <f t="shared" ca="1" si="295"/>
        <v>-1.9775528177658286</v>
      </c>
      <c r="AG686" s="306">
        <f t="shared" ca="1" si="317"/>
        <v>6.318698752548265</v>
      </c>
      <c r="AH686" s="304">
        <f t="shared" ca="1" si="318"/>
        <v>-3.4634202781048633</v>
      </c>
    </row>
    <row r="687" spans="1:34" x14ac:dyDescent="0.2">
      <c r="A687" s="347">
        <f t="shared" ca="1" si="296"/>
        <v>1E-4</v>
      </c>
      <c r="B687" s="304">
        <f t="shared" ca="1" si="297"/>
        <v>12.038299999999886</v>
      </c>
      <c r="D687" s="306">
        <f t="shared" ca="1" si="298"/>
        <v>-0.26093566520672323</v>
      </c>
      <c r="E687" s="307">
        <f t="shared" ca="1" si="299"/>
        <v>-6.3563367841206624</v>
      </c>
      <c r="F687" s="304">
        <f t="shared" ca="1" si="300"/>
        <v>6.3616903991425326</v>
      </c>
      <c r="G687" s="306">
        <f t="shared" ca="1" si="301"/>
        <v>3.9072120754748441</v>
      </c>
      <c r="H687" s="307">
        <f t="shared" ca="1" si="302"/>
        <v>-51.715623423512341</v>
      </c>
      <c r="I687" s="304">
        <f t="shared" ca="1" si="303"/>
        <v>51.863011986243862</v>
      </c>
      <c r="J687" s="306">
        <f t="shared" ca="1" si="304"/>
        <v>56.288824373840264</v>
      </c>
      <c r="K687" s="307">
        <f t="shared" ca="1" si="305"/>
        <v>-1.9827243483264958</v>
      </c>
      <c r="L687" s="304">
        <f t="shared" ca="1" si="290"/>
        <v>56.323733409908833</v>
      </c>
      <c r="M687" s="306">
        <f t="shared" ca="1" si="306"/>
        <v>-1.4953877182917756</v>
      </c>
      <c r="N687" s="304">
        <f t="shared" ca="1" si="307"/>
        <v>-85.679404993816831</v>
      </c>
      <c r="P687" s="310">
        <f t="shared" ca="1" si="308"/>
        <v>23</v>
      </c>
      <c r="Q687" s="304">
        <f t="shared" ca="1" si="309"/>
        <v>0</v>
      </c>
      <c r="R687" s="306">
        <f t="shared" ca="1" si="310"/>
        <v>0</v>
      </c>
      <c r="S687" s="307">
        <f t="shared" ca="1" si="311"/>
        <v>2.0843000000000003</v>
      </c>
      <c r="T687" s="304">
        <f t="shared" ca="1" si="291"/>
        <v>20.446983000000003</v>
      </c>
      <c r="U687" s="311">
        <f t="shared" ca="1" si="292"/>
        <v>0</v>
      </c>
      <c r="V687" s="306">
        <f t="shared" ca="1" si="293"/>
        <v>1.225242907813632</v>
      </c>
      <c r="W687" s="304">
        <f t="shared" ca="1" si="294"/>
        <v>7.2191661625413905</v>
      </c>
      <c r="Y687" s="314" t="str">
        <f t="shared" ca="1" si="312"/>
        <v/>
      </c>
      <c r="Z687" s="315" t="str">
        <f t="shared" ca="1" si="313"/>
        <v/>
      </c>
      <c r="AA687" s="316" t="str">
        <f t="shared" ca="1" si="314"/>
        <v/>
      </c>
      <c r="AC687" s="310" t="e">
        <f t="shared" ca="1" si="315"/>
        <v>#N/A</v>
      </c>
      <c r="AD687" s="323" t="e">
        <f t="shared" ca="1" si="316"/>
        <v>#N/A</v>
      </c>
      <c r="AE687" s="324">
        <f t="shared" ca="1" si="295"/>
        <v>-1.9827243483264958</v>
      </c>
      <c r="AG687" s="306">
        <f t="shared" ca="1" si="317"/>
        <v>6.3186136193395779</v>
      </c>
      <c r="AH687" s="304">
        <f t="shared" ca="1" si="318"/>
        <v>-3.4635064645666369</v>
      </c>
    </row>
    <row r="688" spans="1:34" x14ac:dyDescent="0.2">
      <c r="A688" s="347">
        <f t="shared" ca="1" si="296"/>
        <v>1E-4</v>
      </c>
      <c r="B688" s="304">
        <f t="shared" ca="1" si="297"/>
        <v>12.038399999999886</v>
      </c>
      <c r="D688" s="306">
        <f t="shared" ca="1" si="298"/>
        <v>-0.2609372366228751</v>
      </c>
      <c r="E688" s="307">
        <f t="shared" ca="1" si="299"/>
        <v>-6.3562504707475993</v>
      </c>
      <c r="F688" s="304">
        <f t="shared" ca="1" si="300"/>
        <v>6.3616042228619865</v>
      </c>
      <c r="G688" s="306">
        <f t="shared" ca="1" si="301"/>
        <v>3.9071859817511818</v>
      </c>
      <c r="H688" s="307">
        <f t="shared" ca="1" si="302"/>
        <v>-51.716259048559415</v>
      </c>
      <c r="I688" s="304">
        <f t="shared" ca="1" si="303"/>
        <v>51.863643839145126</v>
      </c>
      <c r="J688" s="306">
        <f t="shared" ca="1" si="304"/>
        <v>56.288824373840264</v>
      </c>
      <c r="K688" s="307">
        <f t="shared" ca="1" si="305"/>
        <v>-1.9878959424500995</v>
      </c>
      <c r="L688" s="304">
        <f t="shared" ca="1" si="290"/>
        <v>56.323915698990987</v>
      </c>
      <c r="M688" s="306">
        <f t="shared" ca="1" si="306"/>
        <v>-1.4953891432929771</v>
      </c>
      <c r="N688" s="304">
        <f t="shared" ca="1" si="307"/>
        <v>-85.679486640371479</v>
      </c>
      <c r="P688" s="310">
        <f t="shared" ca="1" si="308"/>
        <v>23</v>
      </c>
      <c r="Q688" s="304">
        <f t="shared" ca="1" si="309"/>
        <v>0</v>
      </c>
      <c r="R688" s="306">
        <f t="shared" ca="1" si="310"/>
        <v>0</v>
      </c>
      <c r="S688" s="307">
        <f t="shared" ca="1" si="311"/>
        <v>2.0843000000000003</v>
      </c>
      <c r="T688" s="304">
        <f t="shared" ca="1" si="291"/>
        <v>20.446983000000003</v>
      </c>
      <c r="U688" s="311">
        <f t="shared" ca="1" si="292"/>
        <v>0</v>
      </c>
      <c r="V688" s="306">
        <f t="shared" ca="1" si="293"/>
        <v>1.225243541459704</v>
      </c>
      <c r="W688" s="304">
        <f t="shared" ca="1" si="294"/>
        <v>7.2193458009893243</v>
      </c>
      <c r="Y688" s="314" t="str">
        <f t="shared" ca="1" si="312"/>
        <v/>
      </c>
      <c r="Z688" s="315" t="str">
        <f t="shared" ca="1" si="313"/>
        <v/>
      </c>
      <c r="AA688" s="316" t="str">
        <f t="shared" ca="1" si="314"/>
        <v/>
      </c>
      <c r="AC688" s="310" t="e">
        <f t="shared" ca="1" si="315"/>
        <v>#N/A</v>
      </c>
      <c r="AD688" s="323" t="e">
        <f t="shared" ca="1" si="316"/>
        <v>#N/A</v>
      </c>
      <c r="AE688" s="324">
        <f t="shared" ca="1" si="295"/>
        <v>-1.9878959424500995</v>
      </c>
      <c r="AG688" s="306">
        <f t="shared" ca="1" si="317"/>
        <v>6.3185284860769455</v>
      </c>
      <c r="AH688" s="304">
        <f t="shared" ca="1" si="318"/>
        <v>-3.4635926510297894</v>
      </c>
    </row>
    <row r="689" spans="1:34" x14ac:dyDescent="0.2">
      <c r="A689" s="347">
        <f t="shared" ca="1" si="296"/>
        <v>1E-4</v>
      </c>
      <c r="B689" s="304">
        <f t="shared" ca="1" si="297"/>
        <v>12.038499999999885</v>
      </c>
      <c r="D689" s="306">
        <f t="shared" ca="1" si="298"/>
        <v>-0.26093880794645163</v>
      </c>
      <c r="E689" s="307">
        <f t="shared" ca="1" si="299"/>
        <v>-6.3561641573732555</v>
      </c>
      <c r="F689" s="304">
        <f t="shared" ca="1" si="300"/>
        <v>6.3615180465804686</v>
      </c>
      <c r="G689" s="306">
        <f t="shared" ca="1" si="301"/>
        <v>3.907159887870387</v>
      </c>
      <c r="H689" s="307">
        <f t="shared" ca="1" si="302"/>
        <v>-51.71689466497515</v>
      </c>
      <c r="I689" s="304">
        <f t="shared" ca="1" si="303"/>
        <v>51.864275683533059</v>
      </c>
      <c r="J689" s="306">
        <f t="shared" ca="1" si="304"/>
        <v>56.288824373840264</v>
      </c>
      <c r="K689" s="307">
        <f t="shared" ca="1" si="305"/>
        <v>-1.9930676001357761</v>
      </c>
      <c r="L689" s="304">
        <f t="shared" ca="1" si="290"/>
        <v>56.324098464580374</v>
      </c>
      <c r="M689" s="306">
        <f t="shared" ca="1" si="306"/>
        <v>-1.4953905682499413</v>
      </c>
      <c r="N689" s="304">
        <f t="shared" ca="1" si="307"/>
        <v>-85.679568284391522</v>
      </c>
      <c r="P689" s="310">
        <f t="shared" ca="1" si="308"/>
        <v>23</v>
      </c>
      <c r="Q689" s="304">
        <f t="shared" ca="1" si="309"/>
        <v>0</v>
      </c>
      <c r="R689" s="306">
        <f t="shared" ca="1" si="310"/>
        <v>0</v>
      </c>
      <c r="S689" s="307">
        <f t="shared" ca="1" si="311"/>
        <v>2.0843000000000003</v>
      </c>
      <c r="T689" s="304">
        <f t="shared" ca="1" si="291"/>
        <v>20.446983000000003</v>
      </c>
      <c r="U689" s="311">
        <f t="shared" ca="1" si="292"/>
        <v>0</v>
      </c>
      <c r="V689" s="306">
        <f t="shared" ca="1" si="293"/>
        <v>1.2252441751138921</v>
      </c>
      <c r="W689" s="304">
        <f t="shared" ca="1" si="294"/>
        <v>7.2195254394399617</v>
      </c>
      <c r="Y689" s="314" t="str">
        <f t="shared" ca="1" si="312"/>
        <v/>
      </c>
      <c r="Z689" s="315" t="str">
        <f t="shared" ca="1" si="313"/>
        <v/>
      </c>
      <c r="AA689" s="316" t="str">
        <f t="shared" ca="1" si="314"/>
        <v/>
      </c>
      <c r="AC689" s="310" t="e">
        <f t="shared" ca="1" si="315"/>
        <v>#N/A</v>
      </c>
      <c r="AD689" s="323" t="e">
        <f t="shared" ca="1" si="316"/>
        <v>#N/A</v>
      </c>
      <c r="AE689" s="324">
        <f t="shared" ca="1" si="295"/>
        <v>-1.9930676001357761</v>
      </c>
      <c r="AG689" s="306">
        <f t="shared" ca="1" si="317"/>
        <v>6.3184433527604185</v>
      </c>
      <c r="AH689" s="304">
        <f t="shared" ca="1" si="318"/>
        <v>-3.4636788374942777</v>
      </c>
    </row>
    <row r="690" spans="1:34" x14ac:dyDescent="0.2">
      <c r="A690" s="347">
        <f t="shared" ca="1" si="296"/>
        <v>1E-4</v>
      </c>
      <c r="B690" s="304">
        <f t="shared" ca="1" si="297"/>
        <v>12.038599999999885</v>
      </c>
      <c r="D690" s="306">
        <f t="shared" ca="1" si="298"/>
        <v>-0.26094037917745461</v>
      </c>
      <c r="E690" s="307">
        <f t="shared" ca="1" si="299"/>
        <v>-6.35607784399767</v>
      </c>
      <c r="F690" s="304">
        <f t="shared" ca="1" si="300"/>
        <v>6.3614318702980182</v>
      </c>
      <c r="G690" s="306">
        <f t="shared" ca="1" si="301"/>
        <v>3.9071337938324695</v>
      </c>
      <c r="H690" s="307">
        <f t="shared" ca="1" si="302"/>
        <v>-51.717530272759554</v>
      </c>
      <c r="I690" s="304">
        <f t="shared" ca="1" si="303"/>
        <v>51.864907519407652</v>
      </c>
      <c r="J690" s="306">
        <f t="shared" ca="1" si="304"/>
        <v>56.288824373840264</v>
      </c>
      <c r="K690" s="307">
        <f t="shared" ca="1" si="305"/>
        <v>-1.9982393213826628</v>
      </c>
      <c r="L690" s="304">
        <f t="shared" ca="1" si="290"/>
        <v>56.324281706689824</v>
      </c>
      <c r="M690" s="306">
        <f t="shared" ca="1" si="306"/>
        <v>-1.4953919931626702</v>
      </c>
      <c r="N690" s="304">
        <f t="shared" ca="1" si="307"/>
        <v>-85.679649925877058</v>
      </c>
      <c r="P690" s="310">
        <f t="shared" ca="1" si="308"/>
        <v>23</v>
      </c>
      <c r="Q690" s="304">
        <f t="shared" ca="1" si="309"/>
        <v>0</v>
      </c>
      <c r="R690" s="306">
        <f t="shared" ca="1" si="310"/>
        <v>0</v>
      </c>
      <c r="S690" s="307">
        <f t="shared" ca="1" si="311"/>
        <v>2.0843000000000003</v>
      </c>
      <c r="T690" s="304">
        <f t="shared" ca="1" si="291"/>
        <v>20.446983000000003</v>
      </c>
      <c r="U690" s="311">
        <f t="shared" ca="1" si="292"/>
        <v>0</v>
      </c>
      <c r="V690" s="306">
        <f t="shared" ca="1" si="293"/>
        <v>1.2252448087761956</v>
      </c>
      <c r="W690" s="304">
        <f t="shared" ca="1" si="294"/>
        <v>7.2197050778932157</v>
      </c>
      <c r="Y690" s="314" t="str">
        <f t="shared" ca="1" si="312"/>
        <v/>
      </c>
      <c r="Z690" s="315" t="str">
        <f t="shared" ca="1" si="313"/>
        <v/>
      </c>
      <c r="AA690" s="316" t="str">
        <f t="shared" ca="1" si="314"/>
        <v/>
      </c>
      <c r="AC690" s="310" t="e">
        <f t="shared" ca="1" si="315"/>
        <v>#N/A</v>
      </c>
      <c r="AD690" s="323" t="e">
        <f t="shared" ca="1" si="316"/>
        <v>#N/A</v>
      </c>
      <c r="AE690" s="324">
        <f t="shared" ca="1" si="295"/>
        <v>-1.9982393213826628</v>
      </c>
      <c r="AG690" s="306">
        <f t="shared" ca="1" si="317"/>
        <v>6.3183582193900394</v>
      </c>
      <c r="AH690" s="304">
        <f t="shared" ca="1" si="318"/>
        <v>-3.4637650239600637</v>
      </c>
    </row>
    <row r="691" spans="1:34" x14ac:dyDescent="0.2">
      <c r="A691" s="347">
        <f t="shared" ca="1" si="296"/>
        <v>1E-4</v>
      </c>
      <c r="B691" s="304">
        <f t="shared" ca="1" si="297"/>
        <v>12.038699999999885</v>
      </c>
      <c r="D691" s="306">
        <f t="shared" ca="1" si="298"/>
        <v>-0.2609419503158853</v>
      </c>
      <c r="E691" s="307">
        <f t="shared" ca="1" si="299"/>
        <v>-6.3559915306208845</v>
      </c>
      <c r="F691" s="304">
        <f t="shared" ca="1" si="300"/>
        <v>6.3613456940146769</v>
      </c>
      <c r="G691" s="306">
        <f t="shared" ca="1" si="301"/>
        <v>3.9071076996374381</v>
      </c>
      <c r="H691" s="307">
        <f t="shared" ca="1" si="302"/>
        <v>-51.718165871912618</v>
      </c>
      <c r="I691" s="304">
        <f t="shared" ca="1" si="303"/>
        <v>51.865539346768898</v>
      </c>
      <c r="J691" s="306">
        <f t="shared" ca="1" si="304"/>
        <v>56.288824373840264</v>
      </c>
      <c r="K691" s="307">
        <f t="shared" ca="1" si="305"/>
        <v>-2.0034111061898963</v>
      </c>
      <c r="L691" s="304">
        <f t="shared" ca="1" si="290"/>
        <v>56.324465425332171</v>
      </c>
      <c r="M691" s="306">
        <f t="shared" ca="1" si="306"/>
        <v>-1.4953934180311663</v>
      </c>
      <c r="N691" s="304">
        <f t="shared" ca="1" si="307"/>
        <v>-85.679731564828245</v>
      </c>
      <c r="P691" s="310">
        <f t="shared" ca="1" si="308"/>
        <v>23</v>
      </c>
      <c r="Q691" s="304">
        <f t="shared" ca="1" si="309"/>
        <v>0</v>
      </c>
      <c r="R691" s="306">
        <f t="shared" ca="1" si="310"/>
        <v>0</v>
      </c>
      <c r="S691" s="307">
        <f t="shared" ca="1" si="311"/>
        <v>2.0843000000000003</v>
      </c>
      <c r="T691" s="304">
        <f t="shared" ca="1" si="291"/>
        <v>20.446983000000003</v>
      </c>
      <c r="U691" s="311">
        <f t="shared" ca="1" si="292"/>
        <v>0</v>
      </c>
      <c r="V691" s="306">
        <f t="shared" ca="1" si="293"/>
        <v>1.2252454424466146</v>
      </c>
      <c r="W691" s="304">
        <f t="shared" ca="1" si="294"/>
        <v>7.2198847163490001</v>
      </c>
      <c r="Y691" s="314" t="str">
        <f t="shared" ca="1" si="312"/>
        <v/>
      </c>
      <c r="Z691" s="315" t="str">
        <f t="shared" ca="1" si="313"/>
        <v/>
      </c>
      <c r="AA691" s="316" t="str">
        <f t="shared" ca="1" si="314"/>
        <v/>
      </c>
      <c r="AC691" s="310" t="e">
        <f t="shared" ca="1" si="315"/>
        <v>#N/A</v>
      </c>
      <c r="AD691" s="323" t="e">
        <f t="shared" ca="1" si="316"/>
        <v>#N/A</v>
      </c>
      <c r="AE691" s="324">
        <f t="shared" ca="1" si="295"/>
        <v>-2.0034111061898963</v>
      </c>
      <c r="AG691" s="306">
        <f t="shared" ca="1" si="317"/>
        <v>6.3182730859658491</v>
      </c>
      <c r="AH691" s="304">
        <f t="shared" ca="1" si="318"/>
        <v>-3.4638512104271051</v>
      </c>
    </row>
    <row r="692" spans="1:34" x14ac:dyDescent="0.2">
      <c r="A692" s="347">
        <f t="shared" ca="1" si="296"/>
        <v>1E-4</v>
      </c>
      <c r="B692" s="304">
        <f t="shared" ca="1" si="297"/>
        <v>12.038799999999885</v>
      </c>
      <c r="D692" s="306">
        <f t="shared" ca="1" si="298"/>
        <v>-0.26094352136174359</v>
      </c>
      <c r="E692" s="307">
        <f t="shared" ca="1" si="299"/>
        <v>-6.3559052172429409</v>
      </c>
      <c r="F692" s="304">
        <f t="shared" ca="1" si="300"/>
        <v>6.3612595177304865</v>
      </c>
      <c r="G692" s="306">
        <f t="shared" ca="1" si="301"/>
        <v>3.9070816052853021</v>
      </c>
      <c r="H692" s="307">
        <f t="shared" ca="1" si="302"/>
        <v>-51.718801462434342</v>
      </c>
      <c r="I692" s="304">
        <f t="shared" ca="1" si="303"/>
        <v>51.866171165616798</v>
      </c>
      <c r="J692" s="306">
        <f t="shared" ca="1" si="304"/>
        <v>56.288824373840264</v>
      </c>
      <c r="K692" s="307">
        <f t="shared" ca="1" si="305"/>
        <v>-2.0085829545566134</v>
      </c>
      <c r="L692" s="304">
        <f t="shared" ca="1" si="290"/>
        <v>56.324649620520226</v>
      </c>
      <c r="M692" s="306">
        <f t="shared" ca="1" si="306"/>
        <v>-1.4953948428554318</v>
      </c>
      <c r="N692" s="304">
        <f t="shared" ca="1" si="307"/>
        <v>-85.67981320124521</v>
      </c>
      <c r="P692" s="310">
        <f t="shared" ca="1" si="308"/>
        <v>23</v>
      </c>
      <c r="Q692" s="304">
        <f t="shared" ca="1" si="309"/>
        <v>0</v>
      </c>
      <c r="R692" s="306">
        <f t="shared" ca="1" si="310"/>
        <v>0</v>
      </c>
      <c r="S692" s="307">
        <f t="shared" ca="1" si="311"/>
        <v>2.0843000000000003</v>
      </c>
      <c r="T692" s="304">
        <f t="shared" ca="1" si="291"/>
        <v>20.446983000000003</v>
      </c>
      <c r="U692" s="311">
        <f t="shared" ca="1" si="292"/>
        <v>0</v>
      </c>
      <c r="V692" s="306">
        <f t="shared" ca="1" si="293"/>
        <v>1.2252460761251489</v>
      </c>
      <c r="W692" s="304">
        <f t="shared" ca="1" si="294"/>
        <v>7.2200643548072305</v>
      </c>
      <c r="Y692" s="314" t="str">
        <f t="shared" ca="1" si="312"/>
        <v/>
      </c>
      <c r="Z692" s="315" t="str">
        <f t="shared" ca="1" si="313"/>
        <v/>
      </c>
      <c r="AA692" s="316" t="str">
        <f t="shared" ca="1" si="314"/>
        <v/>
      </c>
      <c r="AC692" s="310" t="e">
        <f t="shared" ca="1" si="315"/>
        <v>#N/A</v>
      </c>
      <c r="AD692" s="323" t="e">
        <f t="shared" ca="1" si="316"/>
        <v>#N/A</v>
      </c>
      <c r="AE692" s="324">
        <f t="shared" ca="1" si="295"/>
        <v>-2.0085829545566134</v>
      </c>
      <c r="AG692" s="306">
        <f t="shared" ca="1" si="317"/>
        <v>6.3181879524878966</v>
      </c>
      <c r="AH692" s="304">
        <f t="shared" ca="1" si="318"/>
        <v>-3.4639373968953602</v>
      </c>
    </row>
    <row r="693" spans="1:34" x14ac:dyDescent="0.2">
      <c r="A693" s="347">
        <f t="shared" ca="1" si="296"/>
        <v>1E-4</v>
      </c>
      <c r="B693" s="304">
        <f t="shared" ca="1" si="297"/>
        <v>12.038899999999884</v>
      </c>
      <c r="D693" s="306">
        <f t="shared" ca="1" si="298"/>
        <v>-0.26094509231503027</v>
      </c>
      <c r="E693" s="307">
        <f t="shared" ca="1" si="299"/>
        <v>-6.355818903863879</v>
      </c>
      <c r="F693" s="304">
        <f t="shared" ca="1" si="300"/>
        <v>6.361173341445487</v>
      </c>
      <c r="G693" s="306">
        <f t="shared" ca="1" si="301"/>
        <v>3.9070555107760705</v>
      </c>
      <c r="H693" s="307">
        <f t="shared" ca="1" si="302"/>
        <v>-51.719437044324728</v>
      </c>
      <c r="I693" s="304">
        <f t="shared" ca="1" si="303"/>
        <v>51.866802975951337</v>
      </c>
      <c r="J693" s="306">
        <f t="shared" ca="1" si="304"/>
        <v>56.288824373840264</v>
      </c>
      <c r="K693" s="307">
        <f t="shared" ca="1" si="305"/>
        <v>-2.0137548664819516</v>
      </c>
      <c r="L693" s="304">
        <f t="shared" ca="1" si="290"/>
        <v>56.324834292266793</v>
      </c>
      <c r="M693" s="306">
        <f t="shared" ca="1" si="306"/>
        <v>-1.4953962676354684</v>
      </c>
      <c r="N693" s="304">
        <f t="shared" ca="1" si="307"/>
        <v>-85.679894835128039</v>
      </c>
      <c r="P693" s="310">
        <f t="shared" ca="1" si="308"/>
        <v>23</v>
      </c>
      <c r="Q693" s="304">
        <f t="shared" ca="1" si="309"/>
        <v>0</v>
      </c>
      <c r="R693" s="306">
        <f t="shared" ca="1" si="310"/>
        <v>0</v>
      </c>
      <c r="S693" s="307">
        <f t="shared" ca="1" si="311"/>
        <v>2.0843000000000003</v>
      </c>
      <c r="T693" s="304">
        <f t="shared" ca="1" si="291"/>
        <v>20.446983000000003</v>
      </c>
      <c r="U693" s="311">
        <f t="shared" ca="1" si="292"/>
        <v>0</v>
      </c>
      <c r="V693" s="306">
        <f t="shared" ca="1" si="293"/>
        <v>1.2252467098117985</v>
      </c>
      <c r="W693" s="304">
        <f t="shared" ca="1" si="294"/>
        <v>7.22024399326782</v>
      </c>
      <c r="Y693" s="314" t="str">
        <f t="shared" ca="1" si="312"/>
        <v/>
      </c>
      <c r="Z693" s="315" t="str">
        <f t="shared" ca="1" si="313"/>
        <v/>
      </c>
      <c r="AA693" s="316" t="str">
        <f t="shared" ca="1" si="314"/>
        <v/>
      </c>
      <c r="AC693" s="310" t="e">
        <f t="shared" ca="1" si="315"/>
        <v>#N/A</v>
      </c>
      <c r="AD693" s="323" t="e">
        <f t="shared" ca="1" si="316"/>
        <v>#N/A</v>
      </c>
      <c r="AE693" s="324">
        <f t="shared" ca="1" si="295"/>
        <v>-2.0137548664819516</v>
      </c>
      <c r="AG693" s="306">
        <f t="shared" ca="1" si="317"/>
        <v>6.3181028189562252</v>
      </c>
      <c r="AH693" s="304">
        <f t="shared" ca="1" si="318"/>
        <v>-3.464023583364789</v>
      </c>
    </row>
    <row r="694" spans="1:34" x14ac:dyDescent="0.2">
      <c r="A694" s="347">
        <f t="shared" ca="1" si="296"/>
        <v>1E-4</v>
      </c>
      <c r="B694" s="304">
        <f t="shared" ca="1" si="297"/>
        <v>12.038999999999884</v>
      </c>
      <c r="D694" s="306">
        <f t="shared" ca="1" si="298"/>
        <v>-0.26094666317574727</v>
      </c>
      <c r="E694" s="307">
        <f t="shared" ca="1" si="299"/>
        <v>-6.3557325904837416</v>
      </c>
      <c r="F694" s="304">
        <f t="shared" ca="1" si="300"/>
        <v>6.3610871651597209</v>
      </c>
      <c r="G694" s="306">
        <f t="shared" ca="1" si="301"/>
        <v>3.907029416109753</v>
      </c>
      <c r="H694" s="307">
        <f t="shared" ca="1" si="302"/>
        <v>-51.720072617583774</v>
      </c>
      <c r="I694" s="304">
        <f t="shared" ca="1" si="303"/>
        <v>51.867434777772516</v>
      </c>
      <c r="J694" s="306">
        <f t="shared" ca="1" si="304"/>
        <v>56.288824373840264</v>
      </c>
      <c r="K694" s="307">
        <f t="shared" ca="1" si="305"/>
        <v>-2.018926841965047</v>
      </c>
      <c r="L694" s="304">
        <f t="shared" ca="1" si="290"/>
        <v>56.325019440584668</v>
      </c>
      <c r="M694" s="306">
        <f t="shared" ca="1" si="306"/>
        <v>-1.4953976923712784</v>
      </c>
      <c r="N694" s="304">
        <f t="shared" ca="1" si="307"/>
        <v>-85.679976466476873</v>
      </c>
      <c r="P694" s="310">
        <f t="shared" ca="1" si="308"/>
        <v>23</v>
      </c>
      <c r="Q694" s="304">
        <f t="shared" ca="1" si="309"/>
        <v>0</v>
      </c>
      <c r="R694" s="306">
        <f t="shared" ca="1" si="310"/>
        <v>0</v>
      </c>
      <c r="S694" s="307">
        <f t="shared" ca="1" si="311"/>
        <v>2.0843000000000003</v>
      </c>
      <c r="T694" s="304">
        <f t="shared" ca="1" si="291"/>
        <v>20.446983000000003</v>
      </c>
      <c r="U694" s="311">
        <f t="shared" ca="1" si="292"/>
        <v>0</v>
      </c>
      <c r="V694" s="306">
        <f t="shared" ca="1" si="293"/>
        <v>1.2252473435065629</v>
      </c>
      <c r="W694" s="304">
        <f t="shared" ca="1" si="294"/>
        <v>7.2204236317306805</v>
      </c>
      <c r="Y694" s="314" t="str">
        <f t="shared" ca="1" si="312"/>
        <v/>
      </c>
      <c r="Z694" s="315" t="str">
        <f t="shared" ca="1" si="313"/>
        <v/>
      </c>
      <c r="AA694" s="316" t="str">
        <f t="shared" ca="1" si="314"/>
        <v/>
      </c>
      <c r="AC694" s="310" t="e">
        <f t="shared" ca="1" si="315"/>
        <v>#N/A</v>
      </c>
      <c r="AD694" s="323" t="e">
        <f t="shared" ca="1" si="316"/>
        <v>#N/A</v>
      </c>
      <c r="AE694" s="324">
        <f t="shared" ca="1" si="295"/>
        <v>-2.018926841965047</v>
      </c>
      <c r="AG694" s="306">
        <f t="shared" ca="1" si="317"/>
        <v>6.3180176853708776</v>
      </c>
      <c r="AH694" s="304">
        <f t="shared" ca="1" si="318"/>
        <v>-3.4641097698353494</v>
      </c>
    </row>
    <row r="695" spans="1:34" x14ac:dyDescent="0.2">
      <c r="A695" s="347">
        <f t="shared" ca="1" si="296"/>
        <v>1E-4</v>
      </c>
      <c r="B695" s="304">
        <f t="shared" ca="1" si="297"/>
        <v>12.039099999999884</v>
      </c>
      <c r="D695" s="306">
        <f t="shared" ca="1" si="298"/>
        <v>-0.26094823394389538</v>
      </c>
      <c r="E695" s="307">
        <f t="shared" ca="1" si="299"/>
        <v>-6.3556462771025704</v>
      </c>
      <c r="F695" s="304">
        <f t="shared" ca="1" si="300"/>
        <v>6.3610009888732293</v>
      </c>
      <c r="G695" s="306">
        <f t="shared" ca="1" si="301"/>
        <v>3.9070033212863584</v>
      </c>
      <c r="H695" s="307">
        <f t="shared" ca="1" si="302"/>
        <v>-51.720708182211482</v>
      </c>
      <c r="I695" s="304">
        <f t="shared" ca="1" si="303"/>
        <v>51.868066571080327</v>
      </c>
      <c r="J695" s="306">
        <f t="shared" ca="1" si="304"/>
        <v>56.288824373840264</v>
      </c>
      <c r="K695" s="307">
        <f t="shared" ca="1" si="305"/>
        <v>-2.0240988810050369</v>
      </c>
      <c r="L695" s="304">
        <f t="shared" ca="1" si="290"/>
        <v>56.325205065486621</v>
      </c>
      <c r="M695" s="306">
        <f t="shared" ca="1" si="306"/>
        <v>-1.4953991170628642</v>
      </c>
      <c r="N695" s="304">
        <f t="shared" ca="1" si="307"/>
        <v>-85.680058095291855</v>
      </c>
      <c r="P695" s="310">
        <f t="shared" ca="1" si="308"/>
        <v>23</v>
      </c>
      <c r="Q695" s="304">
        <f t="shared" ca="1" si="309"/>
        <v>0</v>
      </c>
      <c r="R695" s="306">
        <f t="shared" ca="1" si="310"/>
        <v>0</v>
      </c>
      <c r="S695" s="307">
        <f t="shared" ca="1" si="311"/>
        <v>2.0843000000000003</v>
      </c>
      <c r="T695" s="304">
        <f t="shared" ca="1" si="291"/>
        <v>20.446983000000003</v>
      </c>
      <c r="U695" s="311">
        <f t="shared" ca="1" si="292"/>
        <v>0</v>
      </c>
      <c r="V695" s="306">
        <f t="shared" ca="1" si="293"/>
        <v>1.2252479772094427</v>
      </c>
      <c r="W695" s="304">
        <f t="shared" ca="1" si="294"/>
        <v>7.2206032701957303</v>
      </c>
      <c r="Y695" s="314" t="str">
        <f t="shared" ca="1" si="312"/>
        <v/>
      </c>
      <c r="Z695" s="315" t="str">
        <f t="shared" ca="1" si="313"/>
        <v/>
      </c>
      <c r="AA695" s="316" t="str">
        <f t="shared" ca="1" si="314"/>
        <v/>
      </c>
      <c r="AC695" s="310" t="e">
        <f t="shared" ca="1" si="315"/>
        <v>#N/A</v>
      </c>
      <c r="AD695" s="323" t="e">
        <f t="shared" ca="1" si="316"/>
        <v>#N/A</v>
      </c>
      <c r="AE695" s="324">
        <f t="shared" ca="1" si="295"/>
        <v>-2.0240988810050369</v>
      </c>
      <c r="AG695" s="306">
        <f t="shared" ca="1" si="317"/>
        <v>6.3179325517319018</v>
      </c>
      <c r="AH695" s="304">
        <f t="shared" ca="1" si="318"/>
        <v>-3.4641959563069999</v>
      </c>
    </row>
    <row r="696" spans="1:34" x14ac:dyDescent="0.2">
      <c r="A696" s="347">
        <f t="shared" ca="1" si="296"/>
        <v>1E-4</v>
      </c>
      <c r="B696" s="304">
        <f t="shared" ca="1" si="297"/>
        <v>12.039199999999884</v>
      </c>
      <c r="D696" s="306">
        <f t="shared" ca="1" si="298"/>
        <v>-0.26094980461947453</v>
      </c>
      <c r="E696" s="307">
        <f t="shared" ca="1" si="299"/>
        <v>-6.3555599637204061</v>
      </c>
      <c r="F696" s="304">
        <f t="shared" ca="1" si="300"/>
        <v>6.3609148125860537</v>
      </c>
      <c r="G696" s="306">
        <f t="shared" ca="1" si="301"/>
        <v>3.9069772263058966</v>
      </c>
      <c r="H696" s="307">
        <f t="shared" ca="1" si="302"/>
        <v>-51.721343738207857</v>
      </c>
      <c r="I696" s="304">
        <f t="shared" ca="1" si="303"/>
        <v>51.86869835587477</v>
      </c>
      <c r="J696" s="306">
        <f t="shared" ca="1" si="304"/>
        <v>56.288824373840264</v>
      </c>
      <c r="K696" s="307">
        <f t="shared" ca="1" si="305"/>
        <v>-2.0292709836010578</v>
      </c>
      <c r="L696" s="304">
        <f t="shared" ca="1" si="290"/>
        <v>56.325391166985419</v>
      </c>
      <c r="M696" s="306">
        <f t="shared" ca="1" si="306"/>
        <v>-1.4954005417102276</v>
      </c>
      <c r="N696" s="304">
        <f t="shared" ca="1" si="307"/>
        <v>-85.68013972157307</v>
      </c>
      <c r="P696" s="310">
        <f t="shared" ca="1" si="308"/>
        <v>23</v>
      </c>
      <c r="Q696" s="304">
        <f t="shared" ca="1" si="309"/>
        <v>0</v>
      </c>
      <c r="R696" s="306">
        <f t="shared" ca="1" si="310"/>
        <v>0</v>
      </c>
      <c r="S696" s="307">
        <f t="shared" ca="1" si="311"/>
        <v>2.0843000000000003</v>
      </c>
      <c r="T696" s="304">
        <f t="shared" ca="1" si="291"/>
        <v>20.446983000000003</v>
      </c>
      <c r="U696" s="311">
        <f t="shared" ca="1" si="292"/>
        <v>0</v>
      </c>
      <c r="V696" s="306">
        <f t="shared" ca="1" si="293"/>
        <v>1.2252486109204372</v>
      </c>
      <c r="W696" s="304">
        <f t="shared" ca="1" si="294"/>
        <v>7.2207829086628825</v>
      </c>
      <c r="Y696" s="314" t="str">
        <f t="shared" ca="1" si="312"/>
        <v/>
      </c>
      <c r="Z696" s="315" t="str">
        <f t="shared" ca="1" si="313"/>
        <v/>
      </c>
      <c r="AA696" s="316" t="str">
        <f t="shared" ca="1" si="314"/>
        <v/>
      </c>
      <c r="AC696" s="310" t="e">
        <f t="shared" ca="1" si="315"/>
        <v>#N/A</v>
      </c>
      <c r="AD696" s="323" t="e">
        <f t="shared" ca="1" si="316"/>
        <v>#N/A</v>
      </c>
      <c r="AE696" s="324">
        <f t="shared" ca="1" si="295"/>
        <v>-2.0292709836010578</v>
      </c>
      <c r="AG696" s="306">
        <f t="shared" ca="1" si="317"/>
        <v>6.3178474180393387</v>
      </c>
      <c r="AH696" s="304">
        <f t="shared" ca="1" si="318"/>
        <v>-3.4642821427797004</v>
      </c>
    </row>
    <row r="697" spans="1:34" x14ac:dyDescent="0.2">
      <c r="A697" s="347">
        <f t="shared" ca="1" si="296"/>
        <v>1E-4</v>
      </c>
      <c r="B697" s="304">
        <f t="shared" ca="1" si="297"/>
        <v>12.039299999999884</v>
      </c>
      <c r="D697" s="306">
        <f t="shared" ca="1" si="298"/>
        <v>-0.26095137520248685</v>
      </c>
      <c r="E697" s="307">
        <f t="shared" ca="1" si="299"/>
        <v>-6.3554736503372871</v>
      </c>
      <c r="F697" s="304">
        <f t="shared" ca="1" si="300"/>
        <v>6.3608286362982325</v>
      </c>
      <c r="G697" s="306">
        <f t="shared" ca="1" si="301"/>
        <v>3.9069511311683764</v>
      </c>
      <c r="H697" s="307">
        <f t="shared" ca="1" si="302"/>
        <v>-51.721979285572893</v>
      </c>
      <c r="I697" s="304">
        <f t="shared" ca="1" si="303"/>
        <v>51.869330132155838</v>
      </c>
      <c r="J697" s="306">
        <f t="shared" ca="1" si="304"/>
        <v>56.288824373840264</v>
      </c>
      <c r="K697" s="307">
        <f t="shared" ca="1" si="305"/>
        <v>-2.034443149752247</v>
      </c>
      <c r="L697" s="304">
        <f t="shared" ca="1" si="290"/>
        <v>56.325577745093817</v>
      </c>
      <c r="M697" s="306">
        <f t="shared" ca="1" si="306"/>
        <v>-1.4954019663133711</v>
      </c>
      <c r="N697" s="304">
        <f t="shared" ca="1" si="307"/>
        <v>-85.680221345320675</v>
      </c>
      <c r="P697" s="310">
        <f t="shared" ca="1" si="308"/>
        <v>23</v>
      </c>
      <c r="Q697" s="304">
        <f t="shared" ca="1" si="309"/>
        <v>0</v>
      </c>
      <c r="R697" s="306">
        <f t="shared" ca="1" si="310"/>
        <v>0</v>
      </c>
      <c r="S697" s="307">
        <f t="shared" ca="1" si="311"/>
        <v>2.0843000000000003</v>
      </c>
      <c r="T697" s="304">
        <f t="shared" ca="1" si="291"/>
        <v>20.446983000000003</v>
      </c>
      <c r="U697" s="311">
        <f t="shared" ca="1" si="292"/>
        <v>0</v>
      </c>
      <c r="V697" s="306">
        <f t="shared" ca="1" si="293"/>
        <v>1.2252492446395469</v>
      </c>
      <c r="W697" s="304">
        <f t="shared" ca="1" si="294"/>
        <v>7.2209625471320571</v>
      </c>
      <c r="Y697" s="314" t="str">
        <f t="shared" ca="1" si="312"/>
        <v/>
      </c>
      <c r="Z697" s="315" t="str">
        <f t="shared" ca="1" si="313"/>
        <v/>
      </c>
      <c r="AA697" s="316" t="str">
        <f t="shared" ca="1" si="314"/>
        <v/>
      </c>
      <c r="AC697" s="310" t="e">
        <f t="shared" ca="1" si="315"/>
        <v>#N/A</v>
      </c>
      <c r="AD697" s="323" t="e">
        <f t="shared" ca="1" si="316"/>
        <v>#N/A</v>
      </c>
      <c r="AE697" s="324">
        <f t="shared" ca="1" si="295"/>
        <v>-2.034443149752247</v>
      </c>
      <c r="AG697" s="306">
        <f t="shared" ca="1" si="317"/>
        <v>6.3177622842932335</v>
      </c>
      <c r="AH697" s="304">
        <f t="shared" ca="1" si="318"/>
        <v>-3.4643683292534098</v>
      </c>
    </row>
    <row r="698" spans="1:34" x14ac:dyDescent="0.2">
      <c r="A698" s="347">
        <f t="shared" ca="1" si="296"/>
        <v>1E-4</v>
      </c>
      <c r="B698" s="304">
        <f t="shared" ca="1" si="297"/>
        <v>12.039399999999883</v>
      </c>
      <c r="D698" s="306">
        <f t="shared" ca="1" si="298"/>
        <v>-0.26095294569293243</v>
      </c>
      <c r="E698" s="307">
        <f t="shared" ca="1" si="299"/>
        <v>-6.355387336953255</v>
      </c>
      <c r="F698" s="304">
        <f t="shared" ca="1" si="300"/>
        <v>6.3607424600098064</v>
      </c>
      <c r="G698" s="306">
        <f t="shared" ca="1" si="301"/>
        <v>3.9069250358738072</v>
      </c>
      <c r="H698" s="307">
        <f t="shared" ca="1" si="302"/>
        <v>-51.722614824306589</v>
      </c>
      <c r="I698" s="304">
        <f t="shared" ca="1" si="303"/>
        <v>51.869961899923517</v>
      </c>
      <c r="J698" s="306">
        <f t="shared" ca="1" si="304"/>
        <v>56.288824373840264</v>
      </c>
      <c r="K698" s="307">
        <f t="shared" ca="1" si="305"/>
        <v>-2.0396153794577412</v>
      </c>
      <c r="L698" s="304">
        <f t="shared" ca="1" si="290"/>
        <v>56.325764799824555</v>
      </c>
      <c r="M698" s="306">
        <f t="shared" ca="1" si="306"/>
        <v>-1.4954033908722966</v>
      </c>
      <c r="N698" s="304">
        <f t="shared" ca="1" si="307"/>
        <v>-85.680302966534768</v>
      </c>
      <c r="P698" s="310">
        <f t="shared" ca="1" si="308"/>
        <v>23</v>
      </c>
      <c r="Q698" s="304">
        <f t="shared" ca="1" si="309"/>
        <v>0</v>
      </c>
      <c r="R698" s="306">
        <f t="shared" ca="1" si="310"/>
        <v>0</v>
      </c>
      <c r="S698" s="307">
        <f t="shared" ca="1" si="311"/>
        <v>2.0843000000000003</v>
      </c>
      <c r="T698" s="304">
        <f t="shared" ca="1" si="291"/>
        <v>20.446983000000003</v>
      </c>
      <c r="U698" s="311">
        <f t="shared" ca="1" si="292"/>
        <v>0</v>
      </c>
      <c r="V698" s="306">
        <f t="shared" ca="1" si="293"/>
        <v>1.2252498783667716</v>
      </c>
      <c r="W698" s="304">
        <f t="shared" ca="1" si="294"/>
        <v>7.2211421856031608</v>
      </c>
      <c r="Y698" s="314" t="str">
        <f t="shared" ca="1" si="312"/>
        <v/>
      </c>
      <c r="Z698" s="315" t="str">
        <f t="shared" ca="1" si="313"/>
        <v/>
      </c>
      <c r="AA698" s="316" t="str">
        <f t="shared" ca="1" si="314"/>
        <v/>
      </c>
      <c r="AC698" s="310" t="e">
        <f t="shared" ca="1" si="315"/>
        <v>#N/A</v>
      </c>
      <c r="AD698" s="323" t="e">
        <f t="shared" ca="1" si="316"/>
        <v>#N/A</v>
      </c>
      <c r="AE698" s="324">
        <f t="shared" ca="1" si="295"/>
        <v>-2.0396153794577412</v>
      </c>
      <c r="AG698" s="306">
        <f t="shared" ca="1" si="317"/>
        <v>6.3176771504936315</v>
      </c>
      <c r="AH698" s="304">
        <f t="shared" ca="1" si="318"/>
        <v>-3.464454515728089</v>
      </c>
    </row>
    <row r="699" spans="1:34" x14ac:dyDescent="0.2">
      <c r="A699" s="347">
        <f t="shared" ca="1" si="296"/>
        <v>1E-4</v>
      </c>
      <c r="B699" s="304">
        <f t="shared" ca="1" si="297"/>
        <v>12.039499999999883</v>
      </c>
      <c r="D699" s="306">
        <f t="shared" ca="1" si="298"/>
        <v>-0.26095451609081244</v>
      </c>
      <c r="E699" s="307">
        <f t="shared" ca="1" si="299"/>
        <v>-6.3553010235683525</v>
      </c>
      <c r="F699" s="304">
        <f t="shared" ca="1" si="300"/>
        <v>6.3606562837208189</v>
      </c>
      <c r="G699" s="306">
        <f t="shared" ca="1" si="301"/>
        <v>3.9068989404221983</v>
      </c>
      <c r="H699" s="307">
        <f t="shared" ca="1" si="302"/>
        <v>-51.723250354408947</v>
      </c>
      <c r="I699" s="304">
        <f t="shared" ca="1" si="303"/>
        <v>51.870593659177807</v>
      </c>
      <c r="J699" s="306">
        <f t="shared" ca="1" si="304"/>
        <v>56.288824373840264</v>
      </c>
      <c r="K699" s="307">
        <f t="shared" ca="1" si="305"/>
        <v>-2.0447876727166769</v>
      </c>
      <c r="L699" s="304">
        <f t="shared" ca="1" si="290"/>
        <v>56.325952331190351</v>
      </c>
      <c r="M699" s="306">
        <f t="shared" ca="1" si="306"/>
        <v>-1.4954048153870061</v>
      </c>
      <c r="N699" s="304">
        <f t="shared" ca="1" si="307"/>
        <v>-85.680384585215478</v>
      </c>
      <c r="P699" s="310">
        <f t="shared" ca="1" si="308"/>
        <v>23</v>
      </c>
      <c r="Q699" s="304">
        <f t="shared" ca="1" si="309"/>
        <v>0</v>
      </c>
      <c r="R699" s="306">
        <f t="shared" ca="1" si="310"/>
        <v>0</v>
      </c>
      <c r="S699" s="307">
        <f t="shared" ca="1" si="311"/>
        <v>2.0843000000000003</v>
      </c>
      <c r="T699" s="304">
        <f t="shared" ca="1" si="291"/>
        <v>20.446983000000003</v>
      </c>
      <c r="U699" s="311">
        <f t="shared" ca="1" si="292"/>
        <v>0</v>
      </c>
      <c r="V699" s="306">
        <f t="shared" ca="1" si="293"/>
        <v>1.2252505121021107</v>
      </c>
      <c r="W699" s="304">
        <f t="shared" ca="1" si="294"/>
        <v>7.2213218240761092</v>
      </c>
      <c r="Y699" s="314" t="str">
        <f t="shared" ca="1" si="312"/>
        <v/>
      </c>
      <c r="Z699" s="315" t="str">
        <f t="shared" ca="1" si="313"/>
        <v/>
      </c>
      <c r="AA699" s="316" t="str">
        <f t="shared" ca="1" si="314"/>
        <v/>
      </c>
      <c r="AC699" s="310" t="e">
        <f t="shared" ca="1" si="315"/>
        <v>#N/A</v>
      </c>
      <c r="AD699" s="323" t="e">
        <f t="shared" ca="1" si="316"/>
        <v>#N/A</v>
      </c>
      <c r="AE699" s="324">
        <f t="shared" ca="1" si="295"/>
        <v>-2.0447876727166769</v>
      </c>
      <c r="AG699" s="306">
        <f t="shared" ca="1" si="317"/>
        <v>6.3175920166405781</v>
      </c>
      <c r="AH699" s="304">
        <f t="shared" ca="1" si="318"/>
        <v>-3.4645407022036943</v>
      </c>
    </row>
    <row r="700" spans="1:34" x14ac:dyDescent="0.2">
      <c r="A700" s="347">
        <f t="shared" ca="1" si="296"/>
        <v>1E-4</v>
      </c>
      <c r="B700" s="304">
        <f t="shared" ca="1" si="297"/>
        <v>12.039599999999883</v>
      </c>
      <c r="D700" s="306">
        <f t="shared" ca="1" si="298"/>
        <v>-0.26095608639612827</v>
      </c>
      <c r="E700" s="307">
        <f t="shared" ca="1" si="299"/>
        <v>-6.3552147101826213</v>
      </c>
      <c r="F700" s="304">
        <f t="shared" ca="1" si="300"/>
        <v>6.360570107431311</v>
      </c>
      <c r="G700" s="306">
        <f t="shared" ca="1" si="301"/>
        <v>3.9068728448135586</v>
      </c>
      <c r="H700" s="307">
        <f t="shared" ca="1" si="302"/>
        <v>-51.723885875879965</v>
      </c>
      <c r="I700" s="304">
        <f t="shared" ca="1" si="303"/>
        <v>51.871225409918708</v>
      </c>
      <c r="J700" s="306">
        <f t="shared" ca="1" si="304"/>
        <v>56.288824373840264</v>
      </c>
      <c r="K700" s="307">
        <f t="shared" ca="1" si="305"/>
        <v>-2.0499600295281915</v>
      </c>
      <c r="L700" s="304">
        <f t="shared" ca="1" si="290"/>
        <v>56.326140339203938</v>
      </c>
      <c r="M700" s="306">
        <f t="shared" ca="1" si="306"/>
        <v>-1.4954062398575021</v>
      </c>
      <c r="N700" s="304">
        <f t="shared" ca="1" si="307"/>
        <v>-85.680466201362933</v>
      </c>
      <c r="P700" s="310">
        <f t="shared" ca="1" si="308"/>
        <v>23</v>
      </c>
      <c r="Q700" s="304">
        <f t="shared" ca="1" si="309"/>
        <v>0</v>
      </c>
      <c r="R700" s="306">
        <f t="shared" ca="1" si="310"/>
        <v>0</v>
      </c>
      <c r="S700" s="307">
        <f t="shared" ca="1" si="311"/>
        <v>2.0843000000000003</v>
      </c>
      <c r="T700" s="304">
        <f t="shared" ca="1" si="291"/>
        <v>20.446983000000003</v>
      </c>
      <c r="U700" s="311">
        <f t="shared" ca="1" si="292"/>
        <v>0</v>
      </c>
      <c r="V700" s="306">
        <f t="shared" ca="1" si="293"/>
        <v>1.2252511458455648</v>
      </c>
      <c r="W700" s="304">
        <f t="shared" ca="1" si="294"/>
        <v>7.2215014625508234</v>
      </c>
      <c r="Y700" s="314" t="str">
        <f t="shared" ca="1" si="312"/>
        <v/>
      </c>
      <c r="Z700" s="315" t="str">
        <f t="shared" ca="1" si="313"/>
        <v/>
      </c>
      <c r="AA700" s="316" t="str">
        <f t="shared" ca="1" si="314"/>
        <v/>
      </c>
      <c r="AC700" s="310" t="e">
        <f t="shared" ca="1" si="315"/>
        <v>#N/A</v>
      </c>
      <c r="AD700" s="323" t="e">
        <f t="shared" ca="1" si="316"/>
        <v>#N/A</v>
      </c>
      <c r="AE700" s="324">
        <f t="shared" ca="1" si="295"/>
        <v>-2.0499600295281915</v>
      </c>
      <c r="AG700" s="306">
        <f t="shared" ca="1" si="317"/>
        <v>6.3175068827341168</v>
      </c>
      <c r="AH700" s="304">
        <f t="shared" ca="1" si="318"/>
        <v>-3.4646268886801845</v>
      </c>
    </row>
    <row r="701" spans="1:34" x14ac:dyDescent="0.2">
      <c r="A701" s="347">
        <f t="shared" ca="1" si="296"/>
        <v>1E-4</v>
      </c>
      <c r="B701" s="304">
        <f t="shared" ca="1" si="297"/>
        <v>12.039699999999883</v>
      </c>
      <c r="D701" s="306">
        <f t="shared" ca="1" si="298"/>
        <v>-0.26095765660888015</v>
      </c>
      <c r="E701" s="307">
        <f t="shared" ca="1" si="299"/>
        <v>-6.3551283967960996</v>
      </c>
      <c r="F701" s="304">
        <f t="shared" ca="1" si="300"/>
        <v>6.3604839311413217</v>
      </c>
      <c r="G701" s="306">
        <f t="shared" ca="1" si="301"/>
        <v>3.9068467490478977</v>
      </c>
      <c r="H701" s="307">
        <f t="shared" ca="1" si="302"/>
        <v>-51.724521388719644</v>
      </c>
      <c r="I701" s="304">
        <f t="shared" ca="1" si="303"/>
        <v>51.871857152146212</v>
      </c>
      <c r="J701" s="306">
        <f t="shared" ca="1" si="304"/>
        <v>56.288824373840264</v>
      </c>
      <c r="K701" s="307">
        <f t="shared" ca="1" si="305"/>
        <v>-2.0551324498914214</v>
      </c>
      <c r="L701" s="304">
        <f t="shared" ca="1" si="290"/>
        <v>56.326328823878008</v>
      </c>
      <c r="M701" s="306">
        <f t="shared" ca="1" si="306"/>
        <v>-1.4954076642837864</v>
      </c>
      <c r="N701" s="304">
        <f t="shared" ca="1" si="307"/>
        <v>-85.68054781497726</v>
      </c>
      <c r="P701" s="310">
        <f t="shared" ca="1" si="308"/>
        <v>23</v>
      </c>
      <c r="Q701" s="304">
        <f t="shared" ca="1" si="309"/>
        <v>0</v>
      </c>
      <c r="R701" s="306">
        <f t="shared" ca="1" si="310"/>
        <v>0</v>
      </c>
      <c r="S701" s="307">
        <f t="shared" ca="1" si="311"/>
        <v>2.0843000000000003</v>
      </c>
      <c r="T701" s="304">
        <f t="shared" ca="1" si="291"/>
        <v>20.446983000000003</v>
      </c>
      <c r="U701" s="311">
        <f t="shared" ca="1" si="292"/>
        <v>0</v>
      </c>
      <c r="V701" s="306">
        <f t="shared" ca="1" si="293"/>
        <v>1.2252517795971327</v>
      </c>
      <c r="W701" s="304">
        <f t="shared" ca="1" si="294"/>
        <v>7.2216811010272091</v>
      </c>
      <c r="Y701" s="314" t="str">
        <f t="shared" ca="1" si="312"/>
        <v/>
      </c>
      <c r="Z701" s="315" t="str">
        <f t="shared" ca="1" si="313"/>
        <v/>
      </c>
      <c r="AA701" s="316" t="str">
        <f t="shared" ca="1" si="314"/>
        <v/>
      </c>
      <c r="AC701" s="310" t="e">
        <f t="shared" ca="1" si="315"/>
        <v>#N/A</v>
      </c>
      <c r="AD701" s="323" t="e">
        <f t="shared" ca="1" si="316"/>
        <v>#N/A</v>
      </c>
      <c r="AE701" s="324">
        <f t="shared" ca="1" si="295"/>
        <v>-2.0551324498914214</v>
      </c>
      <c r="AG701" s="306">
        <f t="shared" ca="1" si="317"/>
        <v>6.3174217487742892</v>
      </c>
      <c r="AH701" s="304">
        <f t="shared" ca="1" si="318"/>
        <v>-3.4647130751575217</v>
      </c>
    </row>
    <row r="702" spans="1:34" x14ac:dyDescent="0.2">
      <c r="A702" s="347">
        <f t="shared" ca="1" si="296"/>
        <v>1E-4</v>
      </c>
      <c r="B702" s="304">
        <f t="shared" ca="1" si="297"/>
        <v>12.039799999999882</v>
      </c>
      <c r="D702" s="306">
        <f t="shared" ca="1" si="298"/>
        <v>-0.2609592267290699</v>
      </c>
      <c r="E702" s="307">
        <f t="shared" ca="1" si="299"/>
        <v>-6.3550420834088328</v>
      </c>
      <c r="F702" s="304">
        <f t="shared" ca="1" si="300"/>
        <v>6.3603977548508954</v>
      </c>
      <c r="G702" s="306">
        <f t="shared" ca="1" si="301"/>
        <v>3.9068206531252248</v>
      </c>
      <c r="H702" s="307">
        <f t="shared" ca="1" si="302"/>
        <v>-51.725156892927984</v>
      </c>
      <c r="I702" s="304">
        <f t="shared" ca="1" si="303"/>
        <v>51.872488885860307</v>
      </c>
      <c r="J702" s="306">
        <f t="shared" ca="1" si="304"/>
        <v>56.288824373840264</v>
      </c>
      <c r="K702" s="307">
        <f t="shared" ca="1" si="305"/>
        <v>-2.0603049338055039</v>
      </c>
      <c r="L702" s="304">
        <f t="shared" ca="1" si="290"/>
        <v>56.326517785225256</v>
      </c>
      <c r="M702" s="306">
        <f t="shared" ca="1" si="306"/>
        <v>-1.4954090886658615</v>
      </c>
      <c r="N702" s="304">
        <f t="shared" ca="1" si="307"/>
        <v>-85.680629426058573</v>
      </c>
      <c r="P702" s="310">
        <f t="shared" ca="1" si="308"/>
        <v>23</v>
      </c>
      <c r="Q702" s="304">
        <f t="shared" ca="1" si="309"/>
        <v>0</v>
      </c>
      <c r="R702" s="306">
        <f t="shared" ca="1" si="310"/>
        <v>0</v>
      </c>
      <c r="S702" s="307">
        <f t="shared" ca="1" si="311"/>
        <v>2.0843000000000003</v>
      </c>
      <c r="T702" s="304">
        <f t="shared" ca="1" si="291"/>
        <v>20.446983000000003</v>
      </c>
      <c r="U702" s="311">
        <f t="shared" ca="1" si="292"/>
        <v>0</v>
      </c>
      <c r="V702" s="306">
        <f t="shared" ca="1" si="293"/>
        <v>1.2252524133568155</v>
      </c>
      <c r="W702" s="304">
        <f t="shared" ca="1" si="294"/>
        <v>7.2218607395051864</v>
      </c>
      <c r="Y702" s="314" t="str">
        <f t="shared" ca="1" si="312"/>
        <v/>
      </c>
      <c r="Z702" s="315" t="str">
        <f t="shared" ca="1" si="313"/>
        <v/>
      </c>
      <c r="AA702" s="316" t="str">
        <f t="shared" ca="1" si="314"/>
        <v/>
      </c>
      <c r="AC702" s="310" t="e">
        <f t="shared" ca="1" si="315"/>
        <v>#N/A</v>
      </c>
      <c r="AD702" s="323" t="e">
        <f t="shared" ca="1" si="316"/>
        <v>#N/A</v>
      </c>
      <c r="AE702" s="324">
        <f t="shared" ca="1" si="295"/>
        <v>-2.0603049338055039</v>
      </c>
      <c r="AG702" s="306">
        <f t="shared" ca="1" si="317"/>
        <v>6.3173366147611434</v>
      </c>
      <c r="AH702" s="304">
        <f t="shared" ca="1" si="318"/>
        <v>-3.4647992616356609</v>
      </c>
    </row>
    <row r="703" spans="1:34" x14ac:dyDescent="0.2">
      <c r="A703" s="347">
        <f t="shared" ca="1" si="296"/>
        <v>1E-4</v>
      </c>
      <c r="B703" s="304">
        <f t="shared" ca="1" si="297"/>
        <v>12.039899999999882</v>
      </c>
      <c r="D703" s="306">
        <f t="shared" ca="1" si="298"/>
        <v>-0.26096079675669687</v>
      </c>
      <c r="E703" s="307">
        <f t="shared" ca="1" si="299"/>
        <v>-6.3549557700208563</v>
      </c>
      <c r="F703" s="304">
        <f t="shared" ca="1" si="300"/>
        <v>6.3603115785600686</v>
      </c>
      <c r="G703" s="306">
        <f t="shared" ca="1" si="301"/>
        <v>3.9067945570455489</v>
      </c>
      <c r="H703" s="307">
        <f t="shared" ca="1" si="302"/>
        <v>-51.725792388504985</v>
      </c>
      <c r="I703" s="304">
        <f t="shared" ca="1" si="303"/>
        <v>51.87312061106099</v>
      </c>
      <c r="J703" s="306">
        <f t="shared" ca="1" si="304"/>
        <v>56.288824373840264</v>
      </c>
      <c r="K703" s="307">
        <f t="shared" ca="1" si="305"/>
        <v>-2.0654774812695758</v>
      </c>
      <c r="L703" s="304">
        <f t="shared" ca="1" si="290"/>
        <v>56.32670722325836</v>
      </c>
      <c r="M703" s="306">
        <f t="shared" ca="1" si="306"/>
        <v>-1.4954105130037292</v>
      </c>
      <c r="N703" s="304">
        <f t="shared" ca="1" si="307"/>
        <v>-85.680711034606986</v>
      </c>
      <c r="P703" s="310">
        <f t="shared" ca="1" si="308"/>
        <v>23</v>
      </c>
      <c r="Q703" s="304">
        <f t="shared" ca="1" si="309"/>
        <v>0</v>
      </c>
      <c r="R703" s="306">
        <f t="shared" ca="1" si="310"/>
        <v>0</v>
      </c>
      <c r="S703" s="307">
        <f t="shared" ca="1" si="311"/>
        <v>2.0843000000000003</v>
      </c>
      <c r="T703" s="304">
        <f t="shared" ca="1" si="291"/>
        <v>20.446983000000003</v>
      </c>
      <c r="U703" s="311">
        <f t="shared" ca="1" si="292"/>
        <v>0</v>
      </c>
      <c r="V703" s="306">
        <f t="shared" ca="1" si="293"/>
        <v>1.2252530471246124</v>
      </c>
      <c r="W703" s="304">
        <f t="shared" ca="1" si="294"/>
        <v>7.2220403779846638</v>
      </c>
      <c r="Y703" s="314" t="str">
        <f t="shared" ca="1" si="312"/>
        <v/>
      </c>
      <c r="Z703" s="315" t="str">
        <f t="shared" ca="1" si="313"/>
        <v/>
      </c>
      <c r="AA703" s="316" t="str">
        <f t="shared" ca="1" si="314"/>
        <v/>
      </c>
      <c r="AC703" s="310" t="e">
        <f t="shared" ca="1" si="315"/>
        <v>#N/A</v>
      </c>
      <c r="AD703" s="323" t="e">
        <f t="shared" ca="1" si="316"/>
        <v>#N/A</v>
      </c>
      <c r="AE703" s="324">
        <f t="shared" ca="1" si="295"/>
        <v>-2.0654774812695758</v>
      </c>
      <c r="AG703" s="306">
        <f t="shared" ca="1" si="317"/>
        <v>6.3172514806947264</v>
      </c>
      <c r="AH703" s="304">
        <f t="shared" ca="1" si="318"/>
        <v>-3.4648854481145639</v>
      </c>
    </row>
    <row r="704" spans="1:34" x14ac:dyDescent="0.2">
      <c r="A704" s="347">
        <f t="shared" ca="1" si="296"/>
        <v>1E-4</v>
      </c>
      <c r="B704" s="304">
        <f t="shared" ca="1" si="297"/>
        <v>12.039999999999882</v>
      </c>
      <c r="D704" s="306">
        <f t="shared" ca="1" si="298"/>
        <v>-0.2609623666917637</v>
      </c>
      <c r="E704" s="307">
        <f t="shared" ca="1" si="299"/>
        <v>-6.354869456632219</v>
      </c>
      <c r="F704" s="304">
        <f t="shared" ca="1" si="300"/>
        <v>6.3602254022688882</v>
      </c>
      <c r="G704" s="306">
        <f t="shared" ca="1" si="301"/>
        <v>3.9067684608088795</v>
      </c>
      <c r="H704" s="307">
        <f t="shared" ca="1" si="302"/>
        <v>-51.726427875450646</v>
      </c>
      <c r="I704" s="304">
        <f t="shared" ca="1" si="303"/>
        <v>51.873752327748271</v>
      </c>
      <c r="J704" s="306">
        <f t="shared" ca="1" si="304"/>
        <v>56.288824373840264</v>
      </c>
      <c r="K704" s="307">
        <f t="shared" ca="1" si="305"/>
        <v>-2.0706500922827735</v>
      </c>
      <c r="L704" s="304">
        <f t="shared" ca="1" si="290"/>
        <v>56.326897137989988</v>
      </c>
      <c r="M704" s="306">
        <f t="shared" ca="1" si="306"/>
        <v>-1.4954119372973917</v>
      </c>
      <c r="N704" s="304">
        <f t="shared" ca="1" si="307"/>
        <v>-85.680792640622641</v>
      </c>
      <c r="P704" s="310">
        <f t="shared" ca="1" si="308"/>
        <v>23</v>
      </c>
      <c r="Q704" s="304">
        <f t="shared" ca="1" si="309"/>
        <v>0</v>
      </c>
      <c r="R704" s="306">
        <f t="shared" ca="1" si="310"/>
        <v>0</v>
      </c>
      <c r="S704" s="307">
        <f t="shared" ca="1" si="311"/>
        <v>2.0843000000000003</v>
      </c>
      <c r="T704" s="304">
        <f t="shared" ca="1" si="291"/>
        <v>20.446983000000003</v>
      </c>
      <c r="U704" s="311">
        <f t="shared" ca="1" si="292"/>
        <v>0</v>
      </c>
      <c r="V704" s="306">
        <f t="shared" ca="1" si="293"/>
        <v>1.2252536809005237</v>
      </c>
      <c r="W704" s="304">
        <f t="shared" ca="1" si="294"/>
        <v>7.2222200164655677</v>
      </c>
      <c r="Y704" s="314" t="str">
        <f t="shared" ca="1" si="312"/>
        <v/>
      </c>
      <c r="Z704" s="315" t="str">
        <f t="shared" ca="1" si="313"/>
        <v/>
      </c>
      <c r="AA704" s="316" t="str">
        <f t="shared" ca="1" si="314"/>
        <v/>
      </c>
      <c r="AC704" s="310" t="e">
        <f t="shared" ca="1" si="315"/>
        <v>#N/A</v>
      </c>
      <c r="AD704" s="323" t="e">
        <f t="shared" ca="1" si="316"/>
        <v>#N/A</v>
      </c>
      <c r="AE704" s="324">
        <f t="shared" ca="1" si="295"/>
        <v>-2.0706500922827735</v>
      </c>
      <c r="AG704" s="306">
        <f t="shared" ca="1" si="317"/>
        <v>6.3171663465750774</v>
      </c>
      <c r="AH704" s="304">
        <f t="shared" ca="1" si="318"/>
        <v>-3.4649716345941863</v>
      </c>
    </row>
    <row r="705" spans="1:34" x14ac:dyDescent="0.2">
      <c r="A705" s="347">
        <f t="shared" ca="1" si="296"/>
        <v>1E-4</v>
      </c>
      <c r="B705" s="304">
        <f t="shared" ca="1" si="297"/>
        <v>12.040099999999882</v>
      </c>
      <c r="D705" s="306">
        <f t="shared" ca="1" si="298"/>
        <v>-0.26096393653427086</v>
      </c>
      <c r="E705" s="307">
        <f t="shared" ca="1" si="299"/>
        <v>-6.3547831432429529</v>
      </c>
      <c r="F705" s="304">
        <f t="shared" ca="1" si="300"/>
        <v>6.3601392259773881</v>
      </c>
      <c r="G705" s="306">
        <f t="shared" ca="1" si="301"/>
        <v>3.9067423644152259</v>
      </c>
      <c r="H705" s="307">
        <f t="shared" ca="1" si="302"/>
        <v>-51.727063353764969</v>
      </c>
      <c r="I705" s="304">
        <f t="shared" ca="1" si="303"/>
        <v>51.87438403592212</v>
      </c>
      <c r="J705" s="306">
        <f t="shared" ca="1" si="304"/>
        <v>56.288824373840264</v>
      </c>
      <c r="K705" s="307">
        <f t="shared" ca="1" si="305"/>
        <v>-2.0758227668442344</v>
      </c>
      <c r="L705" s="304">
        <f t="shared" ca="1" si="290"/>
        <v>56.327087529432788</v>
      </c>
      <c r="M705" s="306">
        <f t="shared" ca="1" si="306"/>
        <v>-1.4954133615468514</v>
      </c>
      <c r="N705" s="304">
        <f t="shared" ca="1" si="307"/>
        <v>-85.680874244105667</v>
      </c>
      <c r="P705" s="310">
        <f t="shared" ca="1" si="308"/>
        <v>23</v>
      </c>
      <c r="Q705" s="304">
        <f t="shared" ca="1" si="309"/>
        <v>0</v>
      </c>
      <c r="R705" s="306">
        <f t="shared" ca="1" si="310"/>
        <v>0</v>
      </c>
      <c r="S705" s="307">
        <f t="shared" ca="1" si="311"/>
        <v>2.0843000000000003</v>
      </c>
      <c r="T705" s="304">
        <f t="shared" ca="1" si="291"/>
        <v>20.446983000000003</v>
      </c>
      <c r="U705" s="311">
        <f t="shared" ca="1" si="292"/>
        <v>0</v>
      </c>
      <c r="V705" s="306">
        <f t="shared" ca="1" si="293"/>
        <v>1.2252543146845492</v>
      </c>
      <c r="W705" s="304">
        <f t="shared" ca="1" si="294"/>
        <v>7.2223996549477993</v>
      </c>
      <c r="Y705" s="314" t="str">
        <f t="shared" ca="1" si="312"/>
        <v/>
      </c>
      <c r="Z705" s="315" t="str">
        <f t="shared" ca="1" si="313"/>
        <v/>
      </c>
      <c r="AA705" s="316" t="str">
        <f t="shared" ca="1" si="314"/>
        <v/>
      </c>
      <c r="AC705" s="310" t="e">
        <f t="shared" ca="1" si="315"/>
        <v>#N/A</v>
      </c>
      <c r="AD705" s="323" t="e">
        <f t="shared" ca="1" si="316"/>
        <v>#N/A</v>
      </c>
      <c r="AE705" s="324">
        <f t="shared" ca="1" si="295"/>
        <v>-2.0758227668442344</v>
      </c>
      <c r="AG705" s="306">
        <f t="shared" ca="1" si="317"/>
        <v>6.3170812124022397</v>
      </c>
      <c r="AH705" s="304">
        <f t="shared" ca="1" si="318"/>
        <v>-3.4650578210744936</v>
      </c>
    </row>
    <row r="706" spans="1:34" x14ac:dyDescent="0.2">
      <c r="A706" s="347">
        <f t="shared" ca="1" si="296"/>
        <v>1E-4</v>
      </c>
      <c r="B706" s="304">
        <f t="shared" ca="1" si="297"/>
        <v>12.040199999999881</v>
      </c>
      <c r="D706" s="306">
        <f t="shared" ca="1" si="298"/>
        <v>-0.26096550628421838</v>
      </c>
      <c r="E706" s="307">
        <f t="shared" ca="1" si="299"/>
        <v>-6.3546968298531059</v>
      </c>
      <c r="F706" s="304">
        <f t="shared" ca="1" si="300"/>
        <v>6.3600530496856154</v>
      </c>
      <c r="G706" s="306">
        <f t="shared" ca="1" si="301"/>
        <v>3.9067162678645975</v>
      </c>
      <c r="H706" s="307">
        <f t="shared" ca="1" si="302"/>
        <v>-51.727698823447952</v>
      </c>
      <c r="I706" s="304">
        <f t="shared" ca="1" si="303"/>
        <v>51.875015735582544</v>
      </c>
      <c r="J706" s="306">
        <f t="shared" ca="1" si="304"/>
        <v>56.288824373840264</v>
      </c>
      <c r="K706" s="307">
        <f t="shared" ca="1" si="305"/>
        <v>-2.080995504953095</v>
      </c>
      <c r="L706" s="304">
        <f t="shared" ca="1" si="290"/>
        <v>56.327278397599407</v>
      </c>
      <c r="M706" s="306">
        <f t="shared" ca="1" si="306"/>
        <v>-1.4954147857521103</v>
      </c>
      <c r="N706" s="304">
        <f t="shared" ca="1" si="307"/>
        <v>-85.680955845056147</v>
      </c>
      <c r="P706" s="310">
        <f t="shared" ca="1" si="308"/>
        <v>23</v>
      </c>
      <c r="Q706" s="304">
        <f t="shared" ca="1" si="309"/>
        <v>0</v>
      </c>
      <c r="R706" s="306">
        <f t="shared" ca="1" si="310"/>
        <v>0</v>
      </c>
      <c r="S706" s="307">
        <f t="shared" ca="1" si="311"/>
        <v>2.0843000000000003</v>
      </c>
      <c r="T706" s="304">
        <f t="shared" ca="1" si="291"/>
        <v>20.446983000000003</v>
      </c>
      <c r="U706" s="311">
        <f t="shared" ca="1" si="292"/>
        <v>0</v>
      </c>
      <c r="V706" s="306">
        <f t="shared" ca="1" si="293"/>
        <v>1.2252549484766884</v>
      </c>
      <c r="W706" s="304">
        <f t="shared" ca="1" si="294"/>
        <v>7.222579293431278</v>
      </c>
      <c r="Y706" s="314" t="str">
        <f t="shared" ca="1" si="312"/>
        <v/>
      </c>
      <c r="Z706" s="315" t="str">
        <f t="shared" ca="1" si="313"/>
        <v/>
      </c>
      <c r="AA706" s="316" t="str">
        <f t="shared" ca="1" si="314"/>
        <v/>
      </c>
      <c r="AC706" s="310" t="e">
        <f t="shared" ca="1" si="315"/>
        <v>#N/A</v>
      </c>
      <c r="AD706" s="323" t="e">
        <f t="shared" ca="1" si="316"/>
        <v>#N/A</v>
      </c>
      <c r="AE706" s="324">
        <f t="shared" ca="1" si="295"/>
        <v>-2.080995504953095</v>
      </c>
      <c r="AG706" s="306">
        <f t="shared" ca="1" si="317"/>
        <v>6.3169960781762633</v>
      </c>
      <c r="AH706" s="304">
        <f t="shared" ca="1" si="318"/>
        <v>-3.4651440075554376</v>
      </c>
    </row>
    <row r="707" spans="1:34" x14ac:dyDescent="0.2">
      <c r="A707" s="347">
        <f t="shared" ca="1" si="296"/>
        <v>1E-4</v>
      </c>
      <c r="B707" s="304">
        <f t="shared" ca="1" si="297"/>
        <v>12.040299999999881</v>
      </c>
      <c r="D707" s="306">
        <f t="shared" ca="1" si="298"/>
        <v>-0.26096707594160795</v>
      </c>
      <c r="E707" s="307">
        <f t="shared" ca="1" si="299"/>
        <v>-6.3546105164627171</v>
      </c>
      <c r="F707" s="304">
        <f t="shared" ca="1" si="300"/>
        <v>6.3599668733936081</v>
      </c>
      <c r="G707" s="306">
        <f t="shared" ca="1" si="301"/>
        <v>3.9066901711570035</v>
      </c>
      <c r="H707" s="307">
        <f t="shared" ca="1" si="302"/>
        <v>-51.728334284499596</v>
      </c>
      <c r="I707" s="304">
        <f t="shared" ca="1" si="303"/>
        <v>51.875647426729536</v>
      </c>
      <c r="J707" s="306">
        <f t="shared" ca="1" si="304"/>
        <v>56.288824373840264</v>
      </c>
      <c r="K707" s="307">
        <f t="shared" ca="1" si="305"/>
        <v>-2.0861683066084926</v>
      </c>
      <c r="L707" s="304">
        <f t="shared" ca="1" si="290"/>
        <v>56.327469742502473</v>
      </c>
      <c r="M707" s="306">
        <f t="shared" ca="1" si="306"/>
        <v>-1.4954162099131705</v>
      </c>
      <c r="N707" s="304">
        <f t="shared" ca="1" si="307"/>
        <v>-85.681037443474253</v>
      </c>
      <c r="P707" s="310">
        <f t="shared" ca="1" si="308"/>
        <v>23</v>
      </c>
      <c r="Q707" s="304">
        <f t="shared" ca="1" si="309"/>
        <v>0</v>
      </c>
      <c r="R707" s="306">
        <f t="shared" ca="1" si="310"/>
        <v>0</v>
      </c>
      <c r="S707" s="307">
        <f t="shared" ca="1" si="311"/>
        <v>2.0843000000000003</v>
      </c>
      <c r="T707" s="304">
        <f t="shared" ca="1" si="291"/>
        <v>20.446983000000003</v>
      </c>
      <c r="U707" s="311">
        <f t="shared" ca="1" si="292"/>
        <v>0</v>
      </c>
      <c r="V707" s="306">
        <f t="shared" ca="1" si="293"/>
        <v>1.2252555822769418</v>
      </c>
      <c r="W707" s="304">
        <f t="shared" ca="1" si="294"/>
        <v>7.2227589319159211</v>
      </c>
      <c r="Y707" s="314" t="str">
        <f t="shared" ca="1" si="312"/>
        <v/>
      </c>
      <c r="Z707" s="315" t="str">
        <f t="shared" ca="1" si="313"/>
        <v/>
      </c>
      <c r="AA707" s="316" t="str">
        <f t="shared" ca="1" si="314"/>
        <v/>
      </c>
      <c r="AC707" s="310" t="e">
        <f t="shared" ca="1" si="315"/>
        <v>#N/A</v>
      </c>
      <c r="AD707" s="323" t="e">
        <f t="shared" ca="1" si="316"/>
        <v>#N/A</v>
      </c>
      <c r="AE707" s="324">
        <f t="shared" ca="1" si="295"/>
        <v>-2.0861683066084926</v>
      </c>
      <c r="AG707" s="306">
        <f t="shared" ca="1" si="317"/>
        <v>6.3169109438971898</v>
      </c>
      <c r="AH707" s="304">
        <f t="shared" ca="1" si="318"/>
        <v>-3.4652301940369798</v>
      </c>
    </row>
    <row r="708" spans="1:34" x14ac:dyDescent="0.2">
      <c r="A708" s="347">
        <f t="shared" ca="1" si="296"/>
        <v>1E-4</v>
      </c>
      <c r="B708" s="304">
        <f t="shared" ca="1" si="297"/>
        <v>12.040399999999881</v>
      </c>
      <c r="D708" s="306">
        <f t="shared" ca="1" si="298"/>
        <v>-0.26096864550644028</v>
      </c>
      <c r="E708" s="307">
        <f t="shared" ca="1" si="299"/>
        <v>-6.3545242030718274</v>
      </c>
      <c r="F708" s="304">
        <f t="shared" ca="1" si="300"/>
        <v>6.359880697101409</v>
      </c>
      <c r="G708" s="306">
        <f t="shared" ca="1" si="301"/>
        <v>3.9066640742924528</v>
      </c>
      <c r="H708" s="307">
        <f t="shared" ca="1" si="302"/>
        <v>-51.7289697369199</v>
      </c>
      <c r="I708" s="304">
        <f t="shared" ca="1" si="303"/>
        <v>51.876279109363097</v>
      </c>
      <c r="J708" s="306">
        <f t="shared" ca="1" si="304"/>
        <v>56.288824373840264</v>
      </c>
      <c r="K708" s="307">
        <f t="shared" ca="1" si="305"/>
        <v>-2.0913411718095638</v>
      </c>
      <c r="L708" s="304">
        <f t="shared" ref="L708:L771" ca="1" si="319">SQRT(pos_x^2+pos_z^2)</f>
        <v>56.327661564154603</v>
      </c>
      <c r="M708" s="306">
        <f t="shared" ca="1" si="306"/>
        <v>-1.495417634030034</v>
      </c>
      <c r="N708" s="304">
        <f t="shared" ca="1" si="307"/>
        <v>-85.681119039360055</v>
      </c>
      <c r="P708" s="310">
        <f t="shared" ca="1" si="308"/>
        <v>23</v>
      </c>
      <c r="Q708" s="304">
        <f t="shared" ca="1" si="309"/>
        <v>0</v>
      </c>
      <c r="R708" s="306">
        <f t="shared" ca="1" si="310"/>
        <v>0</v>
      </c>
      <c r="S708" s="307">
        <f t="shared" ca="1" si="311"/>
        <v>2.0843000000000003</v>
      </c>
      <c r="T708" s="304">
        <f t="shared" ref="T708:T771" ca="1" si="320">m*g</f>
        <v>20.446983000000003</v>
      </c>
      <c r="U708" s="311">
        <f t="shared" ref="U708:U771" ca="1" si="321">IF(pos_xz&lt;L_rampe,Poids*COS(Beta),0)</f>
        <v>0</v>
      </c>
      <c r="V708" s="306">
        <f t="shared" ref="V708:V771" ca="1" si="322">Rho_moyen*(20000-Alt_rampe-pos_z)/(20000+Alt_rampe+pos_z)</f>
        <v>1.2252562160853091</v>
      </c>
      <c r="W708" s="304">
        <f t="shared" ref="W708:W771" ca="1" si="323">1/2*Rho*Sref*Cx*vit_xz^2</f>
        <v>7.2229385704016416</v>
      </c>
      <c r="Y708" s="314" t="str">
        <f t="shared" ca="1" si="312"/>
        <v/>
      </c>
      <c r="Z708" s="315" t="str">
        <f t="shared" ca="1" si="313"/>
        <v/>
      </c>
      <c r="AA708" s="316" t="str">
        <f t="shared" ca="1" si="314"/>
        <v/>
      </c>
      <c r="AC708" s="310" t="e">
        <f t="shared" ca="1" si="315"/>
        <v>#N/A</v>
      </c>
      <c r="AD708" s="323" t="e">
        <f t="shared" ca="1" si="316"/>
        <v>#N/A</v>
      </c>
      <c r="AE708" s="324">
        <f t="shared" ref="AE708:AE771" ca="1" si="324">IF(t&lt;T_para, pos_z, NA())</f>
        <v>-2.0913411718095638</v>
      </c>
      <c r="AG708" s="306">
        <f t="shared" ca="1" si="317"/>
        <v>6.3168258095650636</v>
      </c>
      <c r="AH708" s="304">
        <f t="shared" ca="1" si="318"/>
        <v>-3.4653163805190808</v>
      </c>
    </row>
    <row r="709" spans="1:34" x14ac:dyDescent="0.2">
      <c r="A709" s="347">
        <f t="shared" ref="A709:A772" ca="1" si="325">IF(B708+0.01&lt;=T_ini+ROUNDUP(Temps_fin_propu,0), 0.01, IF(K708&gt;0, 0.1, 0.0001))</f>
        <v>1E-4</v>
      </c>
      <c r="B709" s="304">
        <f t="shared" ref="B709:B772" ca="1" si="326">B708+pas</f>
        <v>12.040499999999881</v>
      </c>
      <c r="D709" s="306">
        <f t="shared" ref="D709:D772" ca="1" si="327">IF(AND(L708&lt;L_rampe,Poussee&lt;Poids*SIN(M708)),0,(-W708+Poussee)/m*COS(M708)-U708/m*SIN(M708))</f>
        <v>-0.26097021497871675</v>
      </c>
      <c r="E709" s="307">
        <f t="shared" ref="E709:E772" ca="1" si="328">IF(AND(L708&lt;L_rampe,Poussee&lt;Poids*SIN(M708)),0,(-W708+Poussee)/m*SIN(M708)+U708/m*COS(M708)-Poids/m)</f>
        <v>-6.3544378896804758</v>
      </c>
      <c r="F709" s="304">
        <f t="shared" ref="F709:F772" ca="1" si="329">SQRT(acc_x^2+acc_z^2)</f>
        <v>6.3597945208090563</v>
      </c>
      <c r="G709" s="306">
        <f t="shared" ref="G709:G772" ca="1" si="330">G708+acc_x*pas</f>
        <v>3.9066379772709547</v>
      </c>
      <c r="H709" s="307">
        <f t="shared" ref="H709:H772" ca="1" si="331">H708+acc_z*pas</f>
        <v>-51.729605180708866</v>
      </c>
      <c r="I709" s="304">
        <f t="shared" ref="I709:I772" ca="1" si="332">SQRT(vit_x^2+vit_z^2)</f>
        <v>51.876910783483218</v>
      </c>
      <c r="J709" s="306">
        <f t="shared" ref="J709:J772" ca="1" si="333">J708+0.5*(vit_x+G708)*pas*(K708&gt;=0)</f>
        <v>56.288824373840264</v>
      </c>
      <c r="K709" s="307">
        <f t="shared" ref="K709:K772" ca="1" si="334">K708+0.5*(vit_z+H708)*pas</f>
        <v>-2.0965141005554453</v>
      </c>
      <c r="L709" s="304">
        <f t="shared" ca="1" si="319"/>
        <v>56.327853862568396</v>
      </c>
      <c r="M709" s="306">
        <f t="shared" ref="M709:M772" ca="1" si="335">IF(AND(L708&gt;L_rampe,G709&gt;0),ATAN2(G709,H709),$M$4)</f>
        <v>-1.4954190581027034</v>
      </c>
      <c r="N709" s="304">
        <f t="shared" ref="N709:N772" ca="1" si="336">DEGREES(Beta)</f>
        <v>-85.68120063271374</v>
      </c>
      <c r="P709" s="310">
        <f t="shared" ref="P709:P772" ca="1" si="337">MATCH(t-pas/2-T_ini,CdP_t)</f>
        <v>23</v>
      </c>
      <c r="Q709" s="304">
        <f t="shared" ref="Q709:Q772" ca="1" si="338">(INDEX(CdP,2,i_P+1)-INDEX(CdP,2,i_P+0))/(INDEX(CdP,1,i_P+1)-INDEX(CdP,1,i_P+0))*(t-pas/2-T_ini-INDEX(CdP,1,i_P+0))+INDEX(CdP,2,i_P+0)</f>
        <v>0</v>
      </c>
      <c r="R709" s="306">
        <f t="shared" ref="R709:R772" ca="1" si="339">Poussee/(g*ISP)</f>
        <v>0</v>
      </c>
      <c r="S709" s="307">
        <f t="shared" ref="S709:S772" ca="1" si="340">S708-Débit*pas</f>
        <v>2.0843000000000003</v>
      </c>
      <c r="T709" s="304">
        <f t="shared" ca="1" si="320"/>
        <v>20.446983000000003</v>
      </c>
      <c r="U709" s="311">
        <f t="shared" ca="1" si="321"/>
        <v>0</v>
      </c>
      <c r="V709" s="306">
        <f t="shared" ca="1" si="322"/>
        <v>1.22525684990179</v>
      </c>
      <c r="W709" s="304">
        <f t="shared" ca="1" si="323"/>
        <v>7.2231182088883532</v>
      </c>
      <c r="Y709" s="314" t="str">
        <f t="shared" ref="Y709:Y772" ca="1" si="341">IF(AND(pos_z&lt;=0,K708&gt;0),"Impact balistique","") &amp; IF(AND(H710&lt;0,vit_z&gt;=0),"Apogée","") &amp; IF(AND(Poussee=0,Q708&gt;0),"Fin de propulsion","") &amp; IF(AND(L710&gt;L_rampe,pos_xz&lt;=L_rampe),"Sortie de rampe","")</f>
        <v/>
      </c>
      <c r="Z709" s="315" t="str">
        <f t="shared" ref="Z709:Z772" ca="1" si="342">IF(ABS(t-T_para)&lt;pas/2,"Para","")</f>
        <v/>
      </c>
      <c r="AA709" s="316" t="str">
        <f t="shared" ref="AA709:AA772" ca="1" si="343">IF(ABS(t-T_satellite)&lt;pas/2,"Satellite","")</f>
        <v/>
      </c>
      <c r="AC709" s="310" t="e">
        <f t="shared" ref="AC709:AC772" ca="1" si="344">IF(ABS(t-ROUND(t,0))&lt;0.001,t,NA())</f>
        <v>#N/A</v>
      </c>
      <c r="AD709" s="323" t="e">
        <f t="shared" ref="AD709:AD772" ca="1" si="345">IF(ABS(t-ROUND(t,0))&lt;0.001,pos_x,NA())</f>
        <v>#N/A</v>
      </c>
      <c r="AE709" s="324">
        <f t="shared" ca="1" si="324"/>
        <v>-2.0965141005554453</v>
      </c>
      <c r="AG709" s="306">
        <f t="shared" ref="AG709:AG772" ca="1" si="346">IF(AND(L708&lt;L_rampe,Poussee&lt;Poids*SIN(M708)),0,(-W708+Poussee)/m-Poids*SIN(M708)/m)</f>
        <v>6.3167406751799309</v>
      </c>
      <c r="AH709" s="304">
        <f t="shared" ref="AH709:AH772" ca="1" si="347">IF(AND(L708&lt;L_rampe,Poussee&lt;Poids*SIN(M708)), g*SIN(M708), (-W708+Poussee)/m)</f>
        <v>-3.4654025670016986</v>
      </c>
    </row>
    <row r="710" spans="1:34" x14ac:dyDescent="0.2">
      <c r="A710" s="347">
        <f t="shared" ca="1" si="325"/>
        <v>1E-4</v>
      </c>
      <c r="B710" s="304">
        <f t="shared" ca="1" si="326"/>
        <v>12.040599999999881</v>
      </c>
      <c r="D710" s="306">
        <f t="shared" ca="1" si="327"/>
        <v>-0.26097178435843715</v>
      </c>
      <c r="E710" s="307">
        <f t="shared" ca="1" si="328"/>
        <v>-6.3543515762887068</v>
      </c>
      <c r="F710" s="304">
        <f t="shared" ca="1" si="329"/>
        <v>6.3597083445165943</v>
      </c>
      <c r="G710" s="306">
        <f t="shared" ca="1" si="330"/>
        <v>3.9066118800925187</v>
      </c>
      <c r="H710" s="307">
        <f t="shared" ca="1" si="331"/>
        <v>-51.730240615866492</v>
      </c>
      <c r="I710" s="304">
        <f t="shared" ca="1" si="332"/>
        <v>51.877542449089887</v>
      </c>
      <c r="J710" s="306">
        <f t="shared" ca="1" si="333"/>
        <v>56.288824373840264</v>
      </c>
      <c r="K710" s="307">
        <f t="shared" ca="1" si="334"/>
        <v>-2.1016870928452742</v>
      </c>
      <c r="L710" s="304">
        <f t="shared" ca="1" si="319"/>
        <v>56.328046637756458</v>
      </c>
      <c r="M710" s="306">
        <f t="shared" ca="1" si="335"/>
        <v>-1.4954204821311803</v>
      </c>
      <c r="N710" s="304">
        <f t="shared" ca="1" si="336"/>
        <v>-85.681282223535362</v>
      </c>
      <c r="P710" s="310">
        <f t="shared" ca="1" si="337"/>
        <v>23</v>
      </c>
      <c r="Q710" s="304">
        <f t="shared" ca="1" si="338"/>
        <v>0</v>
      </c>
      <c r="R710" s="306">
        <f t="shared" ca="1" si="339"/>
        <v>0</v>
      </c>
      <c r="S710" s="307">
        <f t="shared" ca="1" si="340"/>
        <v>2.0843000000000003</v>
      </c>
      <c r="T710" s="304">
        <f t="shared" ca="1" si="320"/>
        <v>20.446983000000003</v>
      </c>
      <c r="U710" s="311">
        <f t="shared" ca="1" si="321"/>
        <v>0</v>
      </c>
      <c r="V710" s="306">
        <f t="shared" ca="1" si="322"/>
        <v>1.225257483726385</v>
      </c>
      <c r="W710" s="304">
        <f t="shared" ca="1" si="323"/>
        <v>7.2232978473759726</v>
      </c>
      <c r="Y710" s="314" t="str">
        <f t="shared" ca="1" si="341"/>
        <v/>
      </c>
      <c r="Z710" s="315" t="str">
        <f t="shared" ca="1" si="342"/>
        <v/>
      </c>
      <c r="AA710" s="316" t="str">
        <f t="shared" ca="1" si="343"/>
        <v/>
      </c>
      <c r="AC710" s="310" t="e">
        <f t="shared" ca="1" si="344"/>
        <v>#N/A</v>
      </c>
      <c r="AD710" s="323" t="e">
        <f t="shared" ca="1" si="345"/>
        <v>#N/A</v>
      </c>
      <c r="AE710" s="324">
        <f t="shared" ca="1" si="324"/>
        <v>-2.1016870928452742</v>
      </c>
      <c r="AG710" s="306">
        <f t="shared" ca="1" si="346"/>
        <v>6.3166555407418326</v>
      </c>
      <c r="AH710" s="304">
        <f t="shared" ca="1" si="347"/>
        <v>-3.465488753484792</v>
      </c>
    </row>
    <row r="711" spans="1:34" x14ac:dyDescent="0.2">
      <c r="A711" s="347">
        <f t="shared" ca="1" si="325"/>
        <v>1E-4</v>
      </c>
      <c r="B711" s="304">
        <f t="shared" ca="1" si="326"/>
        <v>12.04069999999988</v>
      </c>
      <c r="D711" s="306">
        <f t="shared" ca="1" si="327"/>
        <v>-0.26097335364560387</v>
      </c>
      <c r="E711" s="307">
        <f t="shared" ca="1" si="328"/>
        <v>-6.3542652628965577</v>
      </c>
      <c r="F711" s="304">
        <f t="shared" ca="1" si="329"/>
        <v>6.3596221682240595</v>
      </c>
      <c r="G711" s="306">
        <f t="shared" ca="1" si="330"/>
        <v>3.906585782757154</v>
      </c>
      <c r="H711" s="307">
        <f t="shared" ca="1" si="331"/>
        <v>-51.730876042392779</v>
      </c>
      <c r="I711" s="304">
        <f t="shared" ca="1" si="332"/>
        <v>51.87817410618311</v>
      </c>
      <c r="J711" s="306">
        <f t="shared" ca="1" si="333"/>
        <v>56.288824373840264</v>
      </c>
      <c r="K711" s="307">
        <f t="shared" ca="1" si="334"/>
        <v>-2.1068601486781873</v>
      </c>
      <c r="L711" s="304">
        <f t="shared" ca="1" si="319"/>
        <v>56.32823988973135</v>
      </c>
      <c r="M711" s="306">
        <f t="shared" ca="1" si="335"/>
        <v>-1.4954219061154672</v>
      </c>
      <c r="N711" s="304">
        <f t="shared" ca="1" si="336"/>
        <v>-85.681363811825108</v>
      </c>
      <c r="P711" s="310">
        <f t="shared" ca="1" si="337"/>
        <v>23</v>
      </c>
      <c r="Q711" s="304">
        <f t="shared" ca="1" si="338"/>
        <v>0</v>
      </c>
      <c r="R711" s="306">
        <f t="shared" ca="1" si="339"/>
        <v>0</v>
      </c>
      <c r="S711" s="307">
        <f t="shared" ca="1" si="340"/>
        <v>2.0843000000000003</v>
      </c>
      <c r="T711" s="304">
        <f t="shared" ca="1" si="320"/>
        <v>20.446983000000003</v>
      </c>
      <c r="U711" s="311">
        <f t="shared" ca="1" si="321"/>
        <v>0</v>
      </c>
      <c r="V711" s="306">
        <f t="shared" ca="1" si="322"/>
        <v>1.2252581175590929</v>
      </c>
      <c r="W711" s="304">
        <f t="shared" ca="1" si="323"/>
        <v>7.2234774858644082</v>
      </c>
      <c r="Y711" s="314" t="str">
        <f t="shared" ca="1" si="341"/>
        <v/>
      </c>
      <c r="Z711" s="315" t="str">
        <f t="shared" ca="1" si="342"/>
        <v/>
      </c>
      <c r="AA711" s="316" t="str">
        <f t="shared" ca="1" si="343"/>
        <v/>
      </c>
      <c r="AC711" s="310" t="e">
        <f t="shared" ca="1" si="344"/>
        <v>#N/A</v>
      </c>
      <c r="AD711" s="323" t="e">
        <f t="shared" ca="1" si="345"/>
        <v>#N/A</v>
      </c>
      <c r="AE711" s="324">
        <f t="shared" ca="1" si="324"/>
        <v>-2.1068601486781873</v>
      </c>
      <c r="AG711" s="306">
        <f t="shared" ca="1" si="346"/>
        <v>6.3165704062508139</v>
      </c>
      <c r="AH711" s="304">
        <f t="shared" ca="1" si="347"/>
        <v>-3.4655749399683211</v>
      </c>
    </row>
    <row r="712" spans="1:34" x14ac:dyDescent="0.2">
      <c r="A712" s="347">
        <f t="shared" ca="1" si="325"/>
        <v>1E-4</v>
      </c>
      <c r="B712" s="304">
        <f t="shared" ca="1" si="326"/>
        <v>12.04079999999988</v>
      </c>
      <c r="D712" s="306">
        <f t="shared" ca="1" si="327"/>
        <v>-0.26097492284021645</v>
      </c>
      <c r="E712" s="307">
        <f t="shared" ca="1" si="328"/>
        <v>-6.3541789495040746</v>
      </c>
      <c r="F712" s="304">
        <f t="shared" ca="1" si="329"/>
        <v>6.3595359919314998</v>
      </c>
      <c r="G712" s="306">
        <f t="shared" ca="1" si="330"/>
        <v>3.9065596852648699</v>
      </c>
      <c r="H712" s="307">
        <f t="shared" ca="1" si="331"/>
        <v>-51.731511460287727</v>
      </c>
      <c r="I712" s="304">
        <f t="shared" ca="1" si="332"/>
        <v>51.878805754762872</v>
      </c>
      <c r="J712" s="306">
        <f t="shared" ca="1" si="333"/>
        <v>56.288824373840264</v>
      </c>
      <c r="K712" s="307">
        <f t="shared" ca="1" si="334"/>
        <v>-2.1120332680533211</v>
      </c>
      <c r="L712" s="304">
        <f t="shared" ca="1" si="319"/>
        <v>56.328433618505649</v>
      </c>
      <c r="M712" s="306">
        <f t="shared" ca="1" si="335"/>
        <v>-1.4954233300555659</v>
      </c>
      <c r="N712" s="304">
        <f t="shared" ca="1" si="336"/>
        <v>-85.681445397583033</v>
      </c>
      <c r="P712" s="310">
        <f t="shared" ca="1" si="337"/>
        <v>23</v>
      </c>
      <c r="Q712" s="304">
        <f t="shared" ca="1" si="338"/>
        <v>0</v>
      </c>
      <c r="R712" s="306">
        <f t="shared" ca="1" si="339"/>
        <v>0</v>
      </c>
      <c r="S712" s="307">
        <f t="shared" ca="1" si="340"/>
        <v>2.0843000000000003</v>
      </c>
      <c r="T712" s="304">
        <f t="shared" ca="1" si="320"/>
        <v>20.446983000000003</v>
      </c>
      <c r="U712" s="311">
        <f t="shared" ca="1" si="321"/>
        <v>0</v>
      </c>
      <c r="V712" s="306">
        <f t="shared" ca="1" si="322"/>
        <v>1.2252587513999149</v>
      </c>
      <c r="W712" s="304">
        <f t="shared" ca="1" si="323"/>
        <v>7.2236571243535845</v>
      </c>
      <c r="Y712" s="314" t="str">
        <f t="shared" ca="1" si="341"/>
        <v/>
      </c>
      <c r="Z712" s="315" t="str">
        <f t="shared" ca="1" si="342"/>
        <v/>
      </c>
      <c r="AA712" s="316" t="str">
        <f t="shared" ca="1" si="343"/>
        <v/>
      </c>
      <c r="AC712" s="310" t="e">
        <f t="shared" ca="1" si="344"/>
        <v>#N/A</v>
      </c>
      <c r="AD712" s="323" t="e">
        <f t="shared" ca="1" si="345"/>
        <v>#N/A</v>
      </c>
      <c r="AE712" s="324">
        <f t="shared" ca="1" si="324"/>
        <v>-2.1120332680533211</v>
      </c>
      <c r="AG712" s="306">
        <f t="shared" ca="1" si="346"/>
        <v>6.3164852717069238</v>
      </c>
      <c r="AH712" s="304">
        <f t="shared" ca="1" si="347"/>
        <v>-3.4656611264522414</v>
      </c>
    </row>
    <row r="713" spans="1:34" x14ac:dyDescent="0.2">
      <c r="A713" s="347">
        <f t="shared" ca="1" si="325"/>
        <v>1E-4</v>
      </c>
      <c r="B713" s="304">
        <f t="shared" ca="1" si="326"/>
        <v>12.04089999999988</v>
      </c>
      <c r="D713" s="306">
        <f t="shared" ca="1" si="327"/>
        <v>-0.26097649194227757</v>
      </c>
      <c r="E713" s="307">
        <f t="shared" ca="1" si="328"/>
        <v>-6.354092636111293</v>
      </c>
      <c r="F713" s="304">
        <f t="shared" ca="1" si="329"/>
        <v>6.359449815638949</v>
      </c>
      <c r="G713" s="306">
        <f t="shared" ca="1" si="330"/>
        <v>3.9065335876156757</v>
      </c>
      <c r="H713" s="307">
        <f t="shared" ca="1" si="331"/>
        <v>-51.732146869551336</v>
      </c>
      <c r="I713" s="304">
        <f t="shared" ca="1" si="332"/>
        <v>51.879437394829175</v>
      </c>
      <c r="J713" s="306">
        <f t="shared" ca="1" si="333"/>
        <v>56.288824373840264</v>
      </c>
      <c r="K713" s="307">
        <f t="shared" ca="1" si="334"/>
        <v>-2.117206450969813</v>
      </c>
      <c r="L713" s="304">
        <f t="shared" ca="1" si="319"/>
        <v>56.328627824091917</v>
      </c>
      <c r="M713" s="306">
        <f t="shared" ca="1" si="335"/>
        <v>-1.4954247539514789</v>
      </c>
      <c r="N713" s="304">
        <f t="shared" ca="1" si="336"/>
        <v>-85.681526980809323</v>
      </c>
      <c r="P713" s="310">
        <f t="shared" ca="1" si="337"/>
        <v>23</v>
      </c>
      <c r="Q713" s="304">
        <f t="shared" ca="1" si="338"/>
        <v>0</v>
      </c>
      <c r="R713" s="306">
        <f t="shared" ca="1" si="339"/>
        <v>0</v>
      </c>
      <c r="S713" s="307">
        <f t="shared" ca="1" si="340"/>
        <v>2.0843000000000003</v>
      </c>
      <c r="T713" s="304">
        <f t="shared" ca="1" si="320"/>
        <v>20.446983000000003</v>
      </c>
      <c r="U713" s="311">
        <f t="shared" ca="1" si="321"/>
        <v>0</v>
      </c>
      <c r="V713" s="306">
        <f t="shared" ca="1" si="322"/>
        <v>1.22525938524885</v>
      </c>
      <c r="W713" s="304">
        <f t="shared" ca="1" si="323"/>
        <v>7.2238367628434075</v>
      </c>
      <c r="Y713" s="314" t="str">
        <f t="shared" ca="1" si="341"/>
        <v/>
      </c>
      <c r="Z713" s="315" t="str">
        <f t="shared" ca="1" si="342"/>
        <v/>
      </c>
      <c r="AA713" s="316" t="str">
        <f t="shared" ca="1" si="343"/>
        <v/>
      </c>
      <c r="AC713" s="310" t="e">
        <f t="shared" ca="1" si="344"/>
        <v>#N/A</v>
      </c>
      <c r="AD713" s="323" t="e">
        <f t="shared" ca="1" si="345"/>
        <v>#N/A</v>
      </c>
      <c r="AE713" s="324">
        <f t="shared" ca="1" si="324"/>
        <v>-2.117206450969813</v>
      </c>
      <c r="AG713" s="306">
        <f t="shared" ca="1" si="346"/>
        <v>6.3164001371102003</v>
      </c>
      <c r="AH713" s="304">
        <f t="shared" ca="1" si="347"/>
        <v>-3.4657473129365175</v>
      </c>
    </row>
    <row r="714" spans="1:34" x14ac:dyDescent="0.2">
      <c r="A714" s="347">
        <f t="shared" ca="1" si="325"/>
        <v>1E-4</v>
      </c>
      <c r="B714" s="304">
        <f t="shared" ca="1" si="326"/>
        <v>12.04099999999988</v>
      </c>
      <c r="D714" s="306">
        <f t="shared" ca="1" si="327"/>
        <v>-0.26097806095178666</v>
      </c>
      <c r="E714" s="307">
        <f t="shared" ca="1" si="328"/>
        <v>-6.3540063227182575</v>
      </c>
      <c r="F714" s="304">
        <f t="shared" ca="1" si="329"/>
        <v>6.3593636393464514</v>
      </c>
      <c r="G714" s="306">
        <f t="shared" ca="1" si="330"/>
        <v>3.9065074898095804</v>
      </c>
      <c r="H714" s="307">
        <f t="shared" ca="1" si="331"/>
        <v>-51.732782270183606</v>
      </c>
      <c r="I714" s="304">
        <f t="shared" ca="1" si="332"/>
        <v>51.880069026382003</v>
      </c>
      <c r="J714" s="306">
        <f t="shared" ca="1" si="333"/>
        <v>56.288824373840264</v>
      </c>
      <c r="K714" s="307">
        <f t="shared" ca="1" si="334"/>
        <v>-2.1223796974267999</v>
      </c>
      <c r="L714" s="304">
        <f t="shared" ca="1" si="319"/>
        <v>56.328822506502682</v>
      </c>
      <c r="M714" s="306">
        <f t="shared" ca="1" si="335"/>
        <v>-1.4954261778032083</v>
      </c>
      <c r="N714" s="304">
        <f t="shared" ca="1" si="336"/>
        <v>-85.681608561504063</v>
      </c>
      <c r="P714" s="310">
        <f t="shared" ca="1" si="337"/>
        <v>23</v>
      </c>
      <c r="Q714" s="304">
        <f t="shared" ca="1" si="338"/>
        <v>0</v>
      </c>
      <c r="R714" s="306">
        <f t="shared" ca="1" si="339"/>
        <v>0</v>
      </c>
      <c r="S714" s="307">
        <f t="shared" ca="1" si="340"/>
        <v>2.0843000000000003</v>
      </c>
      <c r="T714" s="304">
        <f t="shared" ca="1" si="320"/>
        <v>20.446983000000003</v>
      </c>
      <c r="U714" s="311">
        <f t="shared" ca="1" si="321"/>
        <v>0</v>
      </c>
      <c r="V714" s="306">
        <f t="shared" ca="1" si="322"/>
        <v>1.2252600191058984</v>
      </c>
      <c r="W714" s="304">
        <f t="shared" ca="1" si="323"/>
        <v>7.2240164013337917</v>
      </c>
      <c r="Y714" s="314" t="str">
        <f t="shared" ca="1" si="341"/>
        <v/>
      </c>
      <c r="Z714" s="315" t="str">
        <f t="shared" ca="1" si="342"/>
        <v/>
      </c>
      <c r="AA714" s="316" t="str">
        <f t="shared" ca="1" si="343"/>
        <v/>
      </c>
      <c r="AC714" s="310" t="e">
        <f t="shared" ca="1" si="344"/>
        <v>#N/A</v>
      </c>
      <c r="AD714" s="323" t="e">
        <f t="shared" ca="1" si="345"/>
        <v>#N/A</v>
      </c>
      <c r="AE714" s="324">
        <f t="shared" ca="1" si="324"/>
        <v>-2.1223796974267999</v>
      </c>
      <c r="AG714" s="306">
        <f t="shared" ca="1" si="346"/>
        <v>6.3163150024606924</v>
      </c>
      <c r="AH714" s="304">
        <f t="shared" ca="1" si="347"/>
        <v>-3.465833499421104</v>
      </c>
    </row>
    <row r="715" spans="1:34" x14ac:dyDescent="0.2">
      <c r="A715" s="347">
        <f t="shared" ca="1" si="325"/>
        <v>1E-4</v>
      </c>
      <c r="B715" s="304">
        <f t="shared" ca="1" si="326"/>
        <v>12.041099999999879</v>
      </c>
      <c r="D715" s="306">
        <f t="shared" ca="1" si="327"/>
        <v>-0.2609796298687444</v>
      </c>
      <c r="E715" s="307">
        <f t="shared" ca="1" si="328"/>
        <v>-6.3539200093250106</v>
      </c>
      <c r="F715" s="304">
        <f t="shared" ca="1" si="329"/>
        <v>6.3592774630540516</v>
      </c>
      <c r="G715" s="306">
        <f t="shared" ca="1" si="330"/>
        <v>3.9064813918465937</v>
      </c>
      <c r="H715" s="307">
        <f t="shared" ca="1" si="331"/>
        <v>-51.733417662184536</v>
      </c>
      <c r="I715" s="304">
        <f t="shared" ca="1" si="332"/>
        <v>51.880700649421364</v>
      </c>
      <c r="J715" s="306">
        <f t="shared" ca="1" si="333"/>
        <v>56.288824373840264</v>
      </c>
      <c r="K715" s="307">
        <f t="shared" ca="1" si="334"/>
        <v>-2.1275530074234181</v>
      </c>
      <c r="L715" s="304">
        <f t="shared" ca="1" si="319"/>
        <v>56.329017665750484</v>
      </c>
      <c r="M715" s="306">
        <f t="shared" ca="1" si="335"/>
        <v>-1.4954276016107559</v>
      </c>
      <c r="N715" s="304">
        <f t="shared" ca="1" si="336"/>
        <v>-85.681690139667381</v>
      </c>
      <c r="P715" s="310">
        <f t="shared" ca="1" si="337"/>
        <v>23</v>
      </c>
      <c r="Q715" s="304">
        <f t="shared" ca="1" si="338"/>
        <v>0</v>
      </c>
      <c r="R715" s="306">
        <f t="shared" ca="1" si="339"/>
        <v>0</v>
      </c>
      <c r="S715" s="307">
        <f t="shared" ca="1" si="340"/>
        <v>2.0843000000000003</v>
      </c>
      <c r="T715" s="304">
        <f t="shared" ca="1" si="320"/>
        <v>20.446983000000003</v>
      </c>
      <c r="U715" s="311">
        <f t="shared" ca="1" si="321"/>
        <v>0</v>
      </c>
      <c r="V715" s="306">
        <f t="shared" ca="1" si="322"/>
        <v>1.2252606529710601</v>
      </c>
      <c r="W715" s="304">
        <f t="shared" ca="1" si="323"/>
        <v>7.2241960398246583</v>
      </c>
      <c r="Y715" s="314" t="str">
        <f t="shared" ca="1" si="341"/>
        <v/>
      </c>
      <c r="Z715" s="315" t="str">
        <f t="shared" ca="1" si="342"/>
        <v/>
      </c>
      <c r="AA715" s="316" t="str">
        <f t="shared" ca="1" si="343"/>
        <v/>
      </c>
      <c r="AC715" s="310" t="e">
        <f t="shared" ca="1" si="344"/>
        <v>#N/A</v>
      </c>
      <c r="AD715" s="323" t="e">
        <f t="shared" ca="1" si="345"/>
        <v>#N/A</v>
      </c>
      <c r="AE715" s="324">
        <f t="shared" ca="1" si="324"/>
        <v>-2.1275530074234181</v>
      </c>
      <c r="AG715" s="306">
        <f t="shared" ca="1" si="346"/>
        <v>6.3162298677584445</v>
      </c>
      <c r="AH715" s="304">
        <f t="shared" ca="1" si="347"/>
        <v>-3.4659196859059591</v>
      </c>
    </row>
    <row r="716" spans="1:34" x14ac:dyDescent="0.2">
      <c r="A716" s="347">
        <f t="shared" ca="1" si="325"/>
        <v>1E-4</v>
      </c>
      <c r="B716" s="304">
        <f t="shared" ca="1" si="326"/>
        <v>12.041199999999879</v>
      </c>
      <c r="D716" s="306">
        <f t="shared" ca="1" si="327"/>
        <v>-0.26098119869315328</v>
      </c>
      <c r="E716" s="307">
        <f t="shared" ca="1" si="328"/>
        <v>-6.3538336959315895</v>
      </c>
      <c r="F716" s="304">
        <f t="shared" ca="1" si="329"/>
        <v>6.3591912867617841</v>
      </c>
      <c r="G716" s="306">
        <f t="shared" ca="1" si="330"/>
        <v>3.9064552937267245</v>
      </c>
      <c r="H716" s="307">
        <f t="shared" ca="1" si="331"/>
        <v>-51.734053045554127</v>
      </c>
      <c r="I716" s="304">
        <f t="shared" ca="1" si="332"/>
        <v>51.88133226394725</v>
      </c>
      <c r="J716" s="306">
        <f t="shared" ca="1" si="333"/>
        <v>56.288824373840264</v>
      </c>
      <c r="K716" s="307">
        <f t="shared" ca="1" si="334"/>
        <v>-2.1327263809588048</v>
      </c>
      <c r="L716" s="304">
        <f t="shared" ca="1" si="319"/>
        <v>56.329213301847837</v>
      </c>
      <c r="M716" s="306">
        <f t="shared" ca="1" si="335"/>
        <v>-1.4954290253741243</v>
      </c>
      <c r="N716" s="304">
        <f t="shared" ca="1" si="336"/>
        <v>-85.681771715299419</v>
      </c>
      <c r="P716" s="310">
        <f t="shared" ca="1" si="337"/>
        <v>23</v>
      </c>
      <c r="Q716" s="304">
        <f t="shared" ca="1" si="338"/>
        <v>0</v>
      </c>
      <c r="R716" s="306">
        <f t="shared" ca="1" si="339"/>
        <v>0</v>
      </c>
      <c r="S716" s="307">
        <f t="shared" ca="1" si="340"/>
        <v>2.0843000000000003</v>
      </c>
      <c r="T716" s="304">
        <f t="shared" ca="1" si="320"/>
        <v>20.446983000000003</v>
      </c>
      <c r="U716" s="311">
        <f t="shared" ca="1" si="321"/>
        <v>0</v>
      </c>
      <c r="V716" s="306">
        <f t="shared" ca="1" si="322"/>
        <v>1.2252612868443347</v>
      </c>
      <c r="W716" s="304">
        <f t="shared" ca="1" si="323"/>
        <v>7.2243756783159165</v>
      </c>
      <c r="Y716" s="314" t="str">
        <f t="shared" ca="1" si="341"/>
        <v/>
      </c>
      <c r="Z716" s="315" t="str">
        <f t="shared" ca="1" si="342"/>
        <v/>
      </c>
      <c r="AA716" s="316" t="str">
        <f t="shared" ca="1" si="343"/>
        <v/>
      </c>
      <c r="AC716" s="310" t="e">
        <f t="shared" ca="1" si="344"/>
        <v>#N/A</v>
      </c>
      <c r="AD716" s="323" t="e">
        <f t="shared" ca="1" si="345"/>
        <v>#N/A</v>
      </c>
      <c r="AE716" s="324">
        <f t="shared" ca="1" si="324"/>
        <v>-2.1327263809588048</v>
      </c>
      <c r="AG716" s="306">
        <f t="shared" ca="1" si="346"/>
        <v>6.3161447330034974</v>
      </c>
      <c r="AH716" s="304">
        <f t="shared" ca="1" si="347"/>
        <v>-3.4660058723910461</v>
      </c>
    </row>
    <row r="717" spans="1:34" x14ac:dyDescent="0.2">
      <c r="A717" s="347">
        <f t="shared" ca="1" si="325"/>
        <v>1E-4</v>
      </c>
      <c r="B717" s="304">
        <f t="shared" ca="1" si="326"/>
        <v>12.041299999999879</v>
      </c>
      <c r="D717" s="306">
        <f t="shared" ca="1" si="327"/>
        <v>-0.26098276742501297</v>
      </c>
      <c r="E717" s="307">
        <f t="shared" ca="1" si="328"/>
        <v>-6.3537473825380371</v>
      </c>
      <c r="F717" s="304">
        <f t="shared" ca="1" si="329"/>
        <v>6.3591051104696934</v>
      </c>
      <c r="G717" s="306">
        <f t="shared" ca="1" si="330"/>
        <v>3.9064291954499821</v>
      </c>
      <c r="H717" s="307">
        <f t="shared" ca="1" si="331"/>
        <v>-51.734688420292379</v>
      </c>
      <c r="I717" s="304">
        <f t="shared" ca="1" si="332"/>
        <v>51.881963869959648</v>
      </c>
      <c r="J717" s="306">
        <f t="shared" ca="1" si="333"/>
        <v>56.288824373840264</v>
      </c>
      <c r="K717" s="307">
        <f t="shared" ca="1" si="334"/>
        <v>-2.1378998180320972</v>
      </c>
      <c r="L717" s="304">
        <f t="shared" ca="1" si="319"/>
        <v>56.329409414807252</v>
      </c>
      <c r="M717" s="306">
        <f t="shared" ca="1" si="335"/>
        <v>-1.4954304490933152</v>
      </c>
      <c r="N717" s="304">
        <f t="shared" ca="1" si="336"/>
        <v>-85.681853288400262</v>
      </c>
      <c r="P717" s="310">
        <f t="shared" ca="1" si="337"/>
        <v>23</v>
      </c>
      <c r="Q717" s="304">
        <f t="shared" ca="1" si="338"/>
        <v>0</v>
      </c>
      <c r="R717" s="306">
        <f t="shared" ca="1" si="339"/>
        <v>0</v>
      </c>
      <c r="S717" s="307">
        <f t="shared" ca="1" si="340"/>
        <v>2.0843000000000003</v>
      </c>
      <c r="T717" s="304">
        <f t="shared" ca="1" si="320"/>
        <v>20.446983000000003</v>
      </c>
      <c r="U717" s="311">
        <f t="shared" ca="1" si="321"/>
        <v>0</v>
      </c>
      <c r="V717" s="306">
        <f t="shared" ca="1" si="322"/>
        <v>1.2252619207257227</v>
      </c>
      <c r="W717" s="304">
        <f t="shared" ca="1" si="323"/>
        <v>7.2245553168074848</v>
      </c>
      <c r="Y717" s="314" t="str">
        <f t="shared" ca="1" si="341"/>
        <v/>
      </c>
      <c r="Z717" s="315" t="str">
        <f t="shared" ca="1" si="342"/>
        <v/>
      </c>
      <c r="AA717" s="316" t="str">
        <f t="shared" ca="1" si="343"/>
        <v/>
      </c>
      <c r="AC717" s="310" t="e">
        <f t="shared" ca="1" si="344"/>
        <v>#N/A</v>
      </c>
      <c r="AD717" s="323" t="e">
        <f t="shared" ca="1" si="345"/>
        <v>#N/A</v>
      </c>
      <c r="AE717" s="324">
        <f t="shared" ca="1" si="324"/>
        <v>-2.1378998180320972</v>
      </c>
      <c r="AG717" s="306">
        <f t="shared" ca="1" si="346"/>
        <v>6.3160595981958991</v>
      </c>
      <c r="AH717" s="304">
        <f t="shared" ca="1" si="347"/>
        <v>-3.4660920588763209</v>
      </c>
    </row>
    <row r="718" spans="1:34" x14ac:dyDescent="0.2">
      <c r="A718" s="347">
        <f t="shared" ca="1" si="325"/>
        <v>1E-4</v>
      </c>
      <c r="B718" s="304">
        <f t="shared" ca="1" si="326"/>
        <v>12.041399999999879</v>
      </c>
      <c r="D718" s="306">
        <f t="shared" ca="1" si="327"/>
        <v>-0.26098433606432503</v>
      </c>
      <c r="E718" s="307">
        <f t="shared" ca="1" si="328"/>
        <v>-6.3536610691443922</v>
      </c>
      <c r="F718" s="304">
        <f t="shared" ca="1" si="329"/>
        <v>6.3590189341778185</v>
      </c>
      <c r="G718" s="306">
        <f t="shared" ca="1" si="330"/>
        <v>3.9064030970163759</v>
      </c>
      <c r="H718" s="307">
        <f t="shared" ca="1" si="331"/>
        <v>-51.735323786399292</v>
      </c>
      <c r="I718" s="304">
        <f t="shared" ca="1" si="332"/>
        <v>51.882595467458557</v>
      </c>
      <c r="J718" s="306">
        <f t="shared" ca="1" si="333"/>
        <v>56.288824373840264</v>
      </c>
      <c r="K718" s="307">
        <f t="shared" ca="1" si="334"/>
        <v>-2.1430733186424318</v>
      </c>
      <c r="L718" s="304">
        <f t="shared" ca="1" si="319"/>
        <v>56.329606004641207</v>
      </c>
      <c r="M718" s="306">
        <f t="shared" ca="1" si="335"/>
        <v>-1.4954318727683311</v>
      </c>
      <c r="N718" s="304">
        <f t="shared" ca="1" si="336"/>
        <v>-85.681934858970081</v>
      </c>
      <c r="P718" s="310">
        <f t="shared" ca="1" si="337"/>
        <v>23</v>
      </c>
      <c r="Q718" s="304">
        <f t="shared" ca="1" si="338"/>
        <v>0</v>
      </c>
      <c r="R718" s="306">
        <f t="shared" ca="1" si="339"/>
        <v>0</v>
      </c>
      <c r="S718" s="307">
        <f t="shared" ca="1" si="340"/>
        <v>2.0843000000000003</v>
      </c>
      <c r="T718" s="304">
        <f t="shared" ca="1" si="320"/>
        <v>20.446983000000003</v>
      </c>
      <c r="U718" s="311">
        <f t="shared" ca="1" si="321"/>
        <v>0</v>
      </c>
      <c r="V718" s="306">
        <f t="shared" ca="1" si="322"/>
        <v>1.2252625546152234</v>
      </c>
      <c r="W718" s="304">
        <f t="shared" ca="1" si="323"/>
        <v>7.2247349552992715</v>
      </c>
      <c r="Y718" s="314" t="str">
        <f t="shared" ca="1" si="341"/>
        <v/>
      </c>
      <c r="Z718" s="315" t="str">
        <f t="shared" ca="1" si="342"/>
        <v/>
      </c>
      <c r="AA718" s="316" t="str">
        <f t="shared" ca="1" si="343"/>
        <v/>
      </c>
      <c r="AC718" s="310" t="e">
        <f t="shared" ca="1" si="344"/>
        <v>#N/A</v>
      </c>
      <c r="AD718" s="323" t="e">
        <f t="shared" ca="1" si="345"/>
        <v>#N/A</v>
      </c>
      <c r="AE718" s="324">
        <f t="shared" ca="1" si="324"/>
        <v>-2.1430733186424318</v>
      </c>
      <c r="AG718" s="306">
        <f t="shared" ca="1" si="346"/>
        <v>6.3159744633356905</v>
      </c>
      <c r="AH718" s="304">
        <f t="shared" ca="1" si="347"/>
        <v>-3.4661782453617445</v>
      </c>
    </row>
    <row r="719" spans="1:34" x14ac:dyDescent="0.2">
      <c r="A719" s="347">
        <f t="shared" ca="1" si="325"/>
        <v>1E-4</v>
      </c>
      <c r="B719" s="304">
        <f t="shared" ca="1" si="326"/>
        <v>12.041499999999878</v>
      </c>
      <c r="D719" s="306">
        <f t="shared" ca="1" si="327"/>
        <v>-0.26098590461108978</v>
      </c>
      <c r="E719" s="307">
        <f t="shared" ca="1" si="328"/>
        <v>-6.3535747557507012</v>
      </c>
      <c r="F719" s="304">
        <f t="shared" ca="1" si="329"/>
        <v>6.3589327578862047</v>
      </c>
      <c r="G719" s="306">
        <f t="shared" ca="1" si="330"/>
        <v>3.9063769984259147</v>
      </c>
      <c r="H719" s="307">
        <f t="shared" ca="1" si="331"/>
        <v>-51.735959143874865</v>
      </c>
      <c r="I719" s="304">
        <f t="shared" ca="1" si="332"/>
        <v>51.883227056443978</v>
      </c>
      <c r="J719" s="306">
        <f t="shared" ca="1" si="333"/>
        <v>56.288824373840264</v>
      </c>
      <c r="K719" s="307">
        <f t="shared" ca="1" si="334"/>
        <v>-2.1482468827889454</v>
      </c>
      <c r="L719" s="304">
        <f t="shared" ca="1" si="319"/>
        <v>56.3298030713622</v>
      </c>
      <c r="M719" s="306">
        <f t="shared" ca="1" si="335"/>
        <v>-1.4954332963991741</v>
      </c>
      <c r="N719" s="304">
        <f t="shared" ca="1" si="336"/>
        <v>-85.682016427008961</v>
      </c>
      <c r="P719" s="310">
        <f t="shared" ca="1" si="337"/>
        <v>23</v>
      </c>
      <c r="Q719" s="304">
        <f t="shared" ca="1" si="338"/>
        <v>0</v>
      </c>
      <c r="R719" s="306">
        <f t="shared" ca="1" si="339"/>
        <v>0</v>
      </c>
      <c r="S719" s="307">
        <f t="shared" ca="1" si="340"/>
        <v>2.0843000000000003</v>
      </c>
      <c r="T719" s="304">
        <f t="shared" ca="1" si="320"/>
        <v>20.446983000000003</v>
      </c>
      <c r="U719" s="311">
        <f t="shared" ca="1" si="321"/>
        <v>0</v>
      </c>
      <c r="V719" s="306">
        <f t="shared" ca="1" si="322"/>
        <v>1.2252631885128369</v>
      </c>
      <c r="W719" s="304">
        <f t="shared" ca="1" si="323"/>
        <v>7.2249145937911985</v>
      </c>
      <c r="Y719" s="314" t="str">
        <f t="shared" ca="1" si="341"/>
        <v/>
      </c>
      <c r="Z719" s="315" t="str">
        <f t="shared" ca="1" si="342"/>
        <v/>
      </c>
      <c r="AA719" s="316" t="str">
        <f t="shared" ca="1" si="343"/>
        <v/>
      </c>
      <c r="AC719" s="310" t="e">
        <f t="shared" ca="1" si="344"/>
        <v>#N/A</v>
      </c>
      <c r="AD719" s="323" t="e">
        <f t="shared" ca="1" si="345"/>
        <v>#N/A</v>
      </c>
      <c r="AE719" s="324">
        <f t="shared" ca="1" si="324"/>
        <v>-2.1482468827889454</v>
      </c>
      <c r="AG719" s="306">
        <f t="shared" ca="1" si="346"/>
        <v>6.3158893284229212</v>
      </c>
      <c r="AH719" s="304">
        <f t="shared" ca="1" si="347"/>
        <v>-3.4662644318472728</v>
      </c>
    </row>
    <row r="720" spans="1:34" x14ac:dyDescent="0.2">
      <c r="A720" s="347">
        <f t="shared" ca="1" si="325"/>
        <v>1E-4</v>
      </c>
      <c r="B720" s="304">
        <f t="shared" ca="1" si="326"/>
        <v>12.041599999999878</v>
      </c>
      <c r="D720" s="306">
        <f t="shared" ca="1" si="327"/>
        <v>-0.26098747306530823</v>
      </c>
      <c r="E720" s="307">
        <f t="shared" ca="1" si="328"/>
        <v>-6.3534884423569995</v>
      </c>
      <c r="F720" s="304">
        <f t="shared" ca="1" si="329"/>
        <v>6.3588465815948876</v>
      </c>
      <c r="G720" s="306">
        <f t="shared" ca="1" si="330"/>
        <v>3.9063508996786083</v>
      </c>
      <c r="H720" s="307">
        <f t="shared" ca="1" si="331"/>
        <v>-51.736594492719099</v>
      </c>
      <c r="I720" s="304">
        <f t="shared" ca="1" si="332"/>
        <v>51.883858636915896</v>
      </c>
      <c r="J720" s="306">
        <f t="shared" ca="1" si="333"/>
        <v>56.288824373840264</v>
      </c>
      <c r="K720" s="307">
        <f t="shared" ca="1" si="334"/>
        <v>-2.1534205104707751</v>
      </c>
      <c r="L720" s="304">
        <f t="shared" ca="1" si="319"/>
        <v>56.330000614982687</v>
      </c>
      <c r="M720" s="306">
        <f t="shared" ca="1" si="335"/>
        <v>-1.495434719985846</v>
      </c>
      <c r="N720" s="304">
        <f t="shared" ca="1" si="336"/>
        <v>-85.682097992517029</v>
      </c>
      <c r="P720" s="310">
        <f t="shared" ca="1" si="337"/>
        <v>23</v>
      </c>
      <c r="Q720" s="304">
        <f t="shared" ca="1" si="338"/>
        <v>0</v>
      </c>
      <c r="R720" s="306">
        <f t="shared" ca="1" si="339"/>
        <v>0</v>
      </c>
      <c r="S720" s="307">
        <f t="shared" ca="1" si="340"/>
        <v>2.0843000000000003</v>
      </c>
      <c r="T720" s="304">
        <f t="shared" ca="1" si="320"/>
        <v>20.446983000000003</v>
      </c>
      <c r="U720" s="311">
        <f t="shared" ca="1" si="321"/>
        <v>0</v>
      </c>
      <c r="V720" s="306">
        <f t="shared" ca="1" si="322"/>
        <v>1.2252638224185628</v>
      </c>
      <c r="W720" s="304">
        <f t="shared" ca="1" si="323"/>
        <v>7.2250942322831726</v>
      </c>
      <c r="Y720" s="314" t="str">
        <f t="shared" ca="1" si="341"/>
        <v/>
      </c>
      <c r="Z720" s="315" t="str">
        <f t="shared" ca="1" si="342"/>
        <v/>
      </c>
      <c r="AA720" s="316" t="str">
        <f t="shared" ca="1" si="343"/>
        <v/>
      </c>
      <c r="AC720" s="310" t="e">
        <f t="shared" ca="1" si="344"/>
        <v>#N/A</v>
      </c>
      <c r="AD720" s="323" t="e">
        <f t="shared" ca="1" si="345"/>
        <v>#N/A</v>
      </c>
      <c r="AE720" s="324">
        <f t="shared" ca="1" si="324"/>
        <v>-2.1534205104707751</v>
      </c>
      <c r="AG720" s="306">
        <f t="shared" ca="1" si="346"/>
        <v>6.3158041934576303</v>
      </c>
      <c r="AH720" s="304">
        <f t="shared" ca="1" si="347"/>
        <v>-3.4663506183328683</v>
      </c>
    </row>
    <row r="721" spans="1:34" x14ac:dyDescent="0.2">
      <c r="A721" s="347">
        <f t="shared" ca="1" si="325"/>
        <v>1E-4</v>
      </c>
      <c r="B721" s="304">
        <f t="shared" ca="1" si="326"/>
        <v>12.041699999999878</v>
      </c>
      <c r="D721" s="306">
        <f t="shared" ca="1" si="327"/>
        <v>-0.26098904142698232</v>
      </c>
      <c r="E721" s="307">
        <f t="shared" ca="1" si="328"/>
        <v>-6.3534021289633325</v>
      </c>
      <c r="F721" s="304">
        <f t="shared" ca="1" si="329"/>
        <v>6.3587604053039124</v>
      </c>
      <c r="G721" s="306">
        <f t="shared" ca="1" si="330"/>
        <v>3.9063248007744655</v>
      </c>
      <c r="H721" s="307">
        <f t="shared" ca="1" si="331"/>
        <v>-51.737229832931995</v>
      </c>
      <c r="I721" s="304">
        <f t="shared" ca="1" si="332"/>
        <v>51.884490208874304</v>
      </c>
      <c r="J721" s="306">
        <f t="shared" ca="1" si="333"/>
        <v>56.288824373840264</v>
      </c>
      <c r="K721" s="307">
        <f t="shared" ca="1" si="334"/>
        <v>-2.1585942016870576</v>
      </c>
      <c r="L721" s="304">
        <f t="shared" ca="1" si="319"/>
        <v>56.330198635515131</v>
      </c>
      <c r="M721" s="306">
        <f t="shared" ca="1" si="335"/>
        <v>-1.4954361435283492</v>
      </c>
      <c r="N721" s="304">
        <f t="shared" ca="1" si="336"/>
        <v>-85.682179555494429</v>
      </c>
      <c r="P721" s="310">
        <f t="shared" ca="1" si="337"/>
        <v>23</v>
      </c>
      <c r="Q721" s="304">
        <f t="shared" ca="1" si="338"/>
        <v>0</v>
      </c>
      <c r="R721" s="306">
        <f t="shared" ca="1" si="339"/>
        <v>0</v>
      </c>
      <c r="S721" s="307">
        <f t="shared" ca="1" si="340"/>
        <v>2.0843000000000003</v>
      </c>
      <c r="T721" s="304">
        <f t="shared" ca="1" si="320"/>
        <v>20.446983000000003</v>
      </c>
      <c r="U721" s="311">
        <f t="shared" ca="1" si="321"/>
        <v>0</v>
      </c>
      <c r="V721" s="306">
        <f t="shared" ca="1" si="322"/>
        <v>1.225264456332402</v>
      </c>
      <c r="W721" s="304">
        <f t="shared" ca="1" si="323"/>
        <v>7.2252738707751147</v>
      </c>
      <c r="Y721" s="314" t="str">
        <f t="shared" ca="1" si="341"/>
        <v/>
      </c>
      <c r="Z721" s="315" t="str">
        <f t="shared" ca="1" si="342"/>
        <v/>
      </c>
      <c r="AA721" s="316" t="str">
        <f t="shared" ca="1" si="343"/>
        <v/>
      </c>
      <c r="AC721" s="310" t="e">
        <f t="shared" ca="1" si="344"/>
        <v>#N/A</v>
      </c>
      <c r="AD721" s="323" t="e">
        <f t="shared" ca="1" si="345"/>
        <v>#N/A</v>
      </c>
      <c r="AE721" s="324">
        <f t="shared" ca="1" si="324"/>
        <v>-2.1585942016870576</v>
      </c>
      <c r="AG721" s="306">
        <f t="shared" ca="1" si="346"/>
        <v>6.3157190584398659</v>
      </c>
      <c r="AH721" s="304">
        <f t="shared" ca="1" si="347"/>
        <v>-3.4664368048184868</v>
      </c>
    </row>
    <row r="722" spans="1:34" x14ac:dyDescent="0.2">
      <c r="A722" s="347">
        <f t="shared" ca="1" si="325"/>
        <v>1E-4</v>
      </c>
      <c r="B722" s="304">
        <f t="shared" ca="1" si="326"/>
        <v>12.041799999999878</v>
      </c>
      <c r="D722" s="306">
        <f t="shared" ca="1" si="327"/>
        <v>-0.26099060969611204</v>
      </c>
      <c r="E722" s="307">
        <f t="shared" ca="1" si="328"/>
        <v>-6.3533158155697382</v>
      </c>
      <c r="F722" s="304">
        <f t="shared" ca="1" si="329"/>
        <v>6.3586742290133182</v>
      </c>
      <c r="G722" s="306">
        <f t="shared" ca="1" si="330"/>
        <v>3.9062987017134958</v>
      </c>
      <c r="H722" s="307">
        <f t="shared" ca="1" si="331"/>
        <v>-51.737865164513551</v>
      </c>
      <c r="I722" s="304">
        <f t="shared" ca="1" si="332"/>
        <v>51.885121772319216</v>
      </c>
      <c r="J722" s="306">
        <f t="shared" ca="1" si="333"/>
        <v>56.288824373840264</v>
      </c>
      <c r="K722" s="307">
        <f t="shared" ca="1" si="334"/>
        <v>-2.1637679564369301</v>
      </c>
      <c r="L722" s="304">
        <f t="shared" ca="1" si="319"/>
        <v>56.330397132971974</v>
      </c>
      <c r="M722" s="306">
        <f t="shared" ca="1" si="335"/>
        <v>-1.495437567026686</v>
      </c>
      <c r="N722" s="304">
        <f t="shared" ca="1" si="336"/>
        <v>-85.682261115941273</v>
      </c>
      <c r="P722" s="310">
        <f t="shared" ca="1" si="337"/>
        <v>23</v>
      </c>
      <c r="Q722" s="304">
        <f t="shared" ca="1" si="338"/>
        <v>0</v>
      </c>
      <c r="R722" s="306">
        <f t="shared" ca="1" si="339"/>
        <v>0</v>
      </c>
      <c r="S722" s="307">
        <f t="shared" ca="1" si="340"/>
        <v>2.0843000000000003</v>
      </c>
      <c r="T722" s="304">
        <f t="shared" ca="1" si="320"/>
        <v>20.446983000000003</v>
      </c>
      <c r="U722" s="311">
        <f t="shared" ca="1" si="321"/>
        <v>0</v>
      </c>
      <c r="V722" s="306">
        <f t="shared" ca="1" si="322"/>
        <v>1.2252650902543536</v>
      </c>
      <c r="W722" s="304">
        <f t="shared" ca="1" si="323"/>
        <v>7.2254535092669423</v>
      </c>
      <c r="Y722" s="314" t="str">
        <f t="shared" ca="1" si="341"/>
        <v/>
      </c>
      <c r="Z722" s="315" t="str">
        <f t="shared" ca="1" si="342"/>
        <v/>
      </c>
      <c r="AA722" s="316" t="str">
        <f t="shared" ca="1" si="343"/>
        <v/>
      </c>
      <c r="AC722" s="310" t="e">
        <f t="shared" ca="1" si="344"/>
        <v>#N/A</v>
      </c>
      <c r="AD722" s="323" t="e">
        <f t="shared" ca="1" si="345"/>
        <v>#N/A</v>
      </c>
      <c r="AE722" s="324">
        <f t="shared" ca="1" si="324"/>
        <v>-2.1637679564369301</v>
      </c>
      <c r="AG722" s="306">
        <f t="shared" ca="1" si="346"/>
        <v>6.3156339233696723</v>
      </c>
      <c r="AH722" s="304">
        <f t="shared" ca="1" si="347"/>
        <v>-3.4665229913040894</v>
      </c>
    </row>
    <row r="723" spans="1:34" x14ac:dyDescent="0.2">
      <c r="A723" s="347">
        <f t="shared" ca="1" si="325"/>
        <v>1E-4</v>
      </c>
      <c r="B723" s="304">
        <f t="shared" ca="1" si="326"/>
        <v>12.041899999999877</v>
      </c>
      <c r="D723" s="306">
        <f t="shared" ca="1" si="327"/>
        <v>-0.26099217787269824</v>
      </c>
      <c r="E723" s="307">
        <f t="shared" ca="1" si="328"/>
        <v>-6.3532295021762568</v>
      </c>
      <c r="F723" s="304">
        <f t="shared" ca="1" si="329"/>
        <v>6.3585880527231433</v>
      </c>
      <c r="G723" s="306">
        <f t="shared" ca="1" si="330"/>
        <v>3.9062726024957084</v>
      </c>
      <c r="H723" s="307">
        <f t="shared" ca="1" si="331"/>
        <v>-51.738500487463767</v>
      </c>
      <c r="I723" s="304">
        <f t="shared" ca="1" si="332"/>
        <v>51.885753327250605</v>
      </c>
      <c r="J723" s="306">
        <f t="shared" ca="1" si="333"/>
        <v>56.288824373840264</v>
      </c>
      <c r="K723" s="307">
        <f t="shared" ca="1" si="334"/>
        <v>-2.1689417747195288</v>
      </c>
      <c r="L723" s="304">
        <f t="shared" ca="1" si="319"/>
        <v>56.330596107365643</v>
      </c>
      <c r="M723" s="306">
        <f t="shared" ca="1" si="335"/>
        <v>-1.495438990480858</v>
      </c>
      <c r="N723" s="304">
        <f t="shared" ca="1" si="336"/>
        <v>-85.682342673857661</v>
      </c>
      <c r="P723" s="310">
        <f t="shared" ca="1" si="337"/>
        <v>23</v>
      </c>
      <c r="Q723" s="304">
        <f t="shared" ca="1" si="338"/>
        <v>0</v>
      </c>
      <c r="R723" s="306">
        <f t="shared" ca="1" si="339"/>
        <v>0</v>
      </c>
      <c r="S723" s="307">
        <f t="shared" ca="1" si="340"/>
        <v>2.0843000000000003</v>
      </c>
      <c r="T723" s="304">
        <f t="shared" ca="1" si="320"/>
        <v>20.446983000000003</v>
      </c>
      <c r="U723" s="311">
        <f t="shared" ca="1" si="321"/>
        <v>0</v>
      </c>
      <c r="V723" s="306">
        <f t="shared" ca="1" si="322"/>
        <v>1.2252657241844174</v>
      </c>
      <c r="W723" s="304">
        <f t="shared" ca="1" si="323"/>
        <v>7.2256331477585567</v>
      </c>
      <c r="Y723" s="314" t="str">
        <f t="shared" ca="1" si="341"/>
        <v/>
      </c>
      <c r="Z723" s="315" t="str">
        <f t="shared" ca="1" si="342"/>
        <v/>
      </c>
      <c r="AA723" s="316" t="str">
        <f t="shared" ca="1" si="343"/>
        <v/>
      </c>
      <c r="AC723" s="310" t="e">
        <f t="shared" ca="1" si="344"/>
        <v>#N/A</v>
      </c>
      <c r="AD723" s="323" t="e">
        <f t="shared" ca="1" si="345"/>
        <v>#N/A</v>
      </c>
      <c r="AE723" s="324">
        <f t="shared" ca="1" si="324"/>
        <v>-2.1689417747195288</v>
      </c>
      <c r="AG723" s="306">
        <f t="shared" ca="1" si="346"/>
        <v>6.3155487882470887</v>
      </c>
      <c r="AH723" s="304">
        <f t="shared" ca="1" si="347"/>
        <v>-3.4666091777896373</v>
      </c>
    </row>
    <row r="724" spans="1:34" x14ac:dyDescent="0.2">
      <c r="A724" s="347">
        <f t="shared" ca="1" si="325"/>
        <v>1E-4</v>
      </c>
      <c r="B724" s="304">
        <f t="shared" ca="1" si="326"/>
        <v>12.041999999999877</v>
      </c>
      <c r="D724" s="306">
        <f t="shared" ca="1" si="327"/>
        <v>-0.26099374595674257</v>
      </c>
      <c r="E724" s="307">
        <f t="shared" ca="1" si="328"/>
        <v>-6.3531431887829353</v>
      </c>
      <c r="F724" s="304">
        <f t="shared" ca="1" si="329"/>
        <v>6.3585018764334365</v>
      </c>
      <c r="G724" s="306">
        <f t="shared" ca="1" si="330"/>
        <v>3.9062465031211127</v>
      </c>
      <c r="H724" s="307">
        <f t="shared" ca="1" si="331"/>
        <v>-51.739135801782645</v>
      </c>
      <c r="I724" s="304">
        <f t="shared" ca="1" si="332"/>
        <v>51.886384873668469</v>
      </c>
      <c r="J724" s="306">
        <f t="shared" ca="1" si="333"/>
        <v>56.288824373840264</v>
      </c>
      <c r="K724" s="307">
        <f t="shared" ca="1" si="334"/>
        <v>-2.1741156565339912</v>
      </c>
      <c r="L724" s="304">
        <f t="shared" ca="1" si="319"/>
        <v>56.330795558708559</v>
      </c>
      <c r="M724" s="306">
        <f t="shared" ca="1" si="335"/>
        <v>-1.4954404138908681</v>
      </c>
      <c r="N724" s="304">
        <f t="shared" ca="1" si="336"/>
        <v>-85.68242422924375</v>
      </c>
      <c r="P724" s="310">
        <f t="shared" ca="1" si="337"/>
        <v>23</v>
      </c>
      <c r="Q724" s="304">
        <f t="shared" ca="1" si="338"/>
        <v>0</v>
      </c>
      <c r="R724" s="306">
        <f t="shared" ca="1" si="339"/>
        <v>0</v>
      </c>
      <c r="S724" s="307">
        <f t="shared" ca="1" si="340"/>
        <v>2.0843000000000003</v>
      </c>
      <c r="T724" s="304">
        <f t="shared" ca="1" si="320"/>
        <v>20.446983000000003</v>
      </c>
      <c r="U724" s="311">
        <f t="shared" ca="1" si="321"/>
        <v>0</v>
      </c>
      <c r="V724" s="306">
        <f t="shared" ca="1" si="322"/>
        <v>1.2252663581225935</v>
      </c>
      <c r="W724" s="304">
        <f t="shared" ca="1" si="323"/>
        <v>7.2258127862498824</v>
      </c>
      <c r="Y724" s="314" t="str">
        <f t="shared" ca="1" si="341"/>
        <v/>
      </c>
      <c r="Z724" s="315" t="str">
        <f t="shared" ca="1" si="342"/>
        <v/>
      </c>
      <c r="AA724" s="316" t="str">
        <f t="shared" ca="1" si="343"/>
        <v/>
      </c>
      <c r="AC724" s="310" t="e">
        <f t="shared" ca="1" si="344"/>
        <v>#N/A</v>
      </c>
      <c r="AD724" s="323" t="e">
        <f t="shared" ca="1" si="345"/>
        <v>#N/A</v>
      </c>
      <c r="AE724" s="324">
        <f t="shared" ca="1" si="324"/>
        <v>-2.1741156565339912</v>
      </c>
      <c r="AG724" s="306">
        <f t="shared" ca="1" si="346"/>
        <v>6.3154636530721682</v>
      </c>
      <c r="AH724" s="304">
        <f t="shared" ca="1" si="347"/>
        <v>-3.4666953642750831</v>
      </c>
    </row>
    <row r="725" spans="1:34" x14ac:dyDescent="0.2">
      <c r="A725" s="347">
        <f t="shared" ca="1" si="325"/>
        <v>1E-4</v>
      </c>
      <c r="B725" s="304">
        <f t="shared" ca="1" si="326"/>
        <v>12.042099999999877</v>
      </c>
      <c r="D725" s="306">
        <f t="shared" ca="1" si="327"/>
        <v>-0.26099531394824454</v>
      </c>
      <c r="E725" s="307">
        <f t="shared" ca="1" si="328"/>
        <v>-6.3530568753898091</v>
      </c>
      <c r="F725" s="304">
        <f t="shared" ca="1" si="329"/>
        <v>6.3584157001442323</v>
      </c>
      <c r="G725" s="306">
        <f t="shared" ca="1" si="330"/>
        <v>3.9062204035897179</v>
      </c>
      <c r="H725" s="307">
        <f t="shared" ca="1" si="331"/>
        <v>-51.739771107470183</v>
      </c>
      <c r="I725" s="304">
        <f t="shared" ca="1" si="332"/>
        <v>51.887016411572816</v>
      </c>
      <c r="J725" s="306">
        <f t="shared" ca="1" si="333"/>
        <v>56.288824373840264</v>
      </c>
      <c r="K725" s="307">
        <f t="shared" ca="1" si="334"/>
        <v>-2.1792896018794536</v>
      </c>
      <c r="L725" s="304">
        <f t="shared" ca="1" si="319"/>
        <v>56.330995487013134</v>
      </c>
      <c r="M725" s="306">
        <f t="shared" ca="1" si="335"/>
        <v>-1.4954418372567178</v>
      </c>
      <c r="N725" s="304">
        <f t="shared" ca="1" si="336"/>
        <v>-85.682505782099639</v>
      </c>
      <c r="P725" s="310">
        <f t="shared" ca="1" si="337"/>
        <v>23</v>
      </c>
      <c r="Q725" s="304">
        <f t="shared" ca="1" si="338"/>
        <v>0</v>
      </c>
      <c r="R725" s="306">
        <f t="shared" ca="1" si="339"/>
        <v>0</v>
      </c>
      <c r="S725" s="307">
        <f t="shared" ca="1" si="340"/>
        <v>2.0843000000000003</v>
      </c>
      <c r="T725" s="304">
        <f t="shared" ca="1" si="320"/>
        <v>20.446983000000003</v>
      </c>
      <c r="U725" s="311">
        <f t="shared" ca="1" si="321"/>
        <v>0</v>
      </c>
      <c r="V725" s="306">
        <f t="shared" ca="1" si="322"/>
        <v>1.2252669920688821</v>
      </c>
      <c r="W725" s="304">
        <f t="shared" ca="1" si="323"/>
        <v>7.2259924247408334</v>
      </c>
      <c r="Y725" s="314" t="str">
        <f t="shared" ca="1" si="341"/>
        <v/>
      </c>
      <c r="Z725" s="315" t="str">
        <f t="shared" ca="1" si="342"/>
        <v/>
      </c>
      <c r="AA725" s="316" t="str">
        <f t="shared" ca="1" si="343"/>
        <v/>
      </c>
      <c r="AC725" s="310" t="e">
        <f t="shared" ca="1" si="344"/>
        <v>#N/A</v>
      </c>
      <c r="AD725" s="323" t="e">
        <f t="shared" ca="1" si="345"/>
        <v>#N/A</v>
      </c>
      <c r="AE725" s="324">
        <f t="shared" ca="1" si="324"/>
        <v>-2.1792896018794536</v>
      </c>
      <c r="AG725" s="306">
        <f t="shared" ca="1" si="346"/>
        <v>6.3153785178449473</v>
      </c>
      <c r="AH725" s="304">
        <f t="shared" ca="1" si="347"/>
        <v>-3.4667815507603903</v>
      </c>
    </row>
    <row r="726" spans="1:34" x14ac:dyDescent="0.2">
      <c r="A726" s="347">
        <f t="shared" ca="1" si="325"/>
        <v>1E-4</v>
      </c>
      <c r="B726" s="304">
        <f t="shared" ca="1" si="326"/>
        <v>12.042199999999877</v>
      </c>
      <c r="D726" s="306">
        <f t="shared" ca="1" si="327"/>
        <v>-0.2609968818472071</v>
      </c>
      <c r="E726" s="307">
        <f t="shared" ca="1" si="328"/>
        <v>-6.352970561996921</v>
      </c>
      <c r="F726" s="304">
        <f t="shared" ca="1" si="329"/>
        <v>6.3583295238555735</v>
      </c>
      <c r="G726" s="306">
        <f t="shared" ca="1" si="330"/>
        <v>3.906194303901533</v>
      </c>
      <c r="H726" s="307">
        <f t="shared" ca="1" si="331"/>
        <v>-51.740406404526382</v>
      </c>
      <c r="I726" s="304">
        <f t="shared" ca="1" si="332"/>
        <v>51.887647940963632</v>
      </c>
      <c r="J726" s="306">
        <f t="shared" ca="1" si="333"/>
        <v>56.288824373840264</v>
      </c>
      <c r="K726" s="307">
        <f t="shared" ca="1" si="334"/>
        <v>-2.1844636107550537</v>
      </c>
      <c r="L726" s="304">
        <f t="shared" ca="1" si="319"/>
        <v>56.331195892291753</v>
      </c>
      <c r="M726" s="306">
        <f t="shared" ca="1" si="335"/>
        <v>-1.4954432605784094</v>
      </c>
      <c r="N726" s="304">
        <f t="shared" ca="1" si="336"/>
        <v>-85.682587332425456</v>
      </c>
      <c r="P726" s="310">
        <f t="shared" ca="1" si="337"/>
        <v>23</v>
      </c>
      <c r="Q726" s="304">
        <f t="shared" ca="1" si="338"/>
        <v>0</v>
      </c>
      <c r="R726" s="306">
        <f t="shared" ca="1" si="339"/>
        <v>0</v>
      </c>
      <c r="S726" s="307">
        <f t="shared" ca="1" si="340"/>
        <v>2.0843000000000003</v>
      </c>
      <c r="T726" s="304">
        <f t="shared" ca="1" si="320"/>
        <v>20.446983000000003</v>
      </c>
      <c r="U726" s="311">
        <f t="shared" ca="1" si="321"/>
        <v>0</v>
      </c>
      <c r="V726" s="306">
        <f t="shared" ca="1" si="322"/>
        <v>1.2252676260232831</v>
      </c>
      <c r="W726" s="304">
        <f t="shared" ca="1" si="323"/>
        <v>7.226172063231326</v>
      </c>
      <c r="Y726" s="314" t="str">
        <f t="shared" ca="1" si="341"/>
        <v/>
      </c>
      <c r="Z726" s="315" t="str">
        <f t="shared" ca="1" si="342"/>
        <v/>
      </c>
      <c r="AA726" s="316" t="str">
        <f t="shared" ca="1" si="343"/>
        <v/>
      </c>
      <c r="AC726" s="310" t="e">
        <f t="shared" ca="1" si="344"/>
        <v>#N/A</v>
      </c>
      <c r="AD726" s="323" t="e">
        <f t="shared" ca="1" si="345"/>
        <v>#N/A</v>
      </c>
      <c r="AE726" s="324">
        <f t="shared" ca="1" si="324"/>
        <v>-2.1844636107550537</v>
      </c>
      <c r="AG726" s="306">
        <f t="shared" ca="1" si="346"/>
        <v>6.315293382565474</v>
      </c>
      <c r="AH726" s="304">
        <f t="shared" ca="1" si="347"/>
        <v>-3.4668677372455177</v>
      </c>
    </row>
    <row r="727" spans="1:34" x14ac:dyDescent="0.2">
      <c r="A727" s="347">
        <f t="shared" ca="1" si="325"/>
        <v>1E-4</v>
      </c>
      <c r="B727" s="304">
        <f t="shared" ca="1" si="326"/>
        <v>12.042299999999877</v>
      </c>
      <c r="D727" s="306">
        <f t="shared" ca="1" si="327"/>
        <v>-0.26099844965363</v>
      </c>
      <c r="E727" s="307">
        <f t="shared" ca="1" si="328"/>
        <v>-6.35288424860431</v>
      </c>
      <c r="F727" s="304">
        <f t="shared" ca="1" si="329"/>
        <v>6.3582433475674982</v>
      </c>
      <c r="G727" s="306">
        <f t="shared" ca="1" si="330"/>
        <v>3.9061682040565677</v>
      </c>
      <c r="H727" s="307">
        <f t="shared" ca="1" si="331"/>
        <v>-51.741041692951242</v>
      </c>
      <c r="I727" s="304">
        <f t="shared" ca="1" si="332"/>
        <v>51.888279461840909</v>
      </c>
      <c r="J727" s="306">
        <f t="shared" ca="1" si="333"/>
        <v>56.288824373840264</v>
      </c>
      <c r="K727" s="307">
        <f t="shared" ca="1" si="334"/>
        <v>-2.1896376831599276</v>
      </c>
      <c r="L727" s="304">
        <f t="shared" ca="1" si="319"/>
        <v>56.331396774556801</v>
      </c>
      <c r="M727" s="306">
        <f t="shared" ca="1" si="335"/>
        <v>-1.4954446838559452</v>
      </c>
      <c r="N727" s="304">
        <f t="shared" ca="1" si="336"/>
        <v>-85.682668880221343</v>
      </c>
      <c r="P727" s="310">
        <f t="shared" ca="1" si="337"/>
        <v>23</v>
      </c>
      <c r="Q727" s="304">
        <f t="shared" ca="1" si="338"/>
        <v>0</v>
      </c>
      <c r="R727" s="306">
        <f t="shared" ca="1" si="339"/>
        <v>0</v>
      </c>
      <c r="S727" s="307">
        <f t="shared" ca="1" si="340"/>
        <v>2.0843000000000003</v>
      </c>
      <c r="T727" s="304">
        <f t="shared" ca="1" si="320"/>
        <v>20.446983000000003</v>
      </c>
      <c r="U727" s="311">
        <f t="shared" ca="1" si="321"/>
        <v>0</v>
      </c>
      <c r="V727" s="306">
        <f t="shared" ca="1" si="322"/>
        <v>1.225268259985796</v>
      </c>
      <c r="W727" s="304">
        <f t="shared" ca="1" si="323"/>
        <v>7.2263517017212688</v>
      </c>
      <c r="Y727" s="314" t="str">
        <f t="shared" ca="1" si="341"/>
        <v/>
      </c>
      <c r="Z727" s="315" t="str">
        <f t="shared" ca="1" si="342"/>
        <v/>
      </c>
      <c r="AA727" s="316" t="str">
        <f t="shared" ca="1" si="343"/>
        <v/>
      </c>
      <c r="AC727" s="310" t="e">
        <f t="shared" ca="1" si="344"/>
        <v>#N/A</v>
      </c>
      <c r="AD727" s="323" t="e">
        <f t="shared" ca="1" si="345"/>
        <v>#N/A</v>
      </c>
      <c r="AE727" s="324">
        <f t="shared" ca="1" si="324"/>
        <v>-2.1896376831599276</v>
      </c>
      <c r="AG727" s="306">
        <f t="shared" ca="1" si="346"/>
        <v>6.3152082472337927</v>
      </c>
      <c r="AH727" s="304">
        <f t="shared" ca="1" si="347"/>
        <v>-3.4669539237304252</v>
      </c>
    </row>
    <row r="728" spans="1:34" x14ac:dyDescent="0.2">
      <c r="A728" s="347">
        <f t="shared" ca="1" si="325"/>
        <v>1E-4</v>
      </c>
      <c r="B728" s="304">
        <f t="shared" ca="1" si="326"/>
        <v>12.042399999999876</v>
      </c>
      <c r="D728" s="306">
        <f t="shared" ca="1" si="327"/>
        <v>-0.26100001736751394</v>
      </c>
      <c r="E728" s="307">
        <f t="shared" ca="1" si="328"/>
        <v>-6.3527979352120205</v>
      </c>
      <c r="F728" s="304">
        <f t="shared" ca="1" si="329"/>
        <v>6.3581571712800518</v>
      </c>
      <c r="G728" s="306">
        <f t="shared" ca="1" si="330"/>
        <v>3.906142104054831</v>
      </c>
      <c r="H728" s="307">
        <f t="shared" ca="1" si="331"/>
        <v>-51.741676972744763</v>
      </c>
      <c r="I728" s="304">
        <f t="shared" ca="1" si="332"/>
        <v>51.888910974204649</v>
      </c>
      <c r="J728" s="306">
        <f t="shared" ca="1" si="333"/>
        <v>56.288824373840264</v>
      </c>
      <c r="K728" s="307">
        <f t="shared" ca="1" si="334"/>
        <v>-2.1948118190932124</v>
      </c>
      <c r="L728" s="304">
        <f t="shared" ca="1" si="319"/>
        <v>56.331598133820641</v>
      </c>
      <c r="M728" s="306">
        <f t="shared" ca="1" si="335"/>
        <v>-1.4954461070893272</v>
      </c>
      <c r="N728" s="304">
        <f t="shared" ca="1" si="336"/>
        <v>-85.682750425487384</v>
      </c>
      <c r="P728" s="310">
        <f t="shared" ca="1" si="337"/>
        <v>23</v>
      </c>
      <c r="Q728" s="304">
        <f t="shared" ca="1" si="338"/>
        <v>0</v>
      </c>
      <c r="R728" s="306">
        <f t="shared" ca="1" si="339"/>
        <v>0</v>
      </c>
      <c r="S728" s="307">
        <f t="shared" ca="1" si="340"/>
        <v>2.0843000000000003</v>
      </c>
      <c r="T728" s="304">
        <f t="shared" ca="1" si="320"/>
        <v>20.446983000000003</v>
      </c>
      <c r="U728" s="311">
        <f t="shared" ca="1" si="321"/>
        <v>0</v>
      </c>
      <c r="V728" s="306">
        <f t="shared" ca="1" si="322"/>
        <v>1.2252688939564205</v>
      </c>
      <c r="W728" s="304">
        <f t="shared" ca="1" si="323"/>
        <v>7.2265313402105775</v>
      </c>
      <c r="Y728" s="314" t="str">
        <f t="shared" ca="1" si="341"/>
        <v/>
      </c>
      <c r="Z728" s="315" t="str">
        <f t="shared" ca="1" si="342"/>
        <v/>
      </c>
      <c r="AA728" s="316" t="str">
        <f t="shared" ca="1" si="343"/>
        <v/>
      </c>
      <c r="AC728" s="310" t="e">
        <f t="shared" ca="1" si="344"/>
        <v>#N/A</v>
      </c>
      <c r="AD728" s="323" t="e">
        <f t="shared" ca="1" si="345"/>
        <v>#N/A</v>
      </c>
      <c r="AE728" s="324">
        <f t="shared" ca="1" si="324"/>
        <v>-2.1948118190932124</v>
      </c>
      <c r="AG728" s="306">
        <f t="shared" ca="1" si="346"/>
        <v>6.3151231118499469</v>
      </c>
      <c r="AH728" s="304">
        <f t="shared" ca="1" si="347"/>
        <v>-3.467040110215069</v>
      </c>
    </row>
    <row r="729" spans="1:34" x14ac:dyDescent="0.2">
      <c r="A729" s="347">
        <f t="shared" ca="1" si="325"/>
        <v>1E-4</v>
      </c>
      <c r="B729" s="304">
        <f t="shared" ca="1" si="326"/>
        <v>12.042499999999876</v>
      </c>
      <c r="D729" s="306">
        <f t="shared" ca="1" si="327"/>
        <v>-0.26100158498886017</v>
      </c>
      <c r="E729" s="307">
        <f t="shared" ca="1" si="328"/>
        <v>-6.3527116218200934</v>
      </c>
      <c r="F729" s="304">
        <f t="shared" ca="1" si="329"/>
        <v>6.3580709949932759</v>
      </c>
      <c r="G729" s="306">
        <f t="shared" ca="1" si="330"/>
        <v>3.9061160038963321</v>
      </c>
      <c r="H729" s="307">
        <f t="shared" ca="1" si="331"/>
        <v>-51.742312243906945</v>
      </c>
      <c r="I729" s="304">
        <f t="shared" ca="1" si="332"/>
        <v>51.889542478054835</v>
      </c>
      <c r="J729" s="306">
        <f t="shared" ca="1" si="333"/>
        <v>56.288824373840264</v>
      </c>
      <c r="K729" s="307">
        <f t="shared" ca="1" si="334"/>
        <v>-2.199986018554045</v>
      </c>
      <c r="L729" s="304">
        <f t="shared" ca="1" si="319"/>
        <v>56.331799970095638</v>
      </c>
      <c r="M729" s="306">
        <f t="shared" ca="1" si="335"/>
        <v>-1.4954475302785577</v>
      </c>
      <c r="N729" s="304">
        <f t="shared" ca="1" si="336"/>
        <v>-85.682831968223738</v>
      </c>
      <c r="P729" s="310">
        <f t="shared" ca="1" si="337"/>
        <v>23</v>
      </c>
      <c r="Q729" s="304">
        <f t="shared" ca="1" si="338"/>
        <v>0</v>
      </c>
      <c r="R729" s="306">
        <f t="shared" ca="1" si="339"/>
        <v>0</v>
      </c>
      <c r="S729" s="307">
        <f t="shared" ca="1" si="340"/>
        <v>2.0843000000000003</v>
      </c>
      <c r="T729" s="304">
        <f t="shared" ca="1" si="320"/>
        <v>20.446983000000003</v>
      </c>
      <c r="U729" s="311">
        <f t="shared" ca="1" si="321"/>
        <v>0</v>
      </c>
      <c r="V729" s="306">
        <f t="shared" ca="1" si="322"/>
        <v>1.2252695279351573</v>
      </c>
      <c r="W729" s="304">
        <f t="shared" ca="1" si="323"/>
        <v>7.2267109786991686</v>
      </c>
      <c r="Y729" s="314" t="str">
        <f t="shared" ca="1" si="341"/>
        <v/>
      </c>
      <c r="Z729" s="315" t="str">
        <f t="shared" ca="1" si="342"/>
        <v/>
      </c>
      <c r="AA729" s="316" t="str">
        <f t="shared" ca="1" si="343"/>
        <v/>
      </c>
      <c r="AC729" s="310" t="e">
        <f t="shared" ca="1" si="344"/>
        <v>#N/A</v>
      </c>
      <c r="AD729" s="323" t="e">
        <f t="shared" ca="1" si="345"/>
        <v>#N/A</v>
      </c>
      <c r="AE729" s="324">
        <f t="shared" ca="1" si="324"/>
        <v>-2.199986018554045</v>
      </c>
      <c r="AG729" s="306">
        <f t="shared" ca="1" si="346"/>
        <v>6.3150379764139828</v>
      </c>
      <c r="AH729" s="304">
        <f t="shared" ca="1" si="347"/>
        <v>-3.4671262966994081</v>
      </c>
    </row>
    <row r="730" spans="1:34" x14ac:dyDescent="0.2">
      <c r="A730" s="347">
        <f t="shared" ca="1" si="325"/>
        <v>1E-4</v>
      </c>
      <c r="B730" s="304">
        <f t="shared" ca="1" si="326"/>
        <v>12.042599999999876</v>
      </c>
      <c r="D730" s="306">
        <f t="shared" ca="1" si="327"/>
        <v>-0.26100315251766948</v>
      </c>
      <c r="E730" s="307">
        <f t="shared" ca="1" si="328"/>
        <v>-6.3526253084285678</v>
      </c>
      <c r="F730" s="304">
        <f t="shared" ca="1" si="329"/>
        <v>6.357984818707207</v>
      </c>
      <c r="G730" s="306">
        <f t="shared" ca="1" si="330"/>
        <v>3.9060899035810803</v>
      </c>
      <c r="H730" s="307">
        <f t="shared" ca="1" si="331"/>
        <v>-51.742947506437787</v>
      </c>
      <c r="I730" s="304">
        <f t="shared" ca="1" si="332"/>
        <v>51.890173973391477</v>
      </c>
      <c r="J730" s="306">
        <f t="shared" ca="1" si="333"/>
        <v>56.288824373840264</v>
      </c>
      <c r="K730" s="307">
        <f t="shared" ca="1" si="334"/>
        <v>-2.2051602815415623</v>
      </c>
      <c r="L730" s="304">
        <f t="shared" ca="1" si="319"/>
        <v>56.332002283394139</v>
      </c>
      <c r="M730" s="306">
        <f t="shared" ca="1" si="335"/>
        <v>-1.4954489534236386</v>
      </c>
      <c r="N730" s="304">
        <f t="shared" ca="1" si="336"/>
        <v>-85.682913508430516</v>
      </c>
      <c r="P730" s="310">
        <f t="shared" ca="1" si="337"/>
        <v>23</v>
      </c>
      <c r="Q730" s="304">
        <f t="shared" ca="1" si="338"/>
        <v>0</v>
      </c>
      <c r="R730" s="306">
        <f t="shared" ca="1" si="339"/>
        <v>0</v>
      </c>
      <c r="S730" s="307">
        <f t="shared" ca="1" si="340"/>
        <v>2.0843000000000003</v>
      </c>
      <c r="T730" s="304">
        <f t="shared" ca="1" si="320"/>
        <v>20.446983000000003</v>
      </c>
      <c r="U730" s="311">
        <f t="shared" ca="1" si="321"/>
        <v>0</v>
      </c>
      <c r="V730" s="306">
        <f t="shared" ca="1" si="322"/>
        <v>1.2252701619220059</v>
      </c>
      <c r="W730" s="304">
        <f t="shared" ca="1" si="323"/>
        <v>7.2268906171869594</v>
      </c>
      <c r="Y730" s="314" t="str">
        <f t="shared" ca="1" si="341"/>
        <v/>
      </c>
      <c r="Z730" s="315" t="str">
        <f t="shared" ca="1" si="342"/>
        <v/>
      </c>
      <c r="AA730" s="316" t="str">
        <f t="shared" ca="1" si="343"/>
        <v/>
      </c>
      <c r="AC730" s="310" t="e">
        <f t="shared" ca="1" si="344"/>
        <v>#N/A</v>
      </c>
      <c r="AD730" s="323" t="e">
        <f t="shared" ca="1" si="345"/>
        <v>#N/A</v>
      </c>
      <c r="AE730" s="324">
        <f t="shared" ca="1" si="324"/>
        <v>-2.2051602815415623</v>
      </c>
      <c r="AG730" s="306">
        <f t="shared" ca="1" si="346"/>
        <v>6.3149528409259448</v>
      </c>
      <c r="AH730" s="304">
        <f t="shared" ca="1" si="347"/>
        <v>-3.4672124831834035</v>
      </c>
    </row>
    <row r="731" spans="1:34" x14ac:dyDescent="0.2">
      <c r="A731" s="347">
        <f t="shared" ca="1" si="325"/>
        <v>1E-4</v>
      </c>
      <c r="B731" s="304">
        <f t="shared" ca="1" si="326"/>
        <v>12.042699999999876</v>
      </c>
      <c r="D731" s="306">
        <f t="shared" ca="1" si="327"/>
        <v>-0.26100471995394342</v>
      </c>
      <c r="E731" s="307">
        <f t="shared" ca="1" si="328"/>
        <v>-6.3525389950374844</v>
      </c>
      <c r="F731" s="304">
        <f t="shared" ca="1" si="329"/>
        <v>6.3578986424218877</v>
      </c>
      <c r="G731" s="306">
        <f t="shared" ca="1" si="330"/>
        <v>3.9060638031090851</v>
      </c>
      <c r="H731" s="307">
        <f t="shared" ca="1" si="331"/>
        <v>-51.74358276033729</v>
      </c>
      <c r="I731" s="304">
        <f t="shared" ca="1" si="332"/>
        <v>51.890805460214565</v>
      </c>
      <c r="J731" s="306">
        <f t="shared" ca="1" si="333"/>
        <v>56.288824373840264</v>
      </c>
      <c r="K731" s="307">
        <f t="shared" ca="1" si="334"/>
        <v>-2.2103346080549011</v>
      </c>
      <c r="L731" s="304">
        <f t="shared" ca="1" si="319"/>
        <v>56.332205073728467</v>
      </c>
      <c r="M731" s="306">
        <f t="shared" ca="1" si="335"/>
        <v>-1.4954503765245721</v>
      </c>
      <c r="N731" s="304">
        <f t="shared" ca="1" si="336"/>
        <v>-85.68299504610782</v>
      </c>
      <c r="P731" s="310">
        <f t="shared" ca="1" si="337"/>
        <v>23</v>
      </c>
      <c r="Q731" s="304">
        <f t="shared" ca="1" si="338"/>
        <v>0</v>
      </c>
      <c r="R731" s="306">
        <f t="shared" ca="1" si="339"/>
        <v>0</v>
      </c>
      <c r="S731" s="307">
        <f t="shared" ca="1" si="340"/>
        <v>2.0843000000000003</v>
      </c>
      <c r="T731" s="304">
        <f t="shared" ca="1" si="320"/>
        <v>20.446983000000003</v>
      </c>
      <c r="U731" s="311">
        <f t="shared" ca="1" si="321"/>
        <v>0</v>
      </c>
      <c r="V731" s="306">
        <f t="shared" ca="1" si="322"/>
        <v>1.2252707959169662</v>
      </c>
      <c r="W731" s="304">
        <f t="shared" ca="1" si="323"/>
        <v>7.2270702556738611</v>
      </c>
      <c r="Y731" s="314" t="str">
        <f t="shared" ca="1" si="341"/>
        <v/>
      </c>
      <c r="Z731" s="315" t="str">
        <f t="shared" ca="1" si="342"/>
        <v/>
      </c>
      <c r="AA731" s="316" t="str">
        <f t="shared" ca="1" si="343"/>
        <v/>
      </c>
      <c r="AC731" s="310" t="e">
        <f t="shared" ca="1" si="344"/>
        <v>#N/A</v>
      </c>
      <c r="AD731" s="323" t="e">
        <f t="shared" ca="1" si="345"/>
        <v>#N/A</v>
      </c>
      <c r="AE731" s="324">
        <f t="shared" ca="1" si="324"/>
        <v>-2.2103346080549011</v>
      </c>
      <c r="AG731" s="306">
        <f t="shared" ca="1" si="346"/>
        <v>6.3148677053858755</v>
      </c>
      <c r="AH731" s="304">
        <f t="shared" ca="1" si="347"/>
        <v>-3.4672986696670147</v>
      </c>
    </row>
    <row r="732" spans="1:34" x14ac:dyDescent="0.2">
      <c r="A732" s="347">
        <f t="shared" ca="1" si="325"/>
        <v>1E-4</v>
      </c>
      <c r="B732" s="304">
        <f t="shared" ca="1" si="326"/>
        <v>12.042799999999875</v>
      </c>
      <c r="D732" s="306">
        <f t="shared" ca="1" si="327"/>
        <v>-0.26100628729768238</v>
      </c>
      <c r="E732" s="307">
        <f t="shared" ca="1" si="328"/>
        <v>-6.352452681646886</v>
      </c>
      <c r="F732" s="304">
        <f t="shared" ca="1" si="329"/>
        <v>6.3578124661373616</v>
      </c>
      <c r="G732" s="306">
        <f t="shared" ca="1" si="330"/>
        <v>3.9060377024803552</v>
      </c>
      <c r="H732" s="307">
        <f t="shared" ca="1" si="331"/>
        <v>-51.744218005605454</v>
      </c>
      <c r="I732" s="304">
        <f t="shared" ca="1" si="332"/>
        <v>51.891436938524087</v>
      </c>
      <c r="J732" s="306">
        <f t="shared" ca="1" si="333"/>
        <v>56.288824373840264</v>
      </c>
      <c r="K732" s="307">
        <f t="shared" ca="1" si="334"/>
        <v>-2.2155089980931981</v>
      </c>
      <c r="L732" s="304">
        <f t="shared" ca="1" si="319"/>
        <v>56.332408341110941</v>
      </c>
      <c r="M732" s="306">
        <f t="shared" ca="1" si="335"/>
        <v>-1.4954517995813605</v>
      </c>
      <c r="N732" s="304">
        <f t="shared" ca="1" si="336"/>
        <v>-85.683076581255804</v>
      </c>
      <c r="P732" s="310">
        <f t="shared" ca="1" si="337"/>
        <v>23</v>
      </c>
      <c r="Q732" s="304">
        <f t="shared" ca="1" si="338"/>
        <v>0</v>
      </c>
      <c r="R732" s="306">
        <f t="shared" ca="1" si="339"/>
        <v>0</v>
      </c>
      <c r="S732" s="307">
        <f t="shared" ca="1" si="340"/>
        <v>2.0843000000000003</v>
      </c>
      <c r="T732" s="304">
        <f t="shared" ca="1" si="320"/>
        <v>20.446983000000003</v>
      </c>
      <c r="U732" s="311">
        <f t="shared" ca="1" si="321"/>
        <v>0</v>
      </c>
      <c r="V732" s="306">
        <f t="shared" ca="1" si="322"/>
        <v>1.2252714299200378</v>
      </c>
      <c r="W732" s="304">
        <f t="shared" ca="1" si="323"/>
        <v>7.2272498941597876</v>
      </c>
      <c r="Y732" s="314" t="str">
        <f t="shared" ca="1" si="341"/>
        <v/>
      </c>
      <c r="Z732" s="315" t="str">
        <f t="shared" ca="1" si="342"/>
        <v/>
      </c>
      <c r="AA732" s="316" t="str">
        <f t="shared" ca="1" si="343"/>
        <v/>
      </c>
      <c r="AC732" s="310" t="e">
        <f t="shared" ca="1" si="344"/>
        <v>#N/A</v>
      </c>
      <c r="AD732" s="323" t="e">
        <f t="shared" ca="1" si="345"/>
        <v>#N/A</v>
      </c>
      <c r="AE732" s="324">
        <f t="shared" ca="1" si="324"/>
        <v>-2.2155089980931981</v>
      </c>
      <c r="AG732" s="306">
        <f t="shared" ca="1" si="346"/>
        <v>6.3147825697938167</v>
      </c>
      <c r="AH732" s="304">
        <f t="shared" ca="1" si="347"/>
        <v>-3.4673848561501992</v>
      </c>
    </row>
    <row r="733" spans="1:34" x14ac:dyDescent="0.2">
      <c r="A733" s="347">
        <f t="shared" ca="1" si="325"/>
        <v>1E-4</v>
      </c>
      <c r="B733" s="304">
        <f t="shared" ca="1" si="326"/>
        <v>12.042899999999875</v>
      </c>
      <c r="D733" s="306">
        <f t="shared" ca="1" si="327"/>
        <v>-0.26100785454888714</v>
      </c>
      <c r="E733" s="307">
        <f t="shared" ca="1" si="328"/>
        <v>-6.3523663682568117</v>
      </c>
      <c r="F733" s="304">
        <f t="shared" ca="1" si="329"/>
        <v>6.3577262898536651</v>
      </c>
      <c r="G733" s="306">
        <f t="shared" ca="1" si="330"/>
        <v>3.9060116016949005</v>
      </c>
      <c r="H733" s="307">
        <f t="shared" ca="1" si="331"/>
        <v>-51.744853242242279</v>
      </c>
      <c r="I733" s="304">
        <f t="shared" ca="1" si="332"/>
        <v>51.892068408320036</v>
      </c>
      <c r="J733" s="306">
        <f t="shared" ca="1" si="333"/>
        <v>56.288824373840264</v>
      </c>
      <c r="K733" s="307">
        <f t="shared" ca="1" si="334"/>
        <v>-2.2206834516555904</v>
      </c>
      <c r="L733" s="304">
        <f t="shared" ca="1" si="319"/>
        <v>56.332612085553876</v>
      </c>
      <c r="M733" s="306">
        <f t="shared" ca="1" si="335"/>
        <v>-1.4954532225940058</v>
      </c>
      <c r="N733" s="304">
        <f t="shared" ca="1" si="336"/>
        <v>-85.683158113874583</v>
      </c>
      <c r="P733" s="310">
        <f t="shared" ca="1" si="337"/>
        <v>23</v>
      </c>
      <c r="Q733" s="304">
        <f t="shared" ca="1" si="338"/>
        <v>0</v>
      </c>
      <c r="R733" s="306">
        <f t="shared" ca="1" si="339"/>
        <v>0</v>
      </c>
      <c r="S733" s="307">
        <f t="shared" ca="1" si="340"/>
        <v>2.0843000000000003</v>
      </c>
      <c r="T733" s="304">
        <f t="shared" ca="1" si="320"/>
        <v>20.446983000000003</v>
      </c>
      <c r="U733" s="311">
        <f t="shared" ca="1" si="321"/>
        <v>0</v>
      </c>
      <c r="V733" s="306">
        <f t="shared" ca="1" si="322"/>
        <v>1.2252720639312213</v>
      </c>
      <c r="W733" s="304">
        <f t="shared" ca="1" si="323"/>
        <v>7.2274295326446527</v>
      </c>
      <c r="Y733" s="314" t="str">
        <f t="shared" ca="1" si="341"/>
        <v/>
      </c>
      <c r="Z733" s="315" t="str">
        <f t="shared" ca="1" si="342"/>
        <v/>
      </c>
      <c r="AA733" s="316" t="str">
        <f t="shared" ca="1" si="343"/>
        <v/>
      </c>
      <c r="AC733" s="310" t="e">
        <f t="shared" ca="1" si="344"/>
        <v>#N/A</v>
      </c>
      <c r="AD733" s="323" t="e">
        <f t="shared" ca="1" si="345"/>
        <v>#N/A</v>
      </c>
      <c r="AE733" s="324">
        <f t="shared" ca="1" si="324"/>
        <v>-2.2206834516555904</v>
      </c>
      <c r="AG733" s="306">
        <f t="shared" ca="1" si="346"/>
        <v>6.314697434149819</v>
      </c>
      <c r="AH733" s="304">
        <f t="shared" ca="1" si="347"/>
        <v>-3.4674710426329161</v>
      </c>
    </row>
    <row r="734" spans="1:34" x14ac:dyDescent="0.2">
      <c r="A734" s="347">
        <f t="shared" ca="1" si="325"/>
        <v>1E-4</v>
      </c>
      <c r="B734" s="304">
        <f t="shared" ca="1" si="326"/>
        <v>12.042999999999875</v>
      </c>
      <c r="D734" s="306">
        <f t="shared" ca="1" si="327"/>
        <v>-0.26100942170755892</v>
      </c>
      <c r="E734" s="307">
        <f t="shared" ca="1" si="328"/>
        <v>-6.3522800548673066</v>
      </c>
      <c r="F734" s="304">
        <f t="shared" ca="1" si="329"/>
        <v>6.3576401135708451</v>
      </c>
      <c r="G734" s="306">
        <f t="shared" ca="1" si="330"/>
        <v>3.9059855007527298</v>
      </c>
      <c r="H734" s="307">
        <f t="shared" ca="1" si="331"/>
        <v>-51.745488470247764</v>
      </c>
      <c r="I734" s="304">
        <f t="shared" ca="1" si="332"/>
        <v>51.892699869602417</v>
      </c>
      <c r="J734" s="306">
        <f t="shared" ca="1" si="333"/>
        <v>56.288824373840264</v>
      </c>
      <c r="K734" s="307">
        <f t="shared" ca="1" si="334"/>
        <v>-2.2258579687412148</v>
      </c>
      <c r="L734" s="304">
        <f t="shared" ca="1" si="319"/>
        <v>56.332816307069564</v>
      </c>
      <c r="M734" s="306">
        <f t="shared" ca="1" si="335"/>
        <v>-1.4954546455625102</v>
      </c>
      <c r="N734" s="304">
        <f t="shared" ca="1" si="336"/>
        <v>-85.683239643964257</v>
      </c>
      <c r="P734" s="310">
        <f t="shared" ca="1" si="337"/>
        <v>23</v>
      </c>
      <c r="Q734" s="304">
        <f t="shared" ca="1" si="338"/>
        <v>0</v>
      </c>
      <c r="R734" s="306">
        <f t="shared" ca="1" si="339"/>
        <v>0</v>
      </c>
      <c r="S734" s="307">
        <f t="shared" ca="1" si="340"/>
        <v>2.0843000000000003</v>
      </c>
      <c r="T734" s="304">
        <f t="shared" ca="1" si="320"/>
        <v>20.446983000000003</v>
      </c>
      <c r="U734" s="311">
        <f t="shared" ca="1" si="321"/>
        <v>0</v>
      </c>
      <c r="V734" s="306">
        <f t="shared" ca="1" si="322"/>
        <v>1.2252726979505162</v>
      </c>
      <c r="W734" s="304">
        <f t="shared" ca="1" si="323"/>
        <v>7.2276091711283739</v>
      </c>
      <c r="Y734" s="314" t="str">
        <f t="shared" ca="1" si="341"/>
        <v/>
      </c>
      <c r="Z734" s="315" t="str">
        <f t="shared" ca="1" si="342"/>
        <v/>
      </c>
      <c r="AA734" s="316" t="str">
        <f t="shared" ca="1" si="343"/>
        <v/>
      </c>
      <c r="AC734" s="310" t="e">
        <f t="shared" ca="1" si="344"/>
        <v>#N/A</v>
      </c>
      <c r="AD734" s="323" t="e">
        <f t="shared" ca="1" si="345"/>
        <v>#N/A</v>
      </c>
      <c r="AE734" s="324">
        <f t="shared" ca="1" si="324"/>
        <v>-2.2258579687412148</v>
      </c>
      <c r="AG734" s="306">
        <f t="shared" ca="1" si="346"/>
        <v>6.3146122984539259</v>
      </c>
      <c r="AH734" s="304">
        <f t="shared" ca="1" si="347"/>
        <v>-3.4675572291151235</v>
      </c>
    </row>
    <row r="735" spans="1:34" x14ac:dyDescent="0.2">
      <c r="A735" s="347">
        <f t="shared" ca="1" si="325"/>
        <v>1E-4</v>
      </c>
      <c r="B735" s="304">
        <f t="shared" ca="1" si="326"/>
        <v>12.043099999999875</v>
      </c>
      <c r="D735" s="306">
        <f t="shared" ca="1" si="327"/>
        <v>-0.2610109887736986</v>
      </c>
      <c r="E735" s="307">
        <f t="shared" ca="1" si="328"/>
        <v>-6.3521937414784082</v>
      </c>
      <c r="F735" s="304">
        <f t="shared" ca="1" si="329"/>
        <v>6.3575539372889383</v>
      </c>
      <c r="G735" s="306">
        <f t="shared" ca="1" si="330"/>
        <v>3.9059593996538524</v>
      </c>
      <c r="H735" s="307">
        <f t="shared" ca="1" si="331"/>
        <v>-51.746123689621911</v>
      </c>
      <c r="I735" s="304">
        <f t="shared" ca="1" si="332"/>
        <v>51.893331322371225</v>
      </c>
      <c r="J735" s="306">
        <f t="shared" ca="1" si="333"/>
        <v>56.288824373840264</v>
      </c>
      <c r="K735" s="307">
        <f t="shared" ca="1" si="334"/>
        <v>-2.2310325493492082</v>
      </c>
      <c r="L735" s="304">
        <f t="shared" ca="1" si="319"/>
        <v>56.333021005670282</v>
      </c>
      <c r="M735" s="306">
        <f t="shared" ca="1" si="335"/>
        <v>-1.4954560684868758</v>
      </c>
      <c r="N735" s="304">
        <f t="shared" ca="1" si="336"/>
        <v>-85.68332117152498</v>
      </c>
      <c r="P735" s="310">
        <f t="shared" ca="1" si="337"/>
        <v>23</v>
      </c>
      <c r="Q735" s="304">
        <f t="shared" ca="1" si="338"/>
        <v>0</v>
      </c>
      <c r="R735" s="306">
        <f t="shared" ca="1" si="339"/>
        <v>0</v>
      </c>
      <c r="S735" s="307">
        <f t="shared" ca="1" si="340"/>
        <v>2.0843000000000003</v>
      </c>
      <c r="T735" s="304">
        <f t="shared" ca="1" si="320"/>
        <v>20.446983000000003</v>
      </c>
      <c r="U735" s="311">
        <f t="shared" ca="1" si="321"/>
        <v>0</v>
      </c>
      <c r="V735" s="306">
        <f t="shared" ca="1" si="322"/>
        <v>1.2252733319779223</v>
      </c>
      <c r="W735" s="304">
        <f t="shared" ca="1" si="323"/>
        <v>7.2277888096108649</v>
      </c>
      <c r="Y735" s="314" t="str">
        <f t="shared" ca="1" si="341"/>
        <v/>
      </c>
      <c r="Z735" s="315" t="str">
        <f t="shared" ca="1" si="342"/>
        <v/>
      </c>
      <c r="AA735" s="316" t="str">
        <f t="shared" ca="1" si="343"/>
        <v/>
      </c>
      <c r="AC735" s="310" t="e">
        <f t="shared" ca="1" si="344"/>
        <v>#N/A</v>
      </c>
      <c r="AD735" s="323" t="e">
        <f t="shared" ca="1" si="345"/>
        <v>#N/A</v>
      </c>
      <c r="AE735" s="324">
        <f t="shared" ca="1" si="324"/>
        <v>-2.2310325493492082</v>
      </c>
      <c r="AG735" s="306">
        <f t="shared" ca="1" si="346"/>
        <v>6.3145271627061756</v>
      </c>
      <c r="AH735" s="304">
        <f t="shared" ca="1" si="347"/>
        <v>-3.4676434155967821</v>
      </c>
    </row>
    <row r="736" spans="1:34" x14ac:dyDescent="0.2">
      <c r="A736" s="347">
        <f t="shared" ca="1" si="325"/>
        <v>1E-4</v>
      </c>
      <c r="B736" s="304">
        <f t="shared" ca="1" si="326"/>
        <v>12.043199999999874</v>
      </c>
      <c r="D736" s="306">
        <f t="shared" ca="1" si="327"/>
        <v>-0.26101255574730675</v>
      </c>
      <c r="E736" s="307">
        <f t="shared" ca="1" si="328"/>
        <v>-6.3521074280901582</v>
      </c>
      <c r="F736" s="304">
        <f t="shared" ca="1" si="329"/>
        <v>6.3574677610079871</v>
      </c>
      <c r="G736" s="306">
        <f t="shared" ca="1" si="330"/>
        <v>3.9059332983982777</v>
      </c>
      <c r="H736" s="307">
        <f t="shared" ca="1" si="331"/>
        <v>-51.746758900364718</v>
      </c>
      <c r="I736" s="304">
        <f t="shared" ca="1" si="332"/>
        <v>51.893962766626444</v>
      </c>
      <c r="J736" s="306">
        <f t="shared" ca="1" si="333"/>
        <v>56.288824373840264</v>
      </c>
      <c r="K736" s="307">
        <f t="shared" ca="1" si="334"/>
        <v>-2.2362071934787076</v>
      </c>
      <c r="L736" s="304">
        <f t="shared" ca="1" si="319"/>
        <v>56.33322618136831</v>
      </c>
      <c r="M736" s="306">
        <f t="shared" ca="1" si="335"/>
        <v>-1.4954574913671046</v>
      </c>
      <c r="N736" s="304">
        <f t="shared" ca="1" si="336"/>
        <v>-85.68340269655684</v>
      </c>
      <c r="P736" s="310">
        <f t="shared" ca="1" si="337"/>
        <v>23</v>
      </c>
      <c r="Q736" s="304">
        <f t="shared" ca="1" si="338"/>
        <v>0</v>
      </c>
      <c r="R736" s="306">
        <f t="shared" ca="1" si="339"/>
        <v>0</v>
      </c>
      <c r="S736" s="307">
        <f t="shared" ca="1" si="340"/>
        <v>2.0843000000000003</v>
      </c>
      <c r="T736" s="304">
        <f t="shared" ca="1" si="320"/>
        <v>20.446983000000003</v>
      </c>
      <c r="U736" s="311">
        <f t="shared" ca="1" si="321"/>
        <v>0</v>
      </c>
      <c r="V736" s="306">
        <f t="shared" ca="1" si="322"/>
        <v>1.22527396601344</v>
      </c>
      <c r="W736" s="304">
        <f t="shared" ca="1" si="323"/>
        <v>7.2279684480920423</v>
      </c>
      <c r="Y736" s="314" t="str">
        <f t="shared" ca="1" si="341"/>
        <v/>
      </c>
      <c r="Z736" s="315" t="str">
        <f t="shared" ca="1" si="342"/>
        <v/>
      </c>
      <c r="AA736" s="316" t="str">
        <f t="shared" ca="1" si="343"/>
        <v/>
      </c>
      <c r="AC736" s="310" t="e">
        <f t="shared" ca="1" si="344"/>
        <v>#N/A</v>
      </c>
      <c r="AD736" s="323" t="e">
        <f t="shared" ca="1" si="345"/>
        <v>#N/A</v>
      </c>
      <c r="AE736" s="324">
        <f t="shared" ca="1" si="324"/>
        <v>-2.2362071934787076</v>
      </c>
      <c r="AG736" s="306">
        <f t="shared" ca="1" si="346"/>
        <v>6.3144420269066188</v>
      </c>
      <c r="AH736" s="304">
        <f t="shared" ca="1" si="347"/>
        <v>-3.4677296020778505</v>
      </c>
    </row>
    <row r="737" spans="1:34" x14ac:dyDescent="0.2">
      <c r="A737" s="347">
        <f t="shared" ca="1" si="325"/>
        <v>1E-4</v>
      </c>
      <c r="B737" s="304">
        <f t="shared" ca="1" si="326"/>
        <v>12.043299999999874</v>
      </c>
      <c r="D737" s="306">
        <f t="shared" ca="1" si="327"/>
        <v>-0.26101412262838558</v>
      </c>
      <c r="E737" s="307">
        <f t="shared" ca="1" si="328"/>
        <v>-6.3520211147025964</v>
      </c>
      <c r="F737" s="304">
        <f t="shared" ca="1" si="329"/>
        <v>6.3573815847280306</v>
      </c>
      <c r="G737" s="306">
        <f t="shared" ca="1" si="330"/>
        <v>3.9059071969860151</v>
      </c>
      <c r="H737" s="307">
        <f t="shared" ca="1" si="331"/>
        <v>-51.747394102476186</v>
      </c>
      <c r="I737" s="304">
        <f t="shared" ca="1" si="332"/>
        <v>51.894594202368076</v>
      </c>
      <c r="J737" s="306">
        <f t="shared" ca="1" si="333"/>
        <v>56.288824373840264</v>
      </c>
      <c r="K737" s="307">
        <f t="shared" ca="1" si="334"/>
        <v>-2.2413819011288494</v>
      </c>
      <c r="L737" s="304">
        <f t="shared" ca="1" si="319"/>
        <v>56.33343183417589</v>
      </c>
      <c r="M737" s="306">
        <f t="shared" ca="1" si="335"/>
        <v>-1.4954589142031991</v>
      </c>
      <c r="N737" s="304">
        <f t="shared" ca="1" si="336"/>
        <v>-85.683484219059991</v>
      </c>
      <c r="P737" s="310">
        <f t="shared" ca="1" si="337"/>
        <v>23</v>
      </c>
      <c r="Q737" s="304">
        <f t="shared" ca="1" si="338"/>
        <v>0</v>
      </c>
      <c r="R737" s="306">
        <f t="shared" ca="1" si="339"/>
        <v>0</v>
      </c>
      <c r="S737" s="307">
        <f t="shared" ca="1" si="340"/>
        <v>2.0843000000000003</v>
      </c>
      <c r="T737" s="304">
        <f t="shared" ca="1" si="320"/>
        <v>20.446983000000003</v>
      </c>
      <c r="U737" s="311">
        <f t="shared" ca="1" si="321"/>
        <v>0</v>
      </c>
      <c r="V737" s="306">
        <f t="shared" ca="1" si="322"/>
        <v>1.225274600057068</v>
      </c>
      <c r="W737" s="304">
        <f t="shared" ca="1" si="323"/>
        <v>7.228148086571812</v>
      </c>
      <c r="Y737" s="314" t="str">
        <f t="shared" ca="1" si="341"/>
        <v/>
      </c>
      <c r="Z737" s="315" t="str">
        <f t="shared" ca="1" si="342"/>
        <v/>
      </c>
      <c r="AA737" s="316" t="str">
        <f t="shared" ca="1" si="343"/>
        <v/>
      </c>
      <c r="AC737" s="310" t="e">
        <f t="shared" ca="1" si="344"/>
        <v>#N/A</v>
      </c>
      <c r="AD737" s="323" t="e">
        <f t="shared" ca="1" si="345"/>
        <v>#N/A</v>
      </c>
      <c r="AE737" s="324">
        <f t="shared" ca="1" si="324"/>
        <v>-2.2413819011288494</v>
      </c>
      <c r="AG737" s="306">
        <f t="shared" ca="1" si="346"/>
        <v>6.3143568910552972</v>
      </c>
      <c r="AH737" s="304">
        <f t="shared" ca="1" si="347"/>
        <v>-3.4678157885582888</v>
      </c>
    </row>
    <row r="738" spans="1:34" x14ac:dyDescent="0.2">
      <c r="A738" s="347">
        <f t="shared" ca="1" si="325"/>
        <v>1E-4</v>
      </c>
      <c r="B738" s="304">
        <f t="shared" ca="1" si="326"/>
        <v>12.043399999999874</v>
      </c>
      <c r="D738" s="306">
        <f t="shared" ca="1" si="327"/>
        <v>-0.26101568941693387</v>
      </c>
      <c r="E738" s="307">
        <f t="shared" ca="1" si="328"/>
        <v>-6.3519348013157675</v>
      </c>
      <c r="F738" s="304">
        <f t="shared" ca="1" si="329"/>
        <v>6.3572954084491133</v>
      </c>
      <c r="G738" s="306">
        <f t="shared" ca="1" si="330"/>
        <v>3.9058810954170733</v>
      </c>
      <c r="H738" s="307">
        <f t="shared" ca="1" si="331"/>
        <v>-51.748029295956314</v>
      </c>
      <c r="I738" s="304">
        <f t="shared" ca="1" si="332"/>
        <v>51.895225629596112</v>
      </c>
      <c r="J738" s="306">
        <f t="shared" ca="1" si="333"/>
        <v>56.288824373840264</v>
      </c>
      <c r="K738" s="307">
        <f t="shared" ca="1" si="334"/>
        <v>-2.2465566722987709</v>
      </c>
      <c r="L738" s="304">
        <f t="shared" ca="1" si="319"/>
        <v>56.333637964105286</v>
      </c>
      <c r="M738" s="306">
        <f t="shared" ca="1" si="335"/>
        <v>-1.4954603369951609</v>
      </c>
      <c r="N738" s="304">
        <f t="shared" ca="1" si="336"/>
        <v>-85.68356573903452</v>
      </c>
      <c r="P738" s="310">
        <f t="shared" ca="1" si="337"/>
        <v>23</v>
      </c>
      <c r="Q738" s="304">
        <f t="shared" ca="1" si="338"/>
        <v>0</v>
      </c>
      <c r="R738" s="306">
        <f t="shared" ca="1" si="339"/>
        <v>0</v>
      </c>
      <c r="S738" s="307">
        <f t="shared" ca="1" si="340"/>
        <v>2.0843000000000003</v>
      </c>
      <c r="T738" s="304">
        <f t="shared" ca="1" si="320"/>
        <v>20.446983000000003</v>
      </c>
      <c r="U738" s="311">
        <f t="shared" ca="1" si="321"/>
        <v>0</v>
      </c>
      <c r="V738" s="306">
        <f t="shared" ca="1" si="322"/>
        <v>1.225275234108808</v>
      </c>
      <c r="W738" s="304">
        <f t="shared" ca="1" si="323"/>
        <v>7.2283277250500992</v>
      </c>
      <c r="Y738" s="314" t="str">
        <f t="shared" ca="1" si="341"/>
        <v/>
      </c>
      <c r="Z738" s="315" t="str">
        <f t="shared" ca="1" si="342"/>
        <v/>
      </c>
      <c r="AA738" s="316" t="str">
        <f t="shared" ca="1" si="343"/>
        <v/>
      </c>
      <c r="AC738" s="310" t="e">
        <f t="shared" ca="1" si="344"/>
        <v>#N/A</v>
      </c>
      <c r="AD738" s="323" t="e">
        <f t="shared" ca="1" si="345"/>
        <v>#N/A</v>
      </c>
      <c r="AE738" s="324">
        <f t="shared" ca="1" si="324"/>
        <v>-2.2465566722987709</v>
      </c>
      <c r="AG738" s="306">
        <f t="shared" ca="1" si="346"/>
        <v>6.3142717551522587</v>
      </c>
      <c r="AH738" s="304">
        <f t="shared" ca="1" si="347"/>
        <v>-3.4679019750380515</v>
      </c>
    </row>
    <row r="739" spans="1:34" x14ac:dyDescent="0.2">
      <c r="A739" s="347">
        <f t="shared" ca="1" si="325"/>
        <v>1E-4</v>
      </c>
      <c r="B739" s="304">
        <f t="shared" ca="1" si="326"/>
        <v>12.043499999999874</v>
      </c>
      <c r="D739" s="306">
        <f t="shared" ca="1" si="327"/>
        <v>-0.26101725611295501</v>
      </c>
      <c r="E739" s="307">
        <f t="shared" ca="1" si="328"/>
        <v>-6.3518484879297095</v>
      </c>
      <c r="F739" s="304">
        <f t="shared" ca="1" si="329"/>
        <v>6.3572092321712734</v>
      </c>
      <c r="G739" s="306">
        <f t="shared" ca="1" si="330"/>
        <v>3.9058549936914622</v>
      </c>
      <c r="H739" s="307">
        <f t="shared" ca="1" si="331"/>
        <v>-51.748664480805104</v>
      </c>
      <c r="I739" s="304">
        <f t="shared" ca="1" si="332"/>
        <v>51.895857048310553</v>
      </c>
      <c r="J739" s="306">
        <f t="shared" ca="1" si="333"/>
        <v>56.288824373840264</v>
      </c>
      <c r="K739" s="307">
        <f t="shared" ca="1" si="334"/>
        <v>-2.2517315069876092</v>
      </c>
      <c r="L739" s="304">
        <f t="shared" ca="1" si="319"/>
        <v>56.333844571168711</v>
      </c>
      <c r="M739" s="306">
        <f t="shared" ca="1" si="335"/>
        <v>-1.4954617597429927</v>
      </c>
      <c r="N739" s="304">
        <f t="shared" ca="1" si="336"/>
        <v>-85.683647256480597</v>
      </c>
      <c r="P739" s="310">
        <f t="shared" ca="1" si="337"/>
        <v>23</v>
      </c>
      <c r="Q739" s="304">
        <f t="shared" ca="1" si="338"/>
        <v>0</v>
      </c>
      <c r="R739" s="306">
        <f t="shared" ca="1" si="339"/>
        <v>0</v>
      </c>
      <c r="S739" s="307">
        <f t="shared" ca="1" si="340"/>
        <v>2.0843000000000003</v>
      </c>
      <c r="T739" s="304">
        <f t="shared" ca="1" si="320"/>
        <v>20.446983000000003</v>
      </c>
      <c r="U739" s="311">
        <f t="shared" ca="1" si="321"/>
        <v>0</v>
      </c>
      <c r="V739" s="306">
        <f t="shared" ca="1" si="322"/>
        <v>1.2252758681686586</v>
      </c>
      <c r="W739" s="304">
        <f t="shared" ca="1" si="323"/>
        <v>7.2285073635268127</v>
      </c>
      <c r="Y739" s="314" t="str">
        <f t="shared" ca="1" si="341"/>
        <v/>
      </c>
      <c r="Z739" s="315" t="str">
        <f t="shared" ca="1" si="342"/>
        <v/>
      </c>
      <c r="AA739" s="316" t="str">
        <f t="shared" ca="1" si="343"/>
        <v/>
      </c>
      <c r="AC739" s="310" t="e">
        <f t="shared" ca="1" si="344"/>
        <v>#N/A</v>
      </c>
      <c r="AD739" s="323" t="e">
        <f t="shared" ca="1" si="345"/>
        <v>#N/A</v>
      </c>
      <c r="AE739" s="324">
        <f t="shared" ca="1" si="324"/>
        <v>-2.2517315069876092</v>
      </c>
      <c r="AG739" s="306">
        <f t="shared" ca="1" si="346"/>
        <v>6.3141866191975424</v>
      </c>
      <c r="AH739" s="304">
        <f t="shared" ca="1" si="347"/>
        <v>-3.4679881615171033</v>
      </c>
    </row>
    <row r="740" spans="1:34" x14ac:dyDescent="0.2">
      <c r="A740" s="347">
        <f t="shared" ca="1" si="325"/>
        <v>1E-4</v>
      </c>
      <c r="B740" s="304">
        <f t="shared" ca="1" si="326"/>
        <v>12.043599999999874</v>
      </c>
      <c r="D740" s="306">
        <f t="shared" ca="1" si="327"/>
        <v>-0.26101882271644783</v>
      </c>
      <c r="E740" s="307">
        <f t="shared" ca="1" si="328"/>
        <v>-6.3517621745444641</v>
      </c>
      <c r="F740" s="304">
        <f t="shared" ca="1" si="329"/>
        <v>6.3571230558945526</v>
      </c>
      <c r="G740" s="306">
        <f t="shared" ca="1" si="330"/>
        <v>3.9058288918091906</v>
      </c>
      <c r="H740" s="307">
        <f t="shared" ca="1" si="331"/>
        <v>-51.749299657022561</v>
      </c>
      <c r="I740" s="304">
        <f t="shared" ca="1" si="332"/>
        <v>51.896488458511399</v>
      </c>
      <c r="J740" s="306">
        <f t="shared" ca="1" si="333"/>
        <v>56.288824373840264</v>
      </c>
      <c r="K740" s="307">
        <f t="shared" ca="1" si="334"/>
        <v>-2.2569064051945005</v>
      </c>
      <c r="L740" s="304">
        <f t="shared" ca="1" si="319"/>
        <v>56.334051655378403</v>
      </c>
      <c r="M740" s="306">
        <f t="shared" ca="1" si="335"/>
        <v>-1.4954631824466962</v>
      </c>
      <c r="N740" s="304">
        <f t="shared" ca="1" si="336"/>
        <v>-85.683728771398307</v>
      </c>
      <c r="P740" s="310">
        <f t="shared" ca="1" si="337"/>
        <v>23</v>
      </c>
      <c r="Q740" s="304">
        <f t="shared" ca="1" si="338"/>
        <v>0</v>
      </c>
      <c r="R740" s="306">
        <f t="shared" ca="1" si="339"/>
        <v>0</v>
      </c>
      <c r="S740" s="307">
        <f t="shared" ca="1" si="340"/>
        <v>2.0843000000000003</v>
      </c>
      <c r="T740" s="304">
        <f t="shared" ca="1" si="320"/>
        <v>20.446983000000003</v>
      </c>
      <c r="U740" s="311">
        <f t="shared" ca="1" si="321"/>
        <v>0</v>
      </c>
      <c r="V740" s="306">
        <f t="shared" ca="1" si="322"/>
        <v>1.2252765022366197</v>
      </c>
      <c r="W740" s="304">
        <f t="shared" ca="1" si="323"/>
        <v>7.2286870020018696</v>
      </c>
      <c r="Y740" s="314" t="str">
        <f t="shared" ca="1" si="341"/>
        <v/>
      </c>
      <c r="Z740" s="315" t="str">
        <f t="shared" ca="1" si="342"/>
        <v/>
      </c>
      <c r="AA740" s="316" t="str">
        <f t="shared" ca="1" si="343"/>
        <v/>
      </c>
      <c r="AC740" s="310" t="e">
        <f t="shared" ca="1" si="344"/>
        <v>#N/A</v>
      </c>
      <c r="AD740" s="323" t="e">
        <f t="shared" ca="1" si="345"/>
        <v>#N/A</v>
      </c>
      <c r="AE740" s="324">
        <f t="shared" ca="1" si="324"/>
        <v>-2.2569064051945005</v>
      </c>
      <c r="AG740" s="306">
        <f t="shared" ca="1" si="346"/>
        <v>6.3141014831911964</v>
      </c>
      <c r="AH740" s="304">
        <f t="shared" ca="1" si="347"/>
        <v>-3.4680743479953997</v>
      </c>
    </row>
    <row r="741" spans="1:34" x14ac:dyDescent="0.2">
      <c r="A741" s="347">
        <f t="shared" ca="1" si="325"/>
        <v>1E-4</v>
      </c>
      <c r="B741" s="304">
        <f t="shared" ca="1" si="326"/>
        <v>12.043699999999873</v>
      </c>
      <c r="D741" s="306">
        <f t="shared" ca="1" si="327"/>
        <v>-0.26102038922741472</v>
      </c>
      <c r="E741" s="307">
        <f t="shared" ca="1" si="328"/>
        <v>-6.3516758611600714</v>
      </c>
      <c r="F741" s="304">
        <f t="shared" ca="1" si="329"/>
        <v>6.3570368796189918</v>
      </c>
      <c r="G741" s="306">
        <f t="shared" ca="1" si="330"/>
        <v>3.9058027897702678</v>
      </c>
      <c r="H741" s="307">
        <f t="shared" ca="1" si="331"/>
        <v>-51.74993482460868</v>
      </c>
      <c r="I741" s="304">
        <f t="shared" ca="1" si="332"/>
        <v>51.897119860198636</v>
      </c>
      <c r="J741" s="306">
        <f t="shared" ca="1" si="333"/>
        <v>56.288824373840264</v>
      </c>
      <c r="K741" s="307">
        <f t="shared" ca="1" si="334"/>
        <v>-2.262081366918582</v>
      </c>
      <c r="L741" s="304">
        <f t="shared" ca="1" si="319"/>
        <v>56.334259216746553</v>
      </c>
      <c r="M741" s="306">
        <f t="shared" ca="1" si="335"/>
        <v>-1.4954646051062739</v>
      </c>
      <c r="N741" s="304">
        <f t="shared" ca="1" si="336"/>
        <v>-85.683810283787793</v>
      </c>
      <c r="P741" s="310">
        <f t="shared" ca="1" si="337"/>
        <v>23</v>
      </c>
      <c r="Q741" s="304">
        <f t="shared" ca="1" si="338"/>
        <v>0</v>
      </c>
      <c r="R741" s="306">
        <f t="shared" ca="1" si="339"/>
        <v>0</v>
      </c>
      <c r="S741" s="307">
        <f t="shared" ca="1" si="340"/>
        <v>2.0843000000000003</v>
      </c>
      <c r="T741" s="304">
        <f t="shared" ca="1" si="320"/>
        <v>20.446983000000003</v>
      </c>
      <c r="U741" s="311">
        <f t="shared" ca="1" si="321"/>
        <v>0</v>
      </c>
      <c r="V741" s="306">
        <f t="shared" ca="1" si="322"/>
        <v>1.2252771363126924</v>
      </c>
      <c r="W741" s="304">
        <f t="shared" ca="1" si="323"/>
        <v>7.2288666404751885</v>
      </c>
      <c r="Y741" s="314" t="str">
        <f t="shared" ca="1" si="341"/>
        <v/>
      </c>
      <c r="Z741" s="315" t="str">
        <f t="shared" ca="1" si="342"/>
        <v/>
      </c>
      <c r="AA741" s="316" t="str">
        <f t="shared" ca="1" si="343"/>
        <v/>
      </c>
      <c r="AC741" s="310" t="e">
        <f t="shared" ca="1" si="344"/>
        <v>#N/A</v>
      </c>
      <c r="AD741" s="323" t="e">
        <f t="shared" ca="1" si="345"/>
        <v>#N/A</v>
      </c>
      <c r="AE741" s="324">
        <f t="shared" ca="1" si="324"/>
        <v>-2.262081366918582</v>
      </c>
      <c r="AG741" s="306">
        <f t="shared" ca="1" si="346"/>
        <v>6.314016347133264</v>
      </c>
      <c r="AH741" s="304">
        <f t="shared" ca="1" si="347"/>
        <v>-3.4681605344729016</v>
      </c>
    </row>
    <row r="742" spans="1:34" x14ac:dyDescent="0.2">
      <c r="A742" s="347">
        <f t="shared" ca="1" si="325"/>
        <v>1E-4</v>
      </c>
      <c r="B742" s="304">
        <f t="shared" ca="1" si="326"/>
        <v>12.043799999999873</v>
      </c>
      <c r="D742" s="306">
        <f t="shared" ca="1" si="327"/>
        <v>-0.26102195564585545</v>
      </c>
      <c r="E742" s="307">
        <f t="shared" ca="1" si="328"/>
        <v>-6.3515895477765731</v>
      </c>
      <c r="F742" s="304">
        <f t="shared" ca="1" si="329"/>
        <v>6.3569507033446309</v>
      </c>
      <c r="G742" s="306">
        <f t="shared" ca="1" si="330"/>
        <v>3.9057766875747033</v>
      </c>
      <c r="H742" s="307">
        <f t="shared" ca="1" si="331"/>
        <v>-51.750569983563459</v>
      </c>
      <c r="I742" s="304">
        <f t="shared" ca="1" si="332"/>
        <v>51.897751253372256</v>
      </c>
      <c r="J742" s="306">
        <f t="shared" ca="1" si="333"/>
        <v>56.288824373840264</v>
      </c>
      <c r="K742" s="307">
        <f t="shared" ca="1" si="334"/>
        <v>-2.2672563921589908</v>
      </c>
      <c r="L742" s="304">
        <f t="shared" ca="1" si="319"/>
        <v>56.334467255285368</v>
      </c>
      <c r="M742" s="306">
        <f t="shared" ca="1" si="335"/>
        <v>-1.4954660277217278</v>
      </c>
      <c r="N742" s="304">
        <f t="shared" ca="1" si="336"/>
        <v>-85.683891793649167</v>
      </c>
      <c r="P742" s="310">
        <f t="shared" ca="1" si="337"/>
        <v>23</v>
      </c>
      <c r="Q742" s="304">
        <f t="shared" ca="1" si="338"/>
        <v>0</v>
      </c>
      <c r="R742" s="306">
        <f t="shared" ca="1" si="339"/>
        <v>0</v>
      </c>
      <c r="S742" s="307">
        <f t="shared" ca="1" si="340"/>
        <v>2.0843000000000003</v>
      </c>
      <c r="T742" s="304">
        <f t="shared" ca="1" si="320"/>
        <v>20.446983000000003</v>
      </c>
      <c r="U742" s="311">
        <f t="shared" ca="1" si="321"/>
        <v>0</v>
      </c>
      <c r="V742" s="306">
        <f t="shared" ca="1" si="322"/>
        <v>1.2252777703968749</v>
      </c>
      <c r="W742" s="304">
        <f t="shared" ca="1" si="323"/>
        <v>7.2290462789466714</v>
      </c>
      <c r="Y742" s="314" t="str">
        <f t="shared" ca="1" si="341"/>
        <v/>
      </c>
      <c r="Z742" s="315" t="str">
        <f t="shared" ca="1" si="342"/>
        <v/>
      </c>
      <c r="AA742" s="316" t="str">
        <f t="shared" ca="1" si="343"/>
        <v/>
      </c>
      <c r="AC742" s="310" t="e">
        <f t="shared" ca="1" si="344"/>
        <v>#N/A</v>
      </c>
      <c r="AD742" s="323" t="e">
        <f t="shared" ca="1" si="345"/>
        <v>#N/A</v>
      </c>
      <c r="AE742" s="324">
        <f t="shared" ca="1" si="324"/>
        <v>-2.2672563921589908</v>
      </c>
      <c r="AG742" s="306">
        <f t="shared" ca="1" si="346"/>
        <v>6.3139312110237853</v>
      </c>
      <c r="AH742" s="304">
        <f t="shared" ca="1" si="347"/>
        <v>-3.4682467209495695</v>
      </c>
    </row>
    <row r="743" spans="1:34" x14ac:dyDescent="0.2">
      <c r="A743" s="347">
        <f t="shared" ca="1" si="325"/>
        <v>1E-4</v>
      </c>
      <c r="B743" s="304">
        <f t="shared" ca="1" si="326"/>
        <v>12.043899999999873</v>
      </c>
      <c r="D743" s="306">
        <f t="shared" ca="1" si="327"/>
        <v>-0.2610235219717712</v>
      </c>
      <c r="E743" s="307">
        <f t="shared" ca="1" si="328"/>
        <v>-6.3515032343940128</v>
      </c>
      <c r="F743" s="304">
        <f t="shared" ca="1" si="329"/>
        <v>6.3568645270715143</v>
      </c>
      <c r="G743" s="306">
        <f t="shared" ca="1" si="330"/>
        <v>3.9057505852225063</v>
      </c>
      <c r="H743" s="307">
        <f t="shared" ca="1" si="331"/>
        <v>-51.751205133886899</v>
      </c>
      <c r="I743" s="304">
        <f t="shared" ca="1" si="332"/>
        <v>51.898382638032253</v>
      </c>
      <c r="J743" s="306">
        <f t="shared" ca="1" si="333"/>
        <v>56.288824373840264</v>
      </c>
      <c r="K743" s="307">
        <f t="shared" ca="1" si="334"/>
        <v>-2.2724314809148631</v>
      </c>
      <c r="L743" s="304">
        <f t="shared" ca="1" si="319"/>
        <v>56.334675771007035</v>
      </c>
      <c r="M743" s="306">
        <f t="shared" ca="1" si="335"/>
        <v>-1.4954674502930598</v>
      </c>
      <c r="N743" s="304">
        <f t="shared" ca="1" si="336"/>
        <v>-85.683973300982558</v>
      </c>
      <c r="P743" s="310">
        <f t="shared" ca="1" si="337"/>
        <v>23</v>
      </c>
      <c r="Q743" s="304">
        <f t="shared" ca="1" si="338"/>
        <v>0</v>
      </c>
      <c r="R743" s="306">
        <f t="shared" ca="1" si="339"/>
        <v>0</v>
      </c>
      <c r="S743" s="307">
        <f t="shared" ca="1" si="340"/>
        <v>2.0843000000000003</v>
      </c>
      <c r="T743" s="304">
        <f t="shared" ca="1" si="320"/>
        <v>20.446983000000003</v>
      </c>
      <c r="U743" s="311">
        <f t="shared" ca="1" si="321"/>
        <v>0</v>
      </c>
      <c r="V743" s="306">
        <f t="shared" ca="1" si="322"/>
        <v>1.2252784044891687</v>
      </c>
      <c r="W743" s="304">
        <f t="shared" ca="1" si="323"/>
        <v>7.2292259174162448</v>
      </c>
      <c r="Y743" s="314" t="str">
        <f t="shared" ca="1" si="341"/>
        <v/>
      </c>
      <c r="Z743" s="315" t="str">
        <f t="shared" ca="1" si="342"/>
        <v/>
      </c>
      <c r="AA743" s="316" t="str">
        <f t="shared" ca="1" si="343"/>
        <v/>
      </c>
      <c r="AC743" s="310" t="e">
        <f t="shared" ca="1" si="344"/>
        <v>#N/A</v>
      </c>
      <c r="AD743" s="323" t="e">
        <f t="shared" ca="1" si="345"/>
        <v>#N/A</v>
      </c>
      <c r="AE743" s="324">
        <f t="shared" ca="1" si="324"/>
        <v>-2.2724314809148631</v>
      </c>
      <c r="AG743" s="306">
        <f t="shared" ca="1" si="346"/>
        <v>6.3138460748628127</v>
      </c>
      <c r="AH743" s="304">
        <f t="shared" ca="1" si="347"/>
        <v>-3.4683329074253564</v>
      </c>
    </row>
    <row r="744" spans="1:34" x14ac:dyDescent="0.2">
      <c r="A744" s="347">
        <f t="shared" ca="1" si="325"/>
        <v>1E-4</v>
      </c>
      <c r="B744" s="304">
        <f t="shared" ca="1" si="326"/>
        <v>12.043999999999873</v>
      </c>
      <c r="D744" s="306">
        <f t="shared" ca="1" si="327"/>
        <v>-0.26102508820516379</v>
      </c>
      <c r="E744" s="307">
        <f t="shared" ca="1" si="328"/>
        <v>-6.3514169210124276</v>
      </c>
      <c r="F744" s="304">
        <f t="shared" ca="1" si="329"/>
        <v>6.3567783507996802</v>
      </c>
      <c r="G744" s="306">
        <f t="shared" ca="1" si="330"/>
        <v>3.9057244827136857</v>
      </c>
      <c r="H744" s="307">
        <f t="shared" ca="1" si="331"/>
        <v>-51.751840275578999</v>
      </c>
      <c r="I744" s="304">
        <f t="shared" ca="1" si="332"/>
        <v>51.899014014178633</v>
      </c>
      <c r="J744" s="306">
        <f t="shared" ca="1" si="333"/>
        <v>56.288824373840264</v>
      </c>
      <c r="K744" s="307">
        <f t="shared" ca="1" si="334"/>
        <v>-2.2776066331853366</v>
      </c>
      <c r="L744" s="304">
        <f t="shared" ca="1" si="319"/>
        <v>56.334884763923711</v>
      </c>
      <c r="M744" s="306">
        <f t="shared" ca="1" si="335"/>
        <v>-1.4954688728202723</v>
      </c>
      <c r="N744" s="304">
        <f t="shared" ca="1" si="336"/>
        <v>-85.684054805788065</v>
      </c>
      <c r="P744" s="310">
        <f t="shared" ca="1" si="337"/>
        <v>23</v>
      </c>
      <c r="Q744" s="304">
        <f t="shared" ca="1" si="338"/>
        <v>0</v>
      </c>
      <c r="R744" s="306">
        <f t="shared" ca="1" si="339"/>
        <v>0</v>
      </c>
      <c r="S744" s="307">
        <f t="shared" ca="1" si="340"/>
        <v>2.0843000000000003</v>
      </c>
      <c r="T744" s="304">
        <f t="shared" ca="1" si="320"/>
        <v>20.446983000000003</v>
      </c>
      <c r="U744" s="311">
        <f t="shared" ca="1" si="321"/>
        <v>0</v>
      </c>
      <c r="V744" s="306">
        <f t="shared" ca="1" si="322"/>
        <v>1.2252790385895724</v>
      </c>
      <c r="W744" s="304">
        <f t="shared" ca="1" si="323"/>
        <v>7.2294055558838171</v>
      </c>
      <c r="Y744" s="314" t="str">
        <f t="shared" ca="1" si="341"/>
        <v/>
      </c>
      <c r="Z744" s="315" t="str">
        <f t="shared" ca="1" si="342"/>
        <v/>
      </c>
      <c r="AA744" s="316" t="str">
        <f t="shared" ca="1" si="343"/>
        <v/>
      </c>
      <c r="AC744" s="310" t="e">
        <f t="shared" ca="1" si="344"/>
        <v>#N/A</v>
      </c>
      <c r="AD744" s="323" t="e">
        <f t="shared" ca="1" si="345"/>
        <v>#N/A</v>
      </c>
      <c r="AE744" s="324">
        <f t="shared" ca="1" si="324"/>
        <v>-2.2776066331853366</v>
      </c>
      <c r="AG744" s="306">
        <f t="shared" ca="1" si="346"/>
        <v>6.3137609386503861</v>
      </c>
      <c r="AH744" s="304">
        <f t="shared" ca="1" si="347"/>
        <v>-3.4684190939002275</v>
      </c>
    </row>
    <row r="745" spans="1:34" x14ac:dyDescent="0.2">
      <c r="A745" s="347">
        <f t="shared" ca="1" si="325"/>
        <v>1E-4</v>
      </c>
      <c r="B745" s="304">
        <f t="shared" ca="1" si="326"/>
        <v>12.044099999999872</v>
      </c>
      <c r="D745" s="306">
        <f t="shared" ca="1" si="327"/>
        <v>-0.26102665434603345</v>
      </c>
      <c r="E745" s="307">
        <f t="shared" ca="1" si="328"/>
        <v>-6.3513306076318612</v>
      </c>
      <c r="F745" s="304">
        <f t="shared" ca="1" si="329"/>
        <v>6.3566921745291705</v>
      </c>
      <c r="G745" s="306">
        <f t="shared" ca="1" si="330"/>
        <v>3.9056983800482512</v>
      </c>
      <c r="H745" s="307">
        <f t="shared" ca="1" si="331"/>
        <v>-51.752475408639761</v>
      </c>
      <c r="I745" s="304">
        <f t="shared" ca="1" si="332"/>
        <v>51.899645381811375</v>
      </c>
      <c r="J745" s="306">
        <f t="shared" ca="1" si="333"/>
        <v>56.288824373840264</v>
      </c>
      <c r="K745" s="307">
        <f t="shared" ca="1" si="334"/>
        <v>-2.2827818489695475</v>
      </c>
      <c r="L745" s="304">
        <f t="shared" ca="1" si="319"/>
        <v>56.33509423404756</v>
      </c>
      <c r="M745" s="306">
        <f t="shared" ca="1" si="335"/>
        <v>-1.4954702953033672</v>
      </c>
      <c r="N745" s="304">
        <f t="shared" ca="1" si="336"/>
        <v>-85.684136308065831</v>
      </c>
      <c r="P745" s="310">
        <f t="shared" ca="1" si="337"/>
        <v>23</v>
      </c>
      <c r="Q745" s="304">
        <f t="shared" ca="1" si="338"/>
        <v>0</v>
      </c>
      <c r="R745" s="306">
        <f t="shared" ca="1" si="339"/>
        <v>0</v>
      </c>
      <c r="S745" s="307">
        <f t="shared" ca="1" si="340"/>
        <v>2.0843000000000003</v>
      </c>
      <c r="T745" s="304">
        <f t="shared" ca="1" si="320"/>
        <v>20.446983000000003</v>
      </c>
      <c r="U745" s="311">
        <f t="shared" ca="1" si="321"/>
        <v>0</v>
      </c>
      <c r="V745" s="306">
        <f t="shared" ca="1" si="322"/>
        <v>1.225279672698087</v>
      </c>
      <c r="W745" s="304">
        <f t="shared" ca="1" si="323"/>
        <v>7.2295851943493039</v>
      </c>
      <c r="Y745" s="314" t="str">
        <f t="shared" ca="1" si="341"/>
        <v/>
      </c>
      <c r="Z745" s="315" t="str">
        <f t="shared" ca="1" si="342"/>
        <v/>
      </c>
      <c r="AA745" s="316" t="str">
        <f t="shared" ca="1" si="343"/>
        <v/>
      </c>
      <c r="AC745" s="310" t="e">
        <f t="shared" ca="1" si="344"/>
        <v>#N/A</v>
      </c>
      <c r="AD745" s="323" t="e">
        <f t="shared" ca="1" si="345"/>
        <v>#N/A</v>
      </c>
      <c r="AE745" s="324">
        <f t="shared" ca="1" si="324"/>
        <v>-2.2827818489695475</v>
      </c>
      <c r="AG745" s="306">
        <f t="shared" ca="1" si="346"/>
        <v>6.3136758023865482</v>
      </c>
      <c r="AH745" s="304">
        <f t="shared" ca="1" si="347"/>
        <v>-3.4685052803741381</v>
      </c>
    </row>
    <row r="746" spans="1:34" x14ac:dyDescent="0.2">
      <c r="A746" s="347">
        <f t="shared" ca="1" si="325"/>
        <v>1E-4</v>
      </c>
      <c r="B746" s="304">
        <f t="shared" ca="1" si="326"/>
        <v>12.044199999999872</v>
      </c>
      <c r="D746" s="306">
        <f t="shared" ca="1" si="327"/>
        <v>-0.26102822039438178</v>
      </c>
      <c r="E746" s="307">
        <f t="shared" ca="1" si="328"/>
        <v>-6.3512442942523535</v>
      </c>
      <c r="F746" s="304">
        <f t="shared" ca="1" si="329"/>
        <v>6.3566059982600258</v>
      </c>
      <c r="G746" s="306">
        <f t="shared" ca="1" si="330"/>
        <v>3.9056722772262118</v>
      </c>
      <c r="H746" s="307">
        <f t="shared" ca="1" si="331"/>
        <v>-51.753110533069183</v>
      </c>
      <c r="I746" s="304">
        <f t="shared" ca="1" si="332"/>
        <v>51.900276740930487</v>
      </c>
      <c r="J746" s="306">
        <f t="shared" ca="1" si="333"/>
        <v>56.288824373840264</v>
      </c>
      <c r="K746" s="307">
        <f t="shared" ca="1" si="334"/>
        <v>-2.2879571282666329</v>
      </c>
      <c r="L746" s="304">
        <f t="shared" ca="1" si="319"/>
        <v>56.335304181390732</v>
      </c>
      <c r="M746" s="306">
        <f t="shared" ca="1" si="335"/>
        <v>-1.4954717177423469</v>
      </c>
      <c r="N746" s="304">
        <f t="shared" ca="1" si="336"/>
        <v>-85.684217807815983</v>
      </c>
      <c r="P746" s="310">
        <f t="shared" ca="1" si="337"/>
        <v>23</v>
      </c>
      <c r="Q746" s="304">
        <f t="shared" ca="1" si="338"/>
        <v>0</v>
      </c>
      <c r="R746" s="306">
        <f t="shared" ca="1" si="339"/>
        <v>0</v>
      </c>
      <c r="S746" s="307">
        <f t="shared" ca="1" si="340"/>
        <v>2.0843000000000003</v>
      </c>
      <c r="T746" s="304">
        <f t="shared" ca="1" si="320"/>
        <v>20.446983000000003</v>
      </c>
      <c r="U746" s="311">
        <f t="shared" ca="1" si="321"/>
        <v>0</v>
      </c>
      <c r="V746" s="306">
        <f t="shared" ca="1" si="322"/>
        <v>1.2252803068147118</v>
      </c>
      <c r="W746" s="304">
        <f t="shared" ca="1" si="323"/>
        <v>7.2297648328126209</v>
      </c>
      <c r="Y746" s="314" t="str">
        <f t="shared" ca="1" si="341"/>
        <v/>
      </c>
      <c r="Z746" s="315" t="str">
        <f t="shared" ca="1" si="342"/>
        <v/>
      </c>
      <c r="AA746" s="316" t="str">
        <f t="shared" ca="1" si="343"/>
        <v/>
      </c>
      <c r="AC746" s="310" t="e">
        <f t="shared" ca="1" si="344"/>
        <v>#N/A</v>
      </c>
      <c r="AD746" s="323" t="e">
        <f t="shared" ca="1" si="345"/>
        <v>#N/A</v>
      </c>
      <c r="AE746" s="324">
        <f t="shared" ca="1" si="324"/>
        <v>-2.2879571282666329</v>
      </c>
      <c r="AG746" s="306">
        <f t="shared" ca="1" si="346"/>
        <v>6.3135906660713488</v>
      </c>
      <c r="AH746" s="304">
        <f t="shared" ca="1" si="347"/>
        <v>-3.4685914668470486</v>
      </c>
    </row>
    <row r="747" spans="1:34" x14ac:dyDescent="0.2">
      <c r="A747" s="347">
        <f t="shared" ca="1" si="325"/>
        <v>1E-4</v>
      </c>
      <c r="B747" s="304">
        <f t="shared" ca="1" si="326"/>
        <v>12.044299999999872</v>
      </c>
      <c r="D747" s="306">
        <f t="shared" ca="1" si="327"/>
        <v>-0.26102978635020868</v>
      </c>
      <c r="E747" s="307">
        <f t="shared" ca="1" si="328"/>
        <v>-6.3511579808739462</v>
      </c>
      <c r="F747" s="304">
        <f t="shared" ca="1" si="329"/>
        <v>6.3565198219922872</v>
      </c>
      <c r="G747" s="306">
        <f t="shared" ca="1" si="330"/>
        <v>3.9056461742475768</v>
      </c>
      <c r="H747" s="307">
        <f t="shared" ca="1" si="331"/>
        <v>-51.753745648867273</v>
      </c>
      <c r="I747" s="304">
        <f t="shared" ca="1" si="332"/>
        <v>51.90090809153596</v>
      </c>
      <c r="J747" s="306">
        <f t="shared" ca="1" si="333"/>
        <v>56.288824373840264</v>
      </c>
      <c r="K747" s="307">
        <f t="shared" ca="1" si="334"/>
        <v>-2.2931324710757299</v>
      </c>
      <c r="L747" s="304">
        <f t="shared" ca="1" si="319"/>
        <v>56.335514605965358</v>
      </c>
      <c r="M747" s="306">
        <f t="shared" ca="1" si="335"/>
        <v>-1.4954731401372137</v>
      </c>
      <c r="N747" s="304">
        <f t="shared" ca="1" si="336"/>
        <v>-85.68429930503865</v>
      </c>
      <c r="P747" s="310">
        <f t="shared" ca="1" si="337"/>
        <v>23</v>
      </c>
      <c r="Q747" s="304">
        <f t="shared" ca="1" si="338"/>
        <v>0</v>
      </c>
      <c r="R747" s="306">
        <f t="shared" ca="1" si="339"/>
        <v>0</v>
      </c>
      <c r="S747" s="307">
        <f t="shared" ca="1" si="340"/>
        <v>2.0843000000000003</v>
      </c>
      <c r="T747" s="304">
        <f t="shared" ca="1" si="320"/>
        <v>20.446983000000003</v>
      </c>
      <c r="U747" s="311">
        <f t="shared" ca="1" si="321"/>
        <v>0</v>
      </c>
      <c r="V747" s="306">
        <f t="shared" ca="1" si="322"/>
        <v>1.2252809409394465</v>
      </c>
      <c r="W747" s="304">
        <f t="shared" ca="1" si="323"/>
        <v>7.2299444712736811</v>
      </c>
      <c r="Y747" s="314" t="str">
        <f t="shared" ca="1" si="341"/>
        <v/>
      </c>
      <c r="Z747" s="315" t="str">
        <f t="shared" ca="1" si="342"/>
        <v/>
      </c>
      <c r="AA747" s="316" t="str">
        <f t="shared" ca="1" si="343"/>
        <v/>
      </c>
      <c r="AC747" s="310" t="e">
        <f t="shared" ca="1" si="344"/>
        <v>#N/A</v>
      </c>
      <c r="AD747" s="323" t="e">
        <f t="shared" ca="1" si="345"/>
        <v>#N/A</v>
      </c>
      <c r="AE747" s="324">
        <f t="shared" ca="1" si="324"/>
        <v>-2.2931324710757299</v>
      </c>
      <c r="AG747" s="306">
        <f t="shared" ca="1" si="346"/>
        <v>6.3135055297048295</v>
      </c>
      <c r="AH747" s="304">
        <f t="shared" ca="1" si="347"/>
        <v>-3.4686776533189176</v>
      </c>
    </row>
    <row r="748" spans="1:34" x14ac:dyDescent="0.2">
      <c r="A748" s="347">
        <f t="shared" ca="1" si="325"/>
        <v>1E-4</v>
      </c>
      <c r="B748" s="304">
        <f t="shared" ca="1" si="326"/>
        <v>12.044399999999872</v>
      </c>
      <c r="D748" s="306">
        <f t="shared" ca="1" si="327"/>
        <v>-0.26103135221351464</v>
      </c>
      <c r="E748" s="307">
        <f t="shared" ca="1" si="328"/>
        <v>-6.3510716674966812</v>
      </c>
      <c r="F748" s="304">
        <f t="shared" ca="1" si="329"/>
        <v>6.3564336457259971</v>
      </c>
      <c r="G748" s="306">
        <f t="shared" ca="1" si="330"/>
        <v>3.9056200711123554</v>
      </c>
      <c r="H748" s="307">
        <f t="shared" ca="1" si="331"/>
        <v>-51.754380756034024</v>
      </c>
      <c r="I748" s="304">
        <f t="shared" ca="1" si="332"/>
        <v>51.901539433627789</v>
      </c>
      <c r="J748" s="306">
        <f t="shared" ca="1" si="333"/>
        <v>56.288824373840264</v>
      </c>
      <c r="K748" s="307">
        <f t="shared" ca="1" si="334"/>
        <v>-2.2983078773959749</v>
      </c>
      <c r="L748" s="304">
        <f t="shared" ca="1" si="319"/>
        <v>56.33572550778355</v>
      </c>
      <c r="M748" s="306">
        <f t="shared" ca="1" si="335"/>
        <v>-1.4954745624879691</v>
      </c>
      <c r="N748" s="304">
        <f t="shared" ca="1" si="336"/>
        <v>-85.68438079973393</v>
      </c>
      <c r="P748" s="310">
        <f t="shared" ca="1" si="337"/>
        <v>23</v>
      </c>
      <c r="Q748" s="304">
        <f t="shared" ca="1" si="338"/>
        <v>0</v>
      </c>
      <c r="R748" s="306">
        <f t="shared" ca="1" si="339"/>
        <v>0</v>
      </c>
      <c r="S748" s="307">
        <f t="shared" ca="1" si="340"/>
        <v>2.0843000000000003</v>
      </c>
      <c r="T748" s="304">
        <f t="shared" ca="1" si="320"/>
        <v>20.446983000000003</v>
      </c>
      <c r="U748" s="311">
        <f t="shared" ca="1" si="321"/>
        <v>0</v>
      </c>
      <c r="V748" s="306">
        <f t="shared" ca="1" si="322"/>
        <v>1.2252815750722916</v>
      </c>
      <c r="W748" s="304">
        <f t="shared" ca="1" si="323"/>
        <v>7.2301241097324027</v>
      </c>
      <c r="Y748" s="314" t="str">
        <f t="shared" ca="1" si="341"/>
        <v/>
      </c>
      <c r="Z748" s="315" t="str">
        <f t="shared" ca="1" si="342"/>
        <v/>
      </c>
      <c r="AA748" s="316" t="str">
        <f t="shared" ca="1" si="343"/>
        <v/>
      </c>
      <c r="AC748" s="310" t="e">
        <f t="shared" ca="1" si="344"/>
        <v>#N/A</v>
      </c>
      <c r="AD748" s="323" t="e">
        <f t="shared" ca="1" si="345"/>
        <v>#N/A</v>
      </c>
      <c r="AE748" s="324">
        <f t="shared" ca="1" si="324"/>
        <v>-2.2983078773959749</v>
      </c>
      <c r="AG748" s="306">
        <f t="shared" ca="1" si="346"/>
        <v>6.3134203932870356</v>
      </c>
      <c r="AH748" s="304">
        <f t="shared" ca="1" si="347"/>
        <v>-3.468763839789704</v>
      </c>
    </row>
    <row r="749" spans="1:34" x14ac:dyDescent="0.2">
      <c r="A749" s="347">
        <f t="shared" ca="1" si="325"/>
        <v>1E-4</v>
      </c>
      <c r="B749" s="304">
        <f t="shared" ca="1" si="326"/>
        <v>12.044499999999871</v>
      </c>
      <c r="D749" s="306">
        <f t="shared" ca="1" si="327"/>
        <v>-0.26103291798430278</v>
      </c>
      <c r="E749" s="307">
        <f t="shared" ca="1" si="328"/>
        <v>-6.3509853541205956</v>
      </c>
      <c r="F749" s="304">
        <f t="shared" ca="1" si="329"/>
        <v>6.3563474694611921</v>
      </c>
      <c r="G749" s="306">
        <f t="shared" ca="1" si="330"/>
        <v>3.9055939678205571</v>
      </c>
      <c r="H749" s="307">
        <f t="shared" ca="1" si="331"/>
        <v>-51.755015854569436</v>
      </c>
      <c r="I749" s="304">
        <f t="shared" ca="1" si="332"/>
        <v>51.902170767205973</v>
      </c>
      <c r="J749" s="306">
        <f t="shared" ca="1" si="333"/>
        <v>56.288824373840264</v>
      </c>
      <c r="K749" s="307">
        <f t="shared" ca="1" si="334"/>
        <v>-2.3034833472265048</v>
      </c>
      <c r="L749" s="304">
        <f t="shared" ca="1" si="319"/>
        <v>56.335936886857432</v>
      </c>
      <c r="M749" s="306">
        <f t="shared" ca="1" si="335"/>
        <v>-1.4954759847946157</v>
      </c>
      <c r="N749" s="304">
        <f t="shared" ca="1" si="336"/>
        <v>-85.684462291901951</v>
      </c>
      <c r="P749" s="310">
        <f t="shared" ca="1" si="337"/>
        <v>23</v>
      </c>
      <c r="Q749" s="304">
        <f t="shared" ca="1" si="338"/>
        <v>0</v>
      </c>
      <c r="R749" s="306">
        <f t="shared" ca="1" si="339"/>
        <v>0</v>
      </c>
      <c r="S749" s="307">
        <f t="shared" ca="1" si="340"/>
        <v>2.0843000000000003</v>
      </c>
      <c r="T749" s="304">
        <f t="shared" ca="1" si="320"/>
        <v>20.446983000000003</v>
      </c>
      <c r="U749" s="311">
        <f t="shared" ca="1" si="321"/>
        <v>0</v>
      </c>
      <c r="V749" s="306">
        <f t="shared" ca="1" si="322"/>
        <v>1.2252822092132465</v>
      </c>
      <c r="W749" s="304">
        <f t="shared" ca="1" si="323"/>
        <v>7.2303037481886969</v>
      </c>
      <c r="Y749" s="314" t="str">
        <f t="shared" ca="1" si="341"/>
        <v/>
      </c>
      <c r="Z749" s="315" t="str">
        <f t="shared" ca="1" si="342"/>
        <v/>
      </c>
      <c r="AA749" s="316" t="str">
        <f t="shared" ca="1" si="343"/>
        <v/>
      </c>
      <c r="AC749" s="310" t="e">
        <f t="shared" ca="1" si="344"/>
        <v>#N/A</v>
      </c>
      <c r="AD749" s="323" t="e">
        <f t="shared" ca="1" si="345"/>
        <v>#N/A</v>
      </c>
      <c r="AE749" s="324">
        <f t="shared" ca="1" si="324"/>
        <v>-2.3034833472265048</v>
      </c>
      <c r="AG749" s="306">
        <f t="shared" ca="1" si="346"/>
        <v>6.3133352568180063</v>
      </c>
      <c r="AH749" s="304">
        <f t="shared" ca="1" si="347"/>
        <v>-3.4688500262593687</v>
      </c>
    </row>
    <row r="750" spans="1:34" x14ac:dyDescent="0.2">
      <c r="A750" s="347">
        <f t="shared" ca="1" si="325"/>
        <v>1E-4</v>
      </c>
      <c r="B750" s="304">
        <f t="shared" ca="1" si="326"/>
        <v>12.044599999999871</v>
      </c>
      <c r="D750" s="306">
        <f t="shared" ca="1" si="327"/>
        <v>-0.26103448366257209</v>
      </c>
      <c r="E750" s="307">
        <f t="shared" ca="1" si="328"/>
        <v>-6.3508990407457349</v>
      </c>
      <c r="F750" s="304">
        <f t="shared" ca="1" si="329"/>
        <v>6.3562612931979192</v>
      </c>
      <c r="G750" s="306">
        <f t="shared" ca="1" si="330"/>
        <v>3.9055678643721907</v>
      </c>
      <c r="H750" s="307">
        <f t="shared" ca="1" si="331"/>
        <v>-51.755650944473508</v>
      </c>
      <c r="I750" s="304">
        <f t="shared" ca="1" si="332"/>
        <v>51.902802092270498</v>
      </c>
      <c r="J750" s="306">
        <f t="shared" ca="1" si="333"/>
        <v>56.288824373840264</v>
      </c>
      <c r="K750" s="307">
        <f t="shared" ca="1" si="334"/>
        <v>-2.308658880566457</v>
      </c>
      <c r="L750" s="304">
        <f t="shared" ca="1" si="319"/>
        <v>56.336148743199089</v>
      </c>
      <c r="M750" s="306">
        <f t="shared" ca="1" si="335"/>
        <v>-1.4954774070571557</v>
      </c>
      <c r="N750" s="304">
        <f t="shared" ca="1" si="336"/>
        <v>-85.684543781542857</v>
      </c>
      <c r="P750" s="310">
        <f t="shared" ca="1" si="337"/>
        <v>23</v>
      </c>
      <c r="Q750" s="304">
        <f t="shared" ca="1" si="338"/>
        <v>0</v>
      </c>
      <c r="R750" s="306">
        <f t="shared" ca="1" si="339"/>
        <v>0</v>
      </c>
      <c r="S750" s="307">
        <f t="shared" ca="1" si="340"/>
        <v>2.0843000000000003</v>
      </c>
      <c r="T750" s="304">
        <f t="shared" ca="1" si="320"/>
        <v>20.446983000000003</v>
      </c>
      <c r="U750" s="311">
        <f t="shared" ca="1" si="321"/>
        <v>0</v>
      </c>
      <c r="V750" s="306">
        <f t="shared" ca="1" si="322"/>
        <v>1.2252828433623117</v>
      </c>
      <c r="W750" s="304">
        <f t="shared" ca="1" si="323"/>
        <v>7.230483386642482</v>
      </c>
      <c r="Y750" s="314" t="str">
        <f t="shared" ca="1" si="341"/>
        <v/>
      </c>
      <c r="Z750" s="315" t="str">
        <f t="shared" ca="1" si="342"/>
        <v/>
      </c>
      <c r="AA750" s="316" t="str">
        <f t="shared" ca="1" si="343"/>
        <v/>
      </c>
      <c r="AC750" s="310" t="e">
        <f t="shared" ca="1" si="344"/>
        <v>#N/A</v>
      </c>
      <c r="AD750" s="323" t="e">
        <f t="shared" ca="1" si="345"/>
        <v>#N/A</v>
      </c>
      <c r="AE750" s="324">
        <f t="shared" ca="1" si="324"/>
        <v>-2.308658880566457</v>
      </c>
      <c r="AG750" s="306">
        <f t="shared" ca="1" si="346"/>
        <v>6.3132501202977913</v>
      </c>
      <c r="AH750" s="304">
        <f t="shared" ca="1" si="347"/>
        <v>-3.4689362127278685</v>
      </c>
    </row>
    <row r="751" spans="1:34" x14ac:dyDescent="0.2">
      <c r="A751" s="347">
        <f t="shared" ca="1" si="325"/>
        <v>1E-4</v>
      </c>
      <c r="B751" s="304">
        <f t="shared" ca="1" si="326"/>
        <v>12.044699999999871</v>
      </c>
      <c r="D751" s="306">
        <f t="shared" ca="1" si="327"/>
        <v>-0.26103604924832402</v>
      </c>
      <c r="E751" s="307">
        <f t="shared" ca="1" si="328"/>
        <v>-6.3508127273721362</v>
      </c>
      <c r="F751" s="304">
        <f t="shared" ca="1" si="329"/>
        <v>6.3561751169362131</v>
      </c>
      <c r="G751" s="306">
        <f t="shared" ca="1" si="330"/>
        <v>3.905541760767266</v>
      </c>
      <c r="H751" s="307">
        <f t="shared" ca="1" si="331"/>
        <v>-51.756286025746249</v>
      </c>
      <c r="I751" s="304">
        <f t="shared" ca="1" si="332"/>
        <v>51.903433408821364</v>
      </c>
      <c r="J751" s="306">
        <f t="shared" ca="1" si="333"/>
        <v>56.288824373840264</v>
      </c>
      <c r="K751" s="307">
        <f t="shared" ca="1" si="334"/>
        <v>-2.3138344774149679</v>
      </c>
      <c r="L751" s="304">
        <f t="shared" ca="1" si="319"/>
        <v>56.336361076820609</v>
      </c>
      <c r="M751" s="306">
        <f t="shared" ca="1" si="335"/>
        <v>-1.4954788292755909</v>
      </c>
      <c r="N751" s="304">
        <f t="shared" ca="1" si="336"/>
        <v>-85.684625268656745</v>
      </c>
      <c r="P751" s="310">
        <f t="shared" ca="1" si="337"/>
        <v>23</v>
      </c>
      <c r="Q751" s="304">
        <f t="shared" ca="1" si="338"/>
        <v>0</v>
      </c>
      <c r="R751" s="306">
        <f t="shared" ca="1" si="339"/>
        <v>0</v>
      </c>
      <c r="S751" s="307">
        <f t="shared" ca="1" si="340"/>
        <v>2.0843000000000003</v>
      </c>
      <c r="T751" s="304">
        <f t="shared" ca="1" si="320"/>
        <v>20.446983000000003</v>
      </c>
      <c r="U751" s="311">
        <f t="shared" ca="1" si="321"/>
        <v>0</v>
      </c>
      <c r="V751" s="306">
        <f t="shared" ca="1" si="322"/>
        <v>1.2252834775194865</v>
      </c>
      <c r="W751" s="304">
        <f t="shared" ca="1" si="323"/>
        <v>7.2306630250936665</v>
      </c>
      <c r="Y751" s="314" t="str">
        <f t="shared" ca="1" si="341"/>
        <v/>
      </c>
      <c r="Z751" s="315" t="str">
        <f t="shared" ca="1" si="342"/>
        <v/>
      </c>
      <c r="AA751" s="316" t="str">
        <f t="shared" ca="1" si="343"/>
        <v/>
      </c>
      <c r="AC751" s="310" t="e">
        <f t="shared" ca="1" si="344"/>
        <v>#N/A</v>
      </c>
      <c r="AD751" s="323" t="e">
        <f t="shared" ca="1" si="345"/>
        <v>#N/A</v>
      </c>
      <c r="AE751" s="324">
        <f t="shared" ca="1" si="324"/>
        <v>-2.3138344774149679</v>
      </c>
      <c r="AG751" s="306">
        <f t="shared" ca="1" si="346"/>
        <v>6.3131649837264323</v>
      </c>
      <c r="AH751" s="304">
        <f t="shared" ca="1" si="347"/>
        <v>-3.4690223991951643</v>
      </c>
    </row>
    <row r="752" spans="1:34" x14ac:dyDescent="0.2">
      <c r="A752" s="347">
        <f t="shared" ca="1" si="325"/>
        <v>1E-4</v>
      </c>
      <c r="B752" s="304">
        <f t="shared" ca="1" si="326"/>
        <v>12.044799999999871</v>
      </c>
      <c r="D752" s="306">
        <f t="shared" ca="1" si="327"/>
        <v>-0.2610376147415599</v>
      </c>
      <c r="E752" s="307">
        <f t="shared" ca="1" si="328"/>
        <v>-6.3507264139998441</v>
      </c>
      <c r="F752" s="304">
        <f t="shared" ca="1" si="329"/>
        <v>6.3560889406761198</v>
      </c>
      <c r="G752" s="306">
        <f t="shared" ca="1" si="330"/>
        <v>3.9055156570057918</v>
      </c>
      <c r="H752" s="307">
        <f t="shared" ca="1" si="331"/>
        <v>-51.75692109838765</v>
      </c>
      <c r="I752" s="304">
        <f t="shared" ca="1" si="332"/>
        <v>51.904064716858564</v>
      </c>
      <c r="J752" s="306">
        <f t="shared" ca="1" si="333"/>
        <v>56.288824373840264</v>
      </c>
      <c r="K752" s="307">
        <f t="shared" ca="1" si="334"/>
        <v>-2.3190101377711745</v>
      </c>
      <c r="L752" s="304">
        <f t="shared" ca="1" si="319"/>
        <v>56.336573887734062</v>
      </c>
      <c r="M752" s="306">
        <f t="shared" ca="1" si="335"/>
        <v>-1.4954802514499237</v>
      </c>
      <c r="N752" s="304">
        <f t="shared" ca="1" si="336"/>
        <v>-85.684706753243745</v>
      </c>
      <c r="P752" s="310">
        <f t="shared" ca="1" si="337"/>
        <v>23</v>
      </c>
      <c r="Q752" s="304">
        <f t="shared" ca="1" si="338"/>
        <v>0</v>
      </c>
      <c r="R752" s="306">
        <f t="shared" ca="1" si="339"/>
        <v>0</v>
      </c>
      <c r="S752" s="307">
        <f t="shared" ca="1" si="340"/>
        <v>2.0843000000000003</v>
      </c>
      <c r="T752" s="304">
        <f t="shared" ca="1" si="320"/>
        <v>20.446983000000003</v>
      </c>
      <c r="U752" s="311">
        <f t="shared" ca="1" si="321"/>
        <v>0</v>
      </c>
      <c r="V752" s="306">
        <f t="shared" ca="1" si="322"/>
        <v>1.2252841116847706</v>
      </c>
      <c r="W752" s="304">
        <f t="shared" ca="1" si="323"/>
        <v>7.2308426635421661</v>
      </c>
      <c r="Y752" s="314" t="str">
        <f t="shared" ca="1" si="341"/>
        <v/>
      </c>
      <c r="Z752" s="315" t="str">
        <f t="shared" ca="1" si="342"/>
        <v/>
      </c>
      <c r="AA752" s="316" t="str">
        <f t="shared" ca="1" si="343"/>
        <v/>
      </c>
      <c r="AC752" s="310" t="e">
        <f t="shared" ca="1" si="344"/>
        <v>#N/A</v>
      </c>
      <c r="AD752" s="323" t="e">
        <f t="shared" ca="1" si="345"/>
        <v>#N/A</v>
      </c>
      <c r="AE752" s="324">
        <f t="shared" ca="1" si="324"/>
        <v>-2.3190101377711745</v>
      </c>
      <c r="AG752" s="306">
        <f t="shared" ca="1" si="346"/>
        <v>6.31307984710398</v>
      </c>
      <c r="AH752" s="304">
        <f t="shared" ca="1" si="347"/>
        <v>-3.4691085856612127</v>
      </c>
    </row>
    <row r="753" spans="1:34" x14ac:dyDescent="0.2">
      <c r="A753" s="347">
        <f t="shared" ca="1" si="325"/>
        <v>1E-4</v>
      </c>
      <c r="B753" s="304">
        <f t="shared" ca="1" si="326"/>
        <v>12.04489999999987</v>
      </c>
      <c r="D753" s="306">
        <f t="shared" ca="1" si="327"/>
        <v>-0.26103918014228028</v>
      </c>
      <c r="E753" s="307">
        <f t="shared" ca="1" si="328"/>
        <v>-6.3506401006289011</v>
      </c>
      <c r="F753" s="304">
        <f t="shared" ca="1" si="329"/>
        <v>6.3560027644176813</v>
      </c>
      <c r="G753" s="306">
        <f t="shared" ca="1" si="330"/>
        <v>3.9054895530877776</v>
      </c>
      <c r="H753" s="307">
        <f t="shared" ca="1" si="331"/>
        <v>-51.757556162397712</v>
      </c>
      <c r="I753" s="304">
        <f t="shared" ca="1" si="332"/>
        <v>51.904696016382097</v>
      </c>
      <c r="J753" s="306">
        <f t="shared" ca="1" si="333"/>
        <v>56.288824373840264</v>
      </c>
      <c r="K753" s="307">
        <f t="shared" ca="1" si="334"/>
        <v>-2.3241858616342137</v>
      </c>
      <c r="L753" s="304">
        <f t="shared" ca="1" si="319"/>
        <v>56.336787175951507</v>
      </c>
      <c r="M753" s="306">
        <f t="shared" ca="1" si="335"/>
        <v>-1.4954816735801559</v>
      </c>
      <c r="N753" s="304">
        <f t="shared" ca="1" si="336"/>
        <v>-85.684788235303969</v>
      </c>
      <c r="P753" s="310">
        <f t="shared" ca="1" si="337"/>
        <v>23</v>
      </c>
      <c r="Q753" s="304">
        <f t="shared" ca="1" si="338"/>
        <v>0</v>
      </c>
      <c r="R753" s="306">
        <f t="shared" ca="1" si="339"/>
        <v>0</v>
      </c>
      <c r="S753" s="307">
        <f t="shared" ca="1" si="340"/>
        <v>2.0843000000000003</v>
      </c>
      <c r="T753" s="304">
        <f t="shared" ca="1" si="320"/>
        <v>20.446983000000003</v>
      </c>
      <c r="U753" s="311">
        <f t="shared" ca="1" si="321"/>
        <v>0</v>
      </c>
      <c r="V753" s="306">
        <f t="shared" ca="1" si="322"/>
        <v>1.2252847458581653</v>
      </c>
      <c r="W753" s="304">
        <f t="shared" ca="1" si="323"/>
        <v>7.2310223019879043</v>
      </c>
      <c r="Y753" s="314" t="str">
        <f t="shared" ca="1" si="341"/>
        <v/>
      </c>
      <c r="Z753" s="315" t="str">
        <f t="shared" ca="1" si="342"/>
        <v/>
      </c>
      <c r="AA753" s="316" t="str">
        <f t="shared" ca="1" si="343"/>
        <v/>
      </c>
      <c r="AC753" s="310" t="e">
        <f t="shared" ca="1" si="344"/>
        <v>#N/A</v>
      </c>
      <c r="AD753" s="323" t="e">
        <f t="shared" ca="1" si="345"/>
        <v>#N/A</v>
      </c>
      <c r="AE753" s="324">
        <f t="shared" ca="1" si="324"/>
        <v>-2.3241858616342137</v>
      </c>
      <c r="AG753" s="306">
        <f t="shared" ca="1" si="346"/>
        <v>6.3129947104304724</v>
      </c>
      <c r="AH753" s="304">
        <f t="shared" ca="1" si="347"/>
        <v>-3.4691947721259728</v>
      </c>
    </row>
    <row r="754" spans="1:34" x14ac:dyDescent="0.2">
      <c r="A754" s="347">
        <f t="shared" ca="1" si="325"/>
        <v>1E-4</v>
      </c>
      <c r="B754" s="304">
        <f t="shared" ca="1" si="326"/>
        <v>12.04499999999987</v>
      </c>
      <c r="D754" s="306">
        <f t="shared" ca="1" si="327"/>
        <v>-0.26104074545048689</v>
      </c>
      <c r="E754" s="307">
        <f t="shared" ca="1" si="328"/>
        <v>-6.3505537872593401</v>
      </c>
      <c r="F754" s="304">
        <f t="shared" ca="1" si="329"/>
        <v>6.3559165881609312</v>
      </c>
      <c r="G754" s="306">
        <f t="shared" ca="1" si="330"/>
        <v>3.9054634490132325</v>
      </c>
      <c r="H754" s="307">
        <f t="shared" ca="1" si="331"/>
        <v>-51.758191217776435</v>
      </c>
      <c r="I754" s="304">
        <f t="shared" ca="1" si="332"/>
        <v>51.905327307391943</v>
      </c>
      <c r="J754" s="306">
        <f t="shared" ca="1" si="333"/>
        <v>56.288824373840264</v>
      </c>
      <c r="K754" s="307">
        <f t="shared" ca="1" si="334"/>
        <v>-2.3293616490032223</v>
      </c>
      <c r="L754" s="304">
        <f t="shared" ca="1" si="319"/>
        <v>56.337000941484995</v>
      </c>
      <c r="M754" s="306">
        <f t="shared" ca="1" si="335"/>
        <v>-1.4954830956662901</v>
      </c>
      <c r="N754" s="304">
        <f t="shared" ca="1" si="336"/>
        <v>-85.684869714837561</v>
      </c>
      <c r="P754" s="310">
        <f t="shared" ca="1" si="337"/>
        <v>23</v>
      </c>
      <c r="Q754" s="304">
        <f t="shared" ca="1" si="338"/>
        <v>0</v>
      </c>
      <c r="R754" s="306">
        <f t="shared" ca="1" si="339"/>
        <v>0</v>
      </c>
      <c r="S754" s="307">
        <f t="shared" ca="1" si="340"/>
        <v>2.0843000000000003</v>
      </c>
      <c r="T754" s="304">
        <f t="shared" ca="1" si="320"/>
        <v>20.446983000000003</v>
      </c>
      <c r="U754" s="311">
        <f t="shared" ca="1" si="321"/>
        <v>0</v>
      </c>
      <c r="V754" s="306">
        <f t="shared" ca="1" si="322"/>
        <v>1.225285380039669</v>
      </c>
      <c r="W754" s="304">
        <f t="shared" ca="1" si="323"/>
        <v>7.2312019404307835</v>
      </c>
      <c r="Y754" s="314" t="str">
        <f t="shared" ca="1" si="341"/>
        <v/>
      </c>
      <c r="Z754" s="315" t="str">
        <f t="shared" ca="1" si="342"/>
        <v/>
      </c>
      <c r="AA754" s="316" t="str">
        <f t="shared" ca="1" si="343"/>
        <v/>
      </c>
      <c r="AC754" s="310" t="e">
        <f t="shared" ca="1" si="344"/>
        <v>#N/A</v>
      </c>
      <c r="AD754" s="323" t="e">
        <f t="shared" ca="1" si="345"/>
        <v>#N/A</v>
      </c>
      <c r="AE754" s="324">
        <f t="shared" ca="1" si="324"/>
        <v>-2.3293616490032223</v>
      </c>
      <c r="AG754" s="306">
        <f t="shared" ca="1" si="346"/>
        <v>6.3129095737059515</v>
      </c>
      <c r="AH754" s="304">
        <f t="shared" ca="1" si="347"/>
        <v>-3.4692809585894082</v>
      </c>
    </row>
    <row r="755" spans="1:34" x14ac:dyDescent="0.2">
      <c r="A755" s="347">
        <f t="shared" ca="1" si="325"/>
        <v>1E-4</v>
      </c>
      <c r="B755" s="304">
        <f t="shared" ca="1" si="326"/>
        <v>12.04509999999987</v>
      </c>
      <c r="D755" s="306">
        <f t="shared" ca="1" si="327"/>
        <v>-0.26104231066617928</v>
      </c>
      <c r="E755" s="307">
        <f t="shared" ca="1" si="328"/>
        <v>-6.3504674738912108</v>
      </c>
      <c r="F755" s="304">
        <f t="shared" ca="1" si="329"/>
        <v>6.3558304119059175</v>
      </c>
      <c r="G755" s="306">
        <f t="shared" ca="1" si="330"/>
        <v>3.905437344782166</v>
      </c>
      <c r="H755" s="307">
        <f t="shared" ca="1" si="331"/>
        <v>-51.758826264523826</v>
      </c>
      <c r="I755" s="304">
        <f t="shared" ca="1" si="332"/>
        <v>51.905958589888122</v>
      </c>
      <c r="J755" s="306">
        <f t="shared" ca="1" si="333"/>
        <v>56.288824373840264</v>
      </c>
      <c r="K755" s="307">
        <f t="shared" ca="1" si="334"/>
        <v>-2.3345374998773374</v>
      </c>
      <c r="L755" s="304">
        <f t="shared" ca="1" si="319"/>
        <v>56.337215184346547</v>
      </c>
      <c r="M755" s="306">
        <f t="shared" ca="1" si="335"/>
        <v>-1.4954845177083282</v>
      </c>
      <c r="N755" s="304">
        <f t="shared" ca="1" si="336"/>
        <v>-85.684951191844632</v>
      </c>
      <c r="P755" s="310">
        <f t="shared" ca="1" si="337"/>
        <v>23</v>
      </c>
      <c r="Q755" s="304">
        <f t="shared" ca="1" si="338"/>
        <v>0</v>
      </c>
      <c r="R755" s="306">
        <f t="shared" ca="1" si="339"/>
        <v>0</v>
      </c>
      <c r="S755" s="307">
        <f t="shared" ca="1" si="340"/>
        <v>2.0843000000000003</v>
      </c>
      <c r="T755" s="304">
        <f t="shared" ca="1" si="320"/>
        <v>20.446983000000003</v>
      </c>
      <c r="U755" s="311">
        <f t="shared" ca="1" si="321"/>
        <v>0</v>
      </c>
      <c r="V755" s="306">
        <f t="shared" ca="1" si="322"/>
        <v>1.2252860142292825</v>
      </c>
      <c r="W755" s="304">
        <f t="shared" ca="1" si="323"/>
        <v>7.2313815788707272</v>
      </c>
      <c r="Y755" s="314" t="str">
        <f t="shared" ca="1" si="341"/>
        <v/>
      </c>
      <c r="Z755" s="315" t="str">
        <f t="shared" ca="1" si="342"/>
        <v/>
      </c>
      <c r="AA755" s="316" t="str">
        <f t="shared" ca="1" si="343"/>
        <v/>
      </c>
      <c r="AC755" s="310" t="e">
        <f t="shared" ca="1" si="344"/>
        <v>#N/A</v>
      </c>
      <c r="AD755" s="323" t="e">
        <f t="shared" ca="1" si="345"/>
        <v>#N/A</v>
      </c>
      <c r="AE755" s="324">
        <f t="shared" ca="1" si="324"/>
        <v>-2.3345374998773374</v>
      </c>
      <c r="AG755" s="306">
        <f t="shared" ca="1" si="346"/>
        <v>6.3128244369304696</v>
      </c>
      <c r="AH755" s="304">
        <f t="shared" ca="1" si="347"/>
        <v>-3.4693671450514718</v>
      </c>
    </row>
    <row r="756" spans="1:34" x14ac:dyDescent="0.2">
      <c r="A756" s="347">
        <f t="shared" ca="1" si="325"/>
        <v>1E-4</v>
      </c>
      <c r="B756" s="304">
        <f t="shared" ca="1" si="326"/>
        <v>12.04519999999987</v>
      </c>
      <c r="D756" s="306">
        <f t="shared" ca="1" si="327"/>
        <v>-0.261043875789359</v>
      </c>
      <c r="E756" s="307">
        <f t="shared" ca="1" si="328"/>
        <v>-6.3503811605245488</v>
      </c>
      <c r="F756" s="304">
        <f t="shared" ca="1" si="329"/>
        <v>6.3557442356526783</v>
      </c>
      <c r="G756" s="306">
        <f t="shared" ca="1" si="330"/>
        <v>3.9054112403945869</v>
      </c>
      <c r="H756" s="307">
        <f t="shared" ca="1" si="331"/>
        <v>-51.759461302639878</v>
      </c>
      <c r="I756" s="304">
        <f t="shared" ca="1" si="332"/>
        <v>51.906589863870614</v>
      </c>
      <c r="J756" s="306">
        <f t="shared" ca="1" si="333"/>
        <v>56.288824373840264</v>
      </c>
      <c r="K756" s="307">
        <f t="shared" ca="1" si="334"/>
        <v>-2.3397134142556957</v>
      </c>
      <c r="L756" s="304">
        <f t="shared" ca="1" si="319"/>
        <v>56.337429904548202</v>
      </c>
      <c r="M756" s="306">
        <f t="shared" ca="1" si="335"/>
        <v>-1.4954859397062723</v>
      </c>
      <c r="N756" s="304">
        <f t="shared" ca="1" si="336"/>
        <v>-85.685032666325299</v>
      </c>
      <c r="P756" s="310">
        <f t="shared" ca="1" si="337"/>
        <v>23</v>
      </c>
      <c r="Q756" s="304">
        <f t="shared" ca="1" si="338"/>
        <v>0</v>
      </c>
      <c r="R756" s="306">
        <f t="shared" ca="1" si="339"/>
        <v>0</v>
      </c>
      <c r="S756" s="307">
        <f t="shared" ca="1" si="340"/>
        <v>2.0843000000000003</v>
      </c>
      <c r="T756" s="304">
        <f t="shared" ca="1" si="320"/>
        <v>20.446983000000003</v>
      </c>
      <c r="U756" s="311">
        <f t="shared" ca="1" si="321"/>
        <v>0</v>
      </c>
      <c r="V756" s="306">
        <f t="shared" ca="1" si="322"/>
        <v>1.2252866484270046</v>
      </c>
      <c r="W756" s="304">
        <f t="shared" ca="1" si="323"/>
        <v>7.231561217307644</v>
      </c>
      <c r="Y756" s="314" t="str">
        <f t="shared" ca="1" si="341"/>
        <v/>
      </c>
      <c r="Z756" s="315" t="str">
        <f t="shared" ca="1" si="342"/>
        <v/>
      </c>
      <c r="AA756" s="316" t="str">
        <f t="shared" ca="1" si="343"/>
        <v/>
      </c>
      <c r="AC756" s="310" t="e">
        <f t="shared" ca="1" si="344"/>
        <v>#N/A</v>
      </c>
      <c r="AD756" s="323" t="e">
        <f t="shared" ca="1" si="345"/>
        <v>#N/A</v>
      </c>
      <c r="AE756" s="324">
        <f t="shared" ca="1" si="324"/>
        <v>-2.3397134142556957</v>
      </c>
      <c r="AG756" s="306">
        <f t="shared" ca="1" si="346"/>
        <v>6.3127393001040648</v>
      </c>
      <c r="AH756" s="304">
        <f t="shared" ca="1" si="347"/>
        <v>-3.4694533315121272</v>
      </c>
    </row>
    <row r="757" spans="1:34" x14ac:dyDescent="0.2">
      <c r="A757" s="347">
        <f t="shared" ca="1" si="325"/>
        <v>1E-4</v>
      </c>
      <c r="B757" s="304">
        <f t="shared" ca="1" si="326"/>
        <v>12.04529999999987</v>
      </c>
      <c r="D757" s="306">
        <f t="shared" ca="1" si="327"/>
        <v>-0.26104544082002729</v>
      </c>
      <c r="E757" s="307">
        <f t="shared" ca="1" si="328"/>
        <v>-6.3502948471593994</v>
      </c>
      <c r="F757" s="304">
        <f t="shared" ca="1" si="329"/>
        <v>6.3556580594012564</v>
      </c>
      <c r="G757" s="306">
        <f t="shared" ca="1" si="330"/>
        <v>3.905385135850505</v>
      </c>
      <c r="H757" s="307">
        <f t="shared" ca="1" si="331"/>
        <v>-51.76009633212459</v>
      </c>
      <c r="I757" s="304">
        <f t="shared" ca="1" si="332"/>
        <v>51.907221129339405</v>
      </c>
      <c r="J757" s="306">
        <f t="shared" ca="1" si="333"/>
        <v>56.288824373840264</v>
      </c>
      <c r="K757" s="307">
        <f t="shared" ca="1" si="334"/>
        <v>-2.3448893921374339</v>
      </c>
      <c r="L757" s="304">
        <f t="shared" ca="1" si="319"/>
        <v>56.337645102101959</v>
      </c>
      <c r="M757" s="306">
        <f t="shared" ca="1" si="335"/>
        <v>-1.4954873616601247</v>
      </c>
      <c r="N757" s="304">
        <f t="shared" ca="1" si="336"/>
        <v>-85.685114138279715</v>
      </c>
      <c r="P757" s="310">
        <f t="shared" ca="1" si="337"/>
        <v>23</v>
      </c>
      <c r="Q757" s="304">
        <f t="shared" ca="1" si="338"/>
        <v>0</v>
      </c>
      <c r="R757" s="306">
        <f t="shared" ca="1" si="339"/>
        <v>0</v>
      </c>
      <c r="S757" s="307">
        <f t="shared" ca="1" si="340"/>
        <v>2.0843000000000003</v>
      </c>
      <c r="T757" s="304">
        <f t="shared" ca="1" si="320"/>
        <v>20.446983000000003</v>
      </c>
      <c r="U757" s="311">
        <f t="shared" ca="1" si="321"/>
        <v>0</v>
      </c>
      <c r="V757" s="306">
        <f t="shared" ca="1" si="322"/>
        <v>1.2252872826328369</v>
      </c>
      <c r="W757" s="304">
        <f t="shared" ca="1" si="323"/>
        <v>7.2317408557414522</v>
      </c>
      <c r="Y757" s="314" t="str">
        <f t="shared" ca="1" si="341"/>
        <v/>
      </c>
      <c r="Z757" s="315" t="str">
        <f t="shared" ca="1" si="342"/>
        <v/>
      </c>
      <c r="AA757" s="316" t="str">
        <f t="shared" ca="1" si="343"/>
        <v/>
      </c>
      <c r="AC757" s="310" t="e">
        <f t="shared" ca="1" si="344"/>
        <v>#N/A</v>
      </c>
      <c r="AD757" s="323" t="e">
        <f t="shared" ca="1" si="345"/>
        <v>#N/A</v>
      </c>
      <c r="AE757" s="324">
        <f t="shared" ca="1" si="324"/>
        <v>-2.3448893921374339</v>
      </c>
      <c r="AG757" s="306">
        <f t="shared" ca="1" si="346"/>
        <v>6.3126541632267843</v>
      </c>
      <c r="AH757" s="304">
        <f t="shared" ca="1" si="347"/>
        <v>-3.46953951797133</v>
      </c>
    </row>
    <row r="758" spans="1:34" x14ac:dyDescent="0.2">
      <c r="A758" s="347">
        <f t="shared" ca="1" si="325"/>
        <v>1E-4</v>
      </c>
      <c r="B758" s="304">
        <f t="shared" ca="1" si="326"/>
        <v>12.045399999999869</v>
      </c>
      <c r="D758" s="306">
        <f t="shared" ca="1" si="327"/>
        <v>-0.26104700575818418</v>
      </c>
      <c r="E758" s="307">
        <f t="shared" ca="1" si="328"/>
        <v>-6.3502085337958007</v>
      </c>
      <c r="F758" s="304">
        <f t="shared" ca="1" si="329"/>
        <v>6.3555718831516907</v>
      </c>
      <c r="G758" s="306">
        <f t="shared" ca="1" si="330"/>
        <v>3.9053590311499291</v>
      </c>
      <c r="H758" s="307">
        <f t="shared" ca="1" si="331"/>
        <v>-51.76073135297797</v>
      </c>
      <c r="I758" s="304">
        <f t="shared" ca="1" si="332"/>
        <v>51.907852386294515</v>
      </c>
      <c r="J758" s="306">
        <f t="shared" ca="1" si="333"/>
        <v>56.288824373840264</v>
      </c>
      <c r="K758" s="307">
        <f t="shared" ca="1" si="334"/>
        <v>-2.3500654335216891</v>
      </c>
      <c r="L758" s="304">
        <f t="shared" ca="1" si="319"/>
        <v>56.337860777019813</v>
      </c>
      <c r="M758" s="306">
        <f t="shared" ca="1" si="335"/>
        <v>-1.4954887835698873</v>
      </c>
      <c r="N758" s="304">
        <f t="shared" ca="1" si="336"/>
        <v>-85.685195607707954</v>
      </c>
      <c r="P758" s="310">
        <f t="shared" ca="1" si="337"/>
        <v>23</v>
      </c>
      <c r="Q758" s="304">
        <f t="shared" ca="1" si="338"/>
        <v>0</v>
      </c>
      <c r="R758" s="306">
        <f t="shared" ca="1" si="339"/>
        <v>0</v>
      </c>
      <c r="S758" s="307">
        <f t="shared" ca="1" si="340"/>
        <v>2.0843000000000003</v>
      </c>
      <c r="T758" s="304">
        <f t="shared" ca="1" si="320"/>
        <v>20.446983000000003</v>
      </c>
      <c r="U758" s="311">
        <f t="shared" ca="1" si="321"/>
        <v>0</v>
      </c>
      <c r="V758" s="306">
        <f t="shared" ca="1" si="322"/>
        <v>1.2252879168467781</v>
      </c>
      <c r="W758" s="304">
        <f t="shared" ca="1" si="323"/>
        <v>7.2319204941720692</v>
      </c>
      <c r="Y758" s="314" t="str">
        <f t="shared" ca="1" si="341"/>
        <v/>
      </c>
      <c r="Z758" s="315" t="str">
        <f t="shared" ca="1" si="342"/>
        <v/>
      </c>
      <c r="AA758" s="316" t="str">
        <f t="shared" ca="1" si="343"/>
        <v/>
      </c>
      <c r="AC758" s="310" t="e">
        <f t="shared" ca="1" si="344"/>
        <v>#N/A</v>
      </c>
      <c r="AD758" s="323" t="e">
        <f t="shared" ca="1" si="345"/>
        <v>#N/A</v>
      </c>
      <c r="AE758" s="324">
        <f t="shared" ca="1" si="324"/>
        <v>-2.3500654335216891</v>
      </c>
      <c r="AG758" s="306">
        <f t="shared" ca="1" si="346"/>
        <v>6.3125690262986733</v>
      </c>
      <c r="AH758" s="304">
        <f t="shared" ca="1" si="347"/>
        <v>-3.4696257044290415</v>
      </c>
    </row>
    <row r="759" spans="1:34" x14ac:dyDescent="0.2">
      <c r="A759" s="347">
        <f t="shared" ca="1" si="325"/>
        <v>1E-4</v>
      </c>
      <c r="B759" s="304">
        <f t="shared" ca="1" si="326"/>
        <v>12.045499999999869</v>
      </c>
      <c r="D759" s="306">
        <f t="shared" ca="1" si="327"/>
        <v>-0.26104857060383191</v>
      </c>
      <c r="E759" s="307">
        <f t="shared" ca="1" si="328"/>
        <v>-6.3501222204337919</v>
      </c>
      <c r="F759" s="304">
        <f t="shared" ca="1" si="329"/>
        <v>6.3554857069040205</v>
      </c>
      <c r="G759" s="306">
        <f t="shared" ca="1" si="330"/>
        <v>3.9053329262928687</v>
      </c>
      <c r="H759" s="307">
        <f t="shared" ca="1" si="331"/>
        <v>-51.761366365200011</v>
      </c>
      <c r="I759" s="304">
        <f t="shared" ca="1" si="332"/>
        <v>51.908483634735909</v>
      </c>
      <c r="J759" s="306">
        <f t="shared" ca="1" si="333"/>
        <v>56.288824373840264</v>
      </c>
      <c r="K759" s="307">
        <f t="shared" ca="1" si="334"/>
        <v>-2.355241538407598</v>
      </c>
      <c r="L759" s="304">
        <f t="shared" ca="1" si="319"/>
        <v>56.33807692931375</v>
      </c>
      <c r="M759" s="306">
        <f t="shared" ca="1" si="335"/>
        <v>-1.4954902054355623</v>
      </c>
      <c r="N759" s="304">
        <f t="shared" ca="1" si="336"/>
        <v>-85.68527707461017</v>
      </c>
      <c r="P759" s="310">
        <f t="shared" ca="1" si="337"/>
        <v>23</v>
      </c>
      <c r="Q759" s="304">
        <f t="shared" ca="1" si="338"/>
        <v>0</v>
      </c>
      <c r="R759" s="306">
        <f t="shared" ca="1" si="339"/>
        <v>0</v>
      </c>
      <c r="S759" s="307">
        <f t="shared" ca="1" si="340"/>
        <v>2.0843000000000003</v>
      </c>
      <c r="T759" s="304">
        <f t="shared" ca="1" si="320"/>
        <v>20.446983000000003</v>
      </c>
      <c r="U759" s="311">
        <f t="shared" ca="1" si="321"/>
        <v>0</v>
      </c>
      <c r="V759" s="306">
        <f t="shared" ca="1" si="322"/>
        <v>1.2252885510688281</v>
      </c>
      <c r="W759" s="304">
        <f t="shared" ca="1" si="323"/>
        <v>7.2321001325993972</v>
      </c>
      <c r="Y759" s="314" t="str">
        <f t="shared" ca="1" si="341"/>
        <v/>
      </c>
      <c r="Z759" s="315" t="str">
        <f t="shared" ca="1" si="342"/>
        <v/>
      </c>
      <c r="AA759" s="316" t="str">
        <f t="shared" ca="1" si="343"/>
        <v/>
      </c>
      <c r="AC759" s="310" t="e">
        <f t="shared" ca="1" si="344"/>
        <v>#N/A</v>
      </c>
      <c r="AD759" s="323" t="e">
        <f t="shared" ca="1" si="345"/>
        <v>#N/A</v>
      </c>
      <c r="AE759" s="324">
        <f t="shared" ca="1" si="324"/>
        <v>-2.355241538407598</v>
      </c>
      <c r="AG759" s="306">
        <f t="shared" ca="1" si="346"/>
        <v>6.3124838893197719</v>
      </c>
      <c r="AH759" s="304">
        <f t="shared" ca="1" si="347"/>
        <v>-3.4697118908852218</v>
      </c>
    </row>
    <row r="760" spans="1:34" x14ac:dyDescent="0.2">
      <c r="A760" s="347">
        <f t="shared" ca="1" si="325"/>
        <v>1E-4</v>
      </c>
      <c r="B760" s="304">
        <f t="shared" ca="1" si="326"/>
        <v>12.045599999999869</v>
      </c>
      <c r="D760" s="306">
        <f t="shared" ca="1" si="327"/>
        <v>-0.26105013535697069</v>
      </c>
      <c r="E760" s="307">
        <f t="shared" ca="1" si="328"/>
        <v>-6.3500359070734209</v>
      </c>
      <c r="F760" s="304">
        <f t="shared" ca="1" si="329"/>
        <v>6.3553995306582935</v>
      </c>
      <c r="G760" s="306">
        <f t="shared" ca="1" si="330"/>
        <v>3.9053068212793329</v>
      </c>
      <c r="H760" s="307">
        <f t="shared" ca="1" si="331"/>
        <v>-51.76200136879072</v>
      </c>
      <c r="I760" s="304">
        <f t="shared" ca="1" si="332"/>
        <v>51.909114874663608</v>
      </c>
      <c r="J760" s="306">
        <f t="shared" ca="1" si="333"/>
        <v>56.288824373840264</v>
      </c>
      <c r="K760" s="307">
        <f t="shared" ca="1" si="334"/>
        <v>-2.3604177067942973</v>
      </c>
      <c r="L760" s="304">
        <f t="shared" ca="1" si="319"/>
        <v>56.338293558995751</v>
      </c>
      <c r="M760" s="306">
        <f t="shared" ca="1" si="335"/>
        <v>-1.4954916272571519</v>
      </c>
      <c r="N760" s="304">
        <f t="shared" ca="1" si="336"/>
        <v>-85.685358538986463</v>
      </c>
      <c r="P760" s="310">
        <f t="shared" ca="1" si="337"/>
        <v>23</v>
      </c>
      <c r="Q760" s="304">
        <f t="shared" ca="1" si="338"/>
        <v>0</v>
      </c>
      <c r="R760" s="306">
        <f t="shared" ca="1" si="339"/>
        <v>0</v>
      </c>
      <c r="S760" s="307">
        <f t="shared" ca="1" si="340"/>
        <v>2.0843000000000003</v>
      </c>
      <c r="T760" s="304">
        <f t="shared" ca="1" si="320"/>
        <v>20.446983000000003</v>
      </c>
      <c r="U760" s="311">
        <f t="shared" ca="1" si="321"/>
        <v>0</v>
      </c>
      <c r="V760" s="306">
        <f t="shared" ca="1" si="322"/>
        <v>1.2252891852989873</v>
      </c>
      <c r="W760" s="304">
        <f t="shared" ca="1" si="323"/>
        <v>7.2322797710233653</v>
      </c>
      <c r="Y760" s="314" t="str">
        <f t="shared" ca="1" si="341"/>
        <v/>
      </c>
      <c r="Z760" s="315" t="str">
        <f t="shared" ca="1" si="342"/>
        <v/>
      </c>
      <c r="AA760" s="316" t="str">
        <f t="shared" ca="1" si="343"/>
        <v/>
      </c>
      <c r="AC760" s="310" t="e">
        <f t="shared" ca="1" si="344"/>
        <v>#N/A</v>
      </c>
      <c r="AD760" s="323" t="e">
        <f t="shared" ca="1" si="345"/>
        <v>#N/A</v>
      </c>
      <c r="AE760" s="324">
        <f t="shared" ca="1" si="324"/>
        <v>-2.3604177067942973</v>
      </c>
      <c r="AG760" s="306">
        <f t="shared" ca="1" si="346"/>
        <v>6.3123987522901306</v>
      </c>
      <c r="AH760" s="304">
        <f t="shared" ca="1" si="347"/>
        <v>-3.4697980773398247</v>
      </c>
    </row>
    <row r="761" spans="1:34" x14ac:dyDescent="0.2">
      <c r="A761" s="347">
        <f t="shared" ca="1" si="325"/>
        <v>1E-4</v>
      </c>
      <c r="B761" s="304">
        <f t="shared" ca="1" si="326"/>
        <v>12.045699999999869</v>
      </c>
      <c r="D761" s="306">
        <f t="shared" ca="1" si="327"/>
        <v>-0.26105170001760158</v>
      </c>
      <c r="E761" s="307">
        <f t="shared" ca="1" si="328"/>
        <v>-6.3499495937147206</v>
      </c>
      <c r="F761" s="304">
        <f t="shared" ca="1" si="329"/>
        <v>6.3553133544145428</v>
      </c>
      <c r="G761" s="306">
        <f t="shared" ca="1" si="330"/>
        <v>3.9052807161093313</v>
      </c>
      <c r="H761" s="307">
        <f t="shared" ca="1" si="331"/>
        <v>-51.76263636375009</v>
      </c>
      <c r="I761" s="304">
        <f t="shared" ca="1" si="332"/>
        <v>51.909746106077598</v>
      </c>
      <c r="J761" s="306">
        <f t="shared" ca="1" si="333"/>
        <v>56.288824373840264</v>
      </c>
      <c r="K761" s="307">
        <f t="shared" ca="1" si="334"/>
        <v>-2.3655939386809242</v>
      </c>
      <c r="L761" s="304">
        <f t="shared" ca="1" si="319"/>
        <v>56.338510666077759</v>
      </c>
      <c r="M761" s="306">
        <f t="shared" ca="1" si="335"/>
        <v>-1.4954930490346583</v>
      </c>
      <c r="N761" s="304">
        <f t="shared" ca="1" si="336"/>
        <v>-85.685440000836991</v>
      </c>
      <c r="P761" s="310">
        <f t="shared" ca="1" si="337"/>
        <v>23</v>
      </c>
      <c r="Q761" s="304">
        <f t="shared" ca="1" si="338"/>
        <v>0</v>
      </c>
      <c r="R761" s="306">
        <f t="shared" ca="1" si="339"/>
        <v>0</v>
      </c>
      <c r="S761" s="307">
        <f t="shared" ca="1" si="340"/>
        <v>2.0843000000000003</v>
      </c>
      <c r="T761" s="304">
        <f t="shared" ca="1" si="320"/>
        <v>20.446983000000003</v>
      </c>
      <c r="U761" s="311">
        <f t="shared" ca="1" si="321"/>
        <v>0</v>
      </c>
      <c r="V761" s="306">
        <f t="shared" ca="1" si="322"/>
        <v>1.2252898195372555</v>
      </c>
      <c r="W761" s="304">
        <f t="shared" ca="1" si="323"/>
        <v>7.2324594094438819</v>
      </c>
      <c r="Y761" s="314" t="str">
        <f t="shared" ca="1" si="341"/>
        <v/>
      </c>
      <c r="Z761" s="315" t="str">
        <f t="shared" ca="1" si="342"/>
        <v/>
      </c>
      <c r="AA761" s="316" t="str">
        <f t="shared" ca="1" si="343"/>
        <v/>
      </c>
      <c r="AC761" s="310" t="e">
        <f t="shared" ca="1" si="344"/>
        <v>#N/A</v>
      </c>
      <c r="AD761" s="323" t="e">
        <f t="shared" ca="1" si="345"/>
        <v>#N/A</v>
      </c>
      <c r="AE761" s="324">
        <f t="shared" ca="1" si="324"/>
        <v>-2.3655939386809242</v>
      </c>
      <c r="AG761" s="306">
        <f t="shared" ca="1" si="346"/>
        <v>6.3123136152097903</v>
      </c>
      <c r="AH761" s="304">
        <f t="shared" ca="1" si="347"/>
        <v>-3.4698842637928151</v>
      </c>
    </row>
    <row r="762" spans="1:34" x14ac:dyDescent="0.2">
      <c r="A762" s="347">
        <f t="shared" ca="1" si="325"/>
        <v>1E-4</v>
      </c>
      <c r="B762" s="304">
        <f t="shared" ca="1" si="326"/>
        <v>12.045799999999868</v>
      </c>
      <c r="D762" s="306">
        <f t="shared" ca="1" si="327"/>
        <v>-0.26105326458572514</v>
      </c>
      <c r="E762" s="307">
        <f t="shared" ca="1" si="328"/>
        <v>-6.3498632803577379</v>
      </c>
      <c r="F762" s="304">
        <f t="shared" ca="1" si="329"/>
        <v>6.3552271781728145</v>
      </c>
      <c r="G762" s="306">
        <f t="shared" ca="1" si="330"/>
        <v>3.9052546107828725</v>
      </c>
      <c r="H762" s="307">
        <f t="shared" ca="1" si="331"/>
        <v>-51.763271350078128</v>
      </c>
      <c r="I762" s="304">
        <f t="shared" ca="1" si="332"/>
        <v>51.910377328977873</v>
      </c>
      <c r="J762" s="306">
        <f t="shared" ca="1" si="333"/>
        <v>56.288824373840264</v>
      </c>
      <c r="K762" s="307">
        <f t="shared" ca="1" si="334"/>
        <v>-2.3707702340666157</v>
      </c>
      <c r="L762" s="304">
        <f t="shared" ca="1" si="319"/>
        <v>56.338728250571741</v>
      </c>
      <c r="M762" s="306">
        <f t="shared" ca="1" si="335"/>
        <v>-1.4954944707680835</v>
      </c>
      <c r="N762" s="304">
        <f t="shared" ca="1" si="336"/>
        <v>-85.685521460161851</v>
      </c>
      <c r="P762" s="310">
        <f t="shared" ca="1" si="337"/>
        <v>23</v>
      </c>
      <c r="Q762" s="304">
        <f t="shared" ca="1" si="338"/>
        <v>0</v>
      </c>
      <c r="R762" s="306">
        <f t="shared" ca="1" si="339"/>
        <v>0</v>
      </c>
      <c r="S762" s="307">
        <f t="shared" ca="1" si="340"/>
        <v>2.0843000000000003</v>
      </c>
      <c r="T762" s="304">
        <f t="shared" ca="1" si="320"/>
        <v>20.446983000000003</v>
      </c>
      <c r="U762" s="311">
        <f t="shared" ca="1" si="321"/>
        <v>0</v>
      </c>
      <c r="V762" s="306">
        <f t="shared" ca="1" si="322"/>
        <v>1.2252904537836322</v>
      </c>
      <c r="W762" s="304">
        <f t="shared" ca="1" si="323"/>
        <v>7.2326390478608618</v>
      </c>
      <c r="Y762" s="314" t="str">
        <f t="shared" ca="1" si="341"/>
        <v/>
      </c>
      <c r="Z762" s="315" t="str">
        <f t="shared" ca="1" si="342"/>
        <v/>
      </c>
      <c r="AA762" s="316" t="str">
        <f t="shared" ca="1" si="343"/>
        <v/>
      </c>
      <c r="AC762" s="310" t="e">
        <f t="shared" ca="1" si="344"/>
        <v>#N/A</v>
      </c>
      <c r="AD762" s="323" t="e">
        <f t="shared" ca="1" si="345"/>
        <v>#N/A</v>
      </c>
      <c r="AE762" s="324">
        <f t="shared" ca="1" si="324"/>
        <v>-2.3707702340666157</v>
      </c>
      <c r="AG762" s="306">
        <f t="shared" ca="1" si="346"/>
        <v>6.3122284780787936</v>
      </c>
      <c r="AH762" s="304">
        <f t="shared" ca="1" si="347"/>
        <v>-3.4699704502441495</v>
      </c>
    </row>
    <row r="763" spans="1:34" x14ac:dyDescent="0.2">
      <c r="A763" s="347">
        <f t="shared" ca="1" si="325"/>
        <v>1E-4</v>
      </c>
      <c r="B763" s="304">
        <f t="shared" ca="1" si="326"/>
        <v>12.045899999999868</v>
      </c>
      <c r="D763" s="306">
        <f t="shared" ca="1" si="327"/>
        <v>-0.26105482906134264</v>
      </c>
      <c r="E763" s="307">
        <f t="shared" ca="1" si="328"/>
        <v>-6.3497769670025095</v>
      </c>
      <c r="F763" s="304">
        <f t="shared" ca="1" si="329"/>
        <v>6.3551410019331467</v>
      </c>
      <c r="G763" s="306">
        <f t="shared" ca="1" si="330"/>
        <v>3.9052285052999665</v>
      </c>
      <c r="H763" s="307">
        <f t="shared" ca="1" si="331"/>
        <v>-51.763906327774826</v>
      </c>
      <c r="I763" s="304">
        <f t="shared" ca="1" si="332"/>
        <v>51.911008543364424</v>
      </c>
      <c r="J763" s="306">
        <f t="shared" ca="1" si="333"/>
        <v>56.288824373840264</v>
      </c>
      <c r="K763" s="307">
        <f t="shared" ca="1" si="334"/>
        <v>-2.3759465929505081</v>
      </c>
      <c r="L763" s="304">
        <f t="shared" ca="1" si="319"/>
        <v>56.338946312489611</v>
      </c>
      <c r="M763" s="306">
        <f t="shared" ca="1" si="335"/>
        <v>-1.4954958924574295</v>
      </c>
      <c r="N763" s="304">
        <f t="shared" ca="1" si="336"/>
        <v>-85.685602916961159</v>
      </c>
      <c r="P763" s="310">
        <f t="shared" ca="1" si="337"/>
        <v>23</v>
      </c>
      <c r="Q763" s="304">
        <f t="shared" ca="1" si="338"/>
        <v>0</v>
      </c>
      <c r="R763" s="306">
        <f t="shared" ca="1" si="339"/>
        <v>0</v>
      </c>
      <c r="S763" s="307">
        <f t="shared" ca="1" si="340"/>
        <v>2.0843000000000003</v>
      </c>
      <c r="T763" s="304">
        <f t="shared" ca="1" si="320"/>
        <v>20.446983000000003</v>
      </c>
      <c r="U763" s="311">
        <f t="shared" ca="1" si="321"/>
        <v>0</v>
      </c>
      <c r="V763" s="306">
        <f t="shared" ca="1" si="322"/>
        <v>1.2252910880381183</v>
      </c>
      <c r="W763" s="304">
        <f t="shared" ca="1" si="323"/>
        <v>7.2328186862742232</v>
      </c>
      <c r="Y763" s="314" t="str">
        <f t="shared" ca="1" si="341"/>
        <v/>
      </c>
      <c r="Z763" s="315" t="str">
        <f t="shared" ca="1" si="342"/>
        <v/>
      </c>
      <c r="AA763" s="316" t="str">
        <f t="shared" ca="1" si="343"/>
        <v/>
      </c>
      <c r="AC763" s="310" t="e">
        <f t="shared" ca="1" si="344"/>
        <v>#N/A</v>
      </c>
      <c r="AD763" s="323" t="e">
        <f t="shared" ca="1" si="345"/>
        <v>#N/A</v>
      </c>
      <c r="AE763" s="324">
        <f t="shared" ca="1" si="324"/>
        <v>-2.3759465929505081</v>
      </c>
      <c r="AG763" s="306">
        <f t="shared" ca="1" si="346"/>
        <v>6.3121433408971885</v>
      </c>
      <c r="AH763" s="304">
        <f t="shared" ca="1" si="347"/>
        <v>-3.4700566366937875</v>
      </c>
    </row>
    <row r="764" spans="1:34" x14ac:dyDescent="0.2">
      <c r="A764" s="347">
        <f t="shared" ca="1" si="325"/>
        <v>1E-4</v>
      </c>
      <c r="B764" s="304">
        <f t="shared" ca="1" si="326"/>
        <v>12.045999999999868</v>
      </c>
      <c r="D764" s="306">
        <f t="shared" ca="1" si="327"/>
        <v>-0.26105639344445569</v>
      </c>
      <c r="E764" s="307">
        <f t="shared" ca="1" si="328"/>
        <v>-6.3496906536490787</v>
      </c>
      <c r="F764" s="304">
        <f t="shared" ca="1" si="329"/>
        <v>6.3550548256955803</v>
      </c>
      <c r="G764" s="306">
        <f t="shared" ca="1" si="330"/>
        <v>3.905202399660622</v>
      </c>
      <c r="H764" s="307">
        <f t="shared" ca="1" si="331"/>
        <v>-51.764541296840193</v>
      </c>
      <c r="I764" s="304">
        <f t="shared" ca="1" si="332"/>
        <v>51.911639749237253</v>
      </c>
      <c r="J764" s="306">
        <f t="shared" ca="1" si="333"/>
        <v>56.288824373840264</v>
      </c>
      <c r="K764" s="307">
        <f t="shared" ca="1" si="334"/>
        <v>-2.3811230153317391</v>
      </c>
      <c r="L764" s="304">
        <f t="shared" ca="1" si="319"/>
        <v>56.339164851843307</v>
      </c>
      <c r="M764" s="306">
        <f t="shared" ca="1" si="335"/>
        <v>-1.4954973141026988</v>
      </c>
      <c r="N764" s="304">
        <f t="shared" ca="1" si="336"/>
        <v>-85.685684371235055</v>
      </c>
      <c r="P764" s="310">
        <f t="shared" ca="1" si="337"/>
        <v>23</v>
      </c>
      <c r="Q764" s="304">
        <f t="shared" ca="1" si="338"/>
        <v>0</v>
      </c>
      <c r="R764" s="306">
        <f t="shared" ca="1" si="339"/>
        <v>0</v>
      </c>
      <c r="S764" s="307">
        <f t="shared" ca="1" si="340"/>
        <v>2.0843000000000003</v>
      </c>
      <c r="T764" s="304">
        <f t="shared" ca="1" si="320"/>
        <v>20.446983000000003</v>
      </c>
      <c r="U764" s="311">
        <f t="shared" ca="1" si="321"/>
        <v>0</v>
      </c>
      <c r="V764" s="306">
        <f t="shared" ca="1" si="322"/>
        <v>1.2252917223007125</v>
      </c>
      <c r="W764" s="304">
        <f t="shared" ca="1" si="323"/>
        <v>7.2329983246838765</v>
      </c>
      <c r="Y764" s="314" t="str">
        <f t="shared" ca="1" si="341"/>
        <v/>
      </c>
      <c r="Z764" s="315" t="str">
        <f t="shared" ca="1" si="342"/>
        <v/>
      </c>
      <c r="AA764" s="316" t="str">
        <f t="shared" ca="1" si="343"/>
        <v/>
      </c>
      <c r="AC764" s="310" t="e">
        <f t="shared" ca="1" si="344"/>
        <v>#N/A</v>
      </c>
      <c r="AD764" s="323" t="e">
        <f t="shared" ca="1" si="345"/>
        <v>#N/A</v>
      </c>
      <c r="AE764" s="324">
        <f t="shared" ca="1" si="324"/>
        <v>-2.3811230153317391</v>
      </c>
      <c r="AG764" s="306">
        <f t="shared" ca="1" si="346"/>
        <v>6.3120582036650159</v>
      </c>
      <c r="AH764" s="304">
        <f t="shared" ca="1" si="347"/>
        <v>-3.4701428231416891</v>
      </c>
    </row>
    <row r="765" spans="1:34" x14ac:dyDescent="0.2">
      <c r="A765" s="347">
        <f t="shared" ca="1" si="325"/>
        <v>1E-4</v>
      </c>
      <c r="B765" s="304">
        <f t="shared" ca="1" si="326"/>
        <v>12.046099999999868</v>
      </c>
      <c r="D765" s="306">
        <f t="shared" ca="1" si="327"/>
        <v>-0.26105795773506391</v>
      </c>
      <c r="E765" s="307">
        <f t="shared" ca="1" si="328"/>
        <v>-6.3496043402974855</v>
      </c>
      <c r="F765" s="304">
        <f t="shared" ca="1" si="329"/>
        <v>6.354968649460158</v>
      </c>
      <c r="G765" s="306">
        <f t="shared" ca="1" si="330"/>
        <v>3.9051762938648484</v>
      </c>
      <c r="H765" s="307">
        <f t="shared" ca="1" si="331"/>
        <v>-51.76517625727422</v>
      </c>
      <c r="I765" s="304">
        <f t="shared" ca="1" si="332"/>
        <v>51.912270946596344</v>
      </c>
      <c r="J765" s="306">
        <f t="shared" ca="1" si="333"/>
        <v>56.288824373840264</v>
      </c>
      <c r="K765" s="307">
        <f t="shared" ca="1" si="334"/>
        <v>-2.3862995012094448</v>
      </c>
      <c r="L765" s="304">
        <f t="shared" ca="1" si="319"/>
        <v>56.339383868644731</v>
      </c>
      <c r="M765" s="306">
        <f t="shared" ca="1" si="335"/>
        <v>-1.4954987357038934</v>
      </c>
      <c r="N765" s="304">
        <f t="shared" ca="1" si="336"/>
        <v>-85.685765822983655</v>
      </c>
      <c r="P765" s="310">
        <f t="shared" ca="1" si="337"/>
        <v>23</v>
      </c>
      <c r="Q765" s="304">
        <f t="shared" ca="1" si="338"/>
        <v>0</v>
      </c>
      <c r="R765" s="306">
        <f t="shared" ca="1" si="339"/>
        <v>0</v>
      </c>
      <c r="S765" s="307">
        <f t="shared" ca="1" si="340"/>
        <v>2.0843000000000003</v>
      </c>
      <c r="T765" s="304">
        <f t="shared" ca="1" si="320"/>
        <v>20.446983000000003</v>
      </c>
      <c r="U765" s="311">
        <f t="shared" ca="1" si="321"/>
        <v>0</v>
      </c>
      <c r="V765" s="306">
        <f t="shared" ca="1" si="322"/>
        <v>1.2252923565714153</v>
      </c>
      <c r="W765" s="304">
        <f t="shared" ca="1" si="323"/>
        <v>7.2331779630897337</v>
      </c>
      <c r="Y765" s="314" t="str">
        <f t="shared" ca="1" si="341"/>
        <v/>
      </c>
      <c r="Z765" s="315" t="str">
        <f t="shared" ca="1" si="342"/>
        <v/>
      </c>
      <c r="AA765" s="316" t="str">
        <f t="shared" ca="1" si="343"/>
        <v/>
      </c>
      <c r="AC765" s="310" t="e">
        <f t="shared" ca="1" si="344"/>
        <v>#N/A</v>
      </c>
      <c r="AD765" s="323" t="e">
        <f t="shared" ca="1" si="345"/>
        <v>#N/A</v>
      </c>
      <c r="AE765" s="324">
        <f t="shared" ca="1" si="324"/>
        <v>-2.3862995012094448</v>
      </c>
      <c r="AG765" s="306">
        <f t="shared" ca="1" si="346"/>
        <v>6.3119730663823219</v>
      </c>
      <c r="AH765" s="304">
        <f t="shared" ca="1" si="347"/>
        <v>-3.4702290095878117</v>
      </c>
    </row>
    <row r="766" spans="1:34" x14ac:dyDescent="0.2">
      <c r="A766" s="347">
        <f t="shared" ca="1" si="325"/>
        <v>1E-4</v>
      </c>
      <c r="B766" s="304">
        <f t="shared" ca="1" si="326"/>
        <v>12.046199999999867</v>
      </c>
      <c r="D766" s="306">
        <f t="shared" ca="1" si="327"/>
        <v>-0.26105952193316867</v>
      </c>
      <c r="E766" s="307">
        <f t="shared" ca="1" si="328"/>
        <v>-6.3495180269477745</v>
      </c>
      <c r="F766" s="304">
        <f t="shared" ca="1" si="329"/>
        <v>6.3548824732269233</v>
      </c>
      <c r="G766" s="306">
        <f t="shared" ca="1" si="330"/>
        <v>3.9051501879126551</v>
      </c>
      <c r="H766" s="307">
        <f t="shared" ca="1" si="331"/>
        <v>-51.765811209076915</v>
      </c>
      <c r="I766" s="304">
        <f t="shared" ca="1" si="332"/>
        <v>51.912902135441705</v>
      </c>
      <c r="J766" s="306">
        <f t="shared" ca="1" si="333"/>
        <v>56.288824373840264</v>
      </c>
      <c r="K766" s="307">
        <f t="shared" ca="1" si="334"/>
        <v>-2.3914760505827624</v>
      </c>
      <c r="L766" s="304">
        <f t="shared" ca="1" si="319"/>
        <v>56.339603362905784</v>
      </c>
      <c r="M766" s="306">
        <f t="shared" ca="1" si="335"/>
        <v>-1.4955001572610154</v>
      </c>
      <c r="N766" s="304">
        <f t="shared" ca="1" si="336"/>
        <v>-85.68584727220707</v>
      </c>
      <c r="P766" s="310">
        <f t="shared" ca="1" si="337"/>
        <v>23</v>
      </c>
      <c r="Q766" s="304">
        <f t="shared" ca="1" si="338"/>
        <v>0</v>
      </c>
      <c r="R766" s="306">
        <f t="shared" ca="1" si="339"/>
        <v>0</v>
      </c>
      <c r="S766" s="307">
        <f t="shared" ca="1" si="340"/>
        <v>2.0843000000000003</v>
      </c>
      <c r="T766" s="304">
        <f t="shared" ca="1" si="320"/>
        <v>20.446983000000003</v>
      </c>
      <c r="U766" s="311">
        <f t="shared" ca="1" si="321"/>
        <v>0</v>
      </c>
      <c r="V766" s="306">
        <f t="shared" ca="1" si="322"/>
        <v>1.2252929908502266</v>
      </c>
      <c r="W766" s="304">
        <f t="shared" ca="1" si="323"/>
        <v>7.2333576014917149</v>
      </c>
      <c r="Y766" s="314" t="str">
        <f t="shared" ca="1" si="341"/>
        <v/>
      </c>
      <c r="Z766" s="315" t="str">
        <f t="shared" ca="1" si="342"/>
        <v/>
      </c>
      <c r="AA766" s="316" t="str">
        <f t="shared" ca="1" si="343"/>
        <v/>
      </c>
      <c r="AC766" s="310" t="e">
        <f t="shared" ca="1" si="344"/>
        <v>#N/A</v>
      </c>
      <c r="AD766" s="323" t="e">
        <f t="shared" ca="1" si="345"/>
        <v>#N/A</v>
      </c>
      <c r="AE766" s="324">
        <f t="shared" ca="1" si="324"/>
        <v>-2.3914760505827624</v>
      </c>
      <c r="AG766" s="306">
        <f t="shared" ca="1" si="346"/>
        <v>6.3118879290491527</v>
      </c>
      <c r="AH766" s="304">
        <f t="shared" ca="1" si="347"/>
        <v>-3.470315196032113</v>
      </c>
    </row>
    <row r="767" spans="1:34" x14ac:dyDescent="0.2">
      <c r="A767" s="347">
        <f t="shared" ca="1" si="325"/>
        <v>1E-4</v>
      </c>
      <c r="B767" s="304">
        <f t="shared" ca="1" si="326"/>
        <v>12.046299999999867</v>
      </c>
      <c r="D767" s="306">
        <f t="shared" ca="1" si="327"/>
        <v>-0.26106108603877071</v>
      </c>
      <c r="E767" s="307">
        <f t="shared" ca="1" si="328"/>
        <v>-6.3494317135999827</v>
      </c>
      <c r="F767" s="304">
        <f t="shared" ca="1" si="329"/>
        <v>6.3547962969959126</v>
      </c>
      <c r="G767" s="306">
        <f t="shared" ca="1" si="330"/>
        <v>3.9051240818040514</v>
      </c>
      <c r="H767" s="307">
        <f t="shared" ca="1" si="331"/>
        <v>-51.766446152248278</v>
      </c>
      <c r="I767" s="304">
        <f t="shared" ca="1" si="332"/>
        <v>51.913533315773321</v>
      </c>
      <c r="J767" s="306">
        <f t="shared" ca="1" si="333"/>
        <v>56.288824373840264</v>
      </c>
      <c r="K767" s="307">
        <f t="shared" ca="1" si="334"/>
        <v>-2.3966526634508285</v>
      </c>
      <c r="L767" s="304">
        <f t="shared" ca="1" si="319"/>
        <v>56.339823334638346</v>
      </c>
      <c r="M767" s="306">
        <f t="shared" ca="1" si="335"/>
        <v>-1.4955015787740666</v>
      </c>
      <c r="N767" s="304">
        <f t="shared" ca="1" si="336"/>
        <v>-85.685928718905444</v>
      </c>
      <c r="P767" s="310">
        <f t="shared" ca="1" si="337"/>
        <v>23</v>
      </c>
      <c r="Q767" s="304">
        <f t="shared" ca="1" si="338"/>
        <v>0</v>
      </c>
      <c r="R767" s="306">
        <f t="shared" ca="1" si="339"/>
        <v>0</v>
      </c>
      <c r="S767" s="307">
        <f t="shared" ca="1" si="340"/>
        <v>2.0843000000000003</v>
      </c>
      <c r="T767" s="304">
        <f t="shared" ca="1" si="320"/>
        <v>20.446983000000003</v>
      </c>
      <c r="U767" s="311">
        <f t="shared" ca="1" si="321"/>
        <v>0</v>
      </c>
      <c r="V767" s="306">
        <f t="shared" ca="1" si="322"/>
        <v>1.2252936251371462</v>
      </c>
      <c r="W767" s="304">
        <f t="shared" ca="1" si="323"/>
        <v>7.2335372398897304</v>
      </c>
      <c r="Y767" s="314" t="str">
        <f t="shared" ca="1" si="341"/>
        <v/>
      </c>
      <c r="Z767" s="315" t="str">
        <f t="shared" ca="1" si="342"/>
        <v/>
      </c>
      <c r="AA767" s="316" t="str">
        <f t="shared" ca="1" si="343"/>
        <v/>
      </c>
      <c r="AC767" s="310" t="e">
        <f t="shared" ca="1" si="344"/>
        <v>#N/A</v>
      </c>
      <c r="AD767" s="323" t="e">
        <f t="shared" ca="1" si="345"/>
        <v>#N/A</v>
      </c>
      <c r="AE767" s="324">
        <f t="shared" ca="1" si="324"/>
        <v>-2.3966526634508285</v>
      </c>
      <c r="AG767" s="306">
        <f t="shared" ca="1" si="346"/>
        <v>6.3118027916655493</v>
      </c>
      <c r="AH767" s="304">
        <f t="shared" ca="1" si="347"/>
        <v>-3.4704013824745545</v>
      </c>
    </row>
    <row r="768" spans="1:34" x14ac:dyDescent="0.2">
      <c r="A768" s="347">
        <f t="shared" ca="1" si="325"/>
        <v>1E-4</v>
      </c>
      <c r="B768" s="304">
        <f t="shared" ca="1" si="326"/>
        <v>12.046399999999867</v>
      </c>
      <c r="D768" s="306">
        <f t="shared" ca="1" si="327"/>
        <v>-0.26106265005187212</v>
      </c>
      <c r="E768" s="307">
        <f t="shared" ca="1" si="328"/>
        <v>-6.3493454002541529</v>
      </c>
      <c r="F768" s="304">
        <f t="shared" ca="1" si="329"/>
        <v>6.3547101207671686</v>
      </c>
      <c r="G768" s="306">
        <f t="shared" ca="1" si="330"/>
        <v>3.905097975539046</v>
      </c>
      <c r="H768" s="307">
        <f t="shared" ca="1" si="331"/>
        <v>-51.767081086788302</v>
      </c>
      <c r="I768" s="304">
        <f t="shared" ca="1" si="332"/>
        <v>51.914164487591194</v>
      </c>
      <c r="J768" s="306">
        <f t="shared" ca="1" si="333"/>
        <v>56.288824373840264</v>
      </c>
      <c r="K768" s="307">
        <f t="shared" ca="1" si="334"/>
        <v>-2.4018293398127804</v>
      </c>
      <c r="L768" s="304">
        <f t="shared" ca="1" si="319"/>
        <v>56.340043783854298</v>
      </c>
      <c r="M768" s="306">
        <f t="shared" ca="1" si="335"/>
        <v>-1.4955030002430496</v>
      </c>
      <c r="N768" s="304">
        <f t="shared" ca="1" si="336"/>
        <v>-85.686010163078876</v>
      </c>
      <c r="P768" s="310">
        <f t="shared" ca="1" si="337"/>
        <v>23</v>
      </c>
      <c r="Q768" s="304">
        <f t="shared" ca="1" si="338"/>
        <v>0</v>
      </c>
      <c r="R768" s="306">
        <f t="shared" ca="1" si="339"/>
        <v>0</v>
      </c>
      <c r="S768" s="307">
        <f t="shared" ca="1" si="340"/>
        <v>2.0843000000000003</v>
      </c>
      <c r="T768" s="304">
        <f t="shared" ca="1" si="320"/>
        <v>20.446983000000003</v>
      </c>
      <c r="U768" s="311">
        <f t="shared" ca="1" si="321"/>
        <v>0</v>
      </c>
      <c r="V768" s="306">
        <f t="shared" ca="1" si="322"/>
        <v>1.2252942594321738</v>
      </c>
      <c r="W768" s="304">
        <f t="shared" ca="1" si="323"/>
        <v>7.2337168782836985</v>
      </c>
      <c r="Y768" s="314" t="str">
        <f t="shared" ca="1" si="341"/>
        <v/>
      </c>
      <c r="Z768" s="315" t="str">
        <f t="shared" ca="1" si="342"/>
        <v/>
      </c>
      <c r="AA768" s="316" t="str">
        <f t="shared" ca="1" si="343"/>
        <v/>
      </c>
      <c r="AC768" s="310" t="e">
        <f t="shared" ca="1" si="344"/>
        <v>#N/A</v>
      </c>
      <c r="AD768" s="323" t="e">
        <f t="shared" ca="1" si="345"/>
        <v>#N/A</v>
      </c>
      <c r="AE768" s="324">
        <f t="shared" ca="1" si="324"/>
        <v>-2.4018293398127804</v>
      </c>
      <c r="AG768" s="306">
        <f t="shared" ca="1" si="346"/>
        <v>6.3117176542315612</v>
      </c>
      <c r="AH768" s="304">
        <f t="shared" ca="1" si="347"/>
        <v>-3.4704875689150936</v>
      </c>
    </row>
    <row r="769" spans="1:34" x14ac:dyDescent="0.2">
      <c r="A769" s="347">
        <f t="shared" ca="1" si="325"/>
        <v>1E-4</v>
      </c>
      <c r="B769" s="304">
        <f t="shared" ca="1" si="326"/>
        <v>12.046499999999867</v>
      </c>
      <c r="D769" s="306">
        <f t="shared" ca="1" si="327"/>
        <v>-0.26106421397247281</v>
      </c>
      <c r="E769" s="307">
        <f t="shared" ca="1" si="328"/>
        <v>-6.349259086910326</v>
      </c>
      <c r="F769" s="304">
        <f t="shared" ca="1" si="329"/>
        <v>6.354623944540732</v>
      </c>
      <c r="G769" s="306">
        <f t="shared" ca="1" si="330"/>
        <v>3.9050718691176489</v>
      </c>
      <c r="H769" s="307">
        <f t="shared" ca="1" si="331"/>
        <v>-51.767716012696994</v>
      </c>
      <c r="I769" s="304">
        <f t="shared" ca="1" si="332"/>
        <v>51.914795650895307</v>
      </c>
      <c r="J769" s="306">
        <f t="shared" ca="1" si="333"/>
        <v>56.288824373840264</v>
      </c>
      <c r="K769" s="307">
        <f t="shared" ca="1" si="334"/>
        <v>-2.4070060796677546</v>
      </c>
      <c r="L769" s="304">
        <f t="shared" ca="1" si="319"/>
        <v>56.340264710565492</v>
      </c>
      <c r="M769" s="306">
        <f t="shared" ca="1" si="335"/>
        <v>-1.4955044216679665</v>
      </c>
      <c r="N769" s="304">
        <f t="shared" ca="1" si="336"/>
        <v>-85.686091604727508</v>
      </c>
      <c r="P769" s="310">
        <f t="shared" ca="1" si="337"/>
        <v>23</v>
      </c>
      <c r="Q769" s="304">
        <f t="shared" ca="1" si="338"/>
        <v>0</v>
      </c>
      <c r="R769" s="306">
        <f t="shared" ca="1" si="339"/>
        <v>0</v>
      </c>
      <c r="S769" s="307">
        <f t="shared" ca="1" si="340"/>
        <v>2.0843000000000003</v>
      </c>
      <c r="T769" s="304">
        <f t="shared" ca="1" si="320"/>
        <v>20.446983000000003</v>
      </c>
      <c r="U769" s="311">
        <f t="shared" ca="1" si="321"/>
        <v>0</v>
      </c>
      <c r="V769" s="306">
        <f t="shared" ca="1" si="322"/>
        <v>1.2252948937353103</v>
      </c>
      <c r="W769" s="304">
        <f t="shared" ca="1" si="323"/>
        <v>7.2338965166735338</v>
      </c>
      <c r="Y769" s="314" t="str">
        <f t="shared" ca="1" si="341"/>
        <v/>
      </c>
      <c r="Z769" s="315" t="str">
        <f t="shared" ca="1" si="342"/>
        <v/>
      </c>
      <c r="AA769" s="316" t="str">
        <f t="shared" ca="1" si="343"/>
        <v/>
      </c>
      <c r="AC769" s="310" t="e">
        <f t="shared" ca="1" si="344"/>
        <v>#N/A</v>
      </c>
      <c r="AD769" s="323" t="e">
        <f t="shared" ca="1" si="345"/>
        <v>#N/A</v>
      </c>
      <c r="AE769" s="324">
        <f t="shared" ca="1" si="324"/>
        <v>-2.4070060796677546</v>
      </c>
      <c r="AG769" s="306">
        <f t="shared" ca="1" si="346"/>
        <v>6.3116325167472276</v>
      </c>
      <c r="AH769" s="304">
        <f t="shared" ca="1" si="347"/>
        <v>-3.4705737553536906</v>
      </c>
    </row>
    <row r="770" spans="1:34" x14ac:dyDescent="0.2">
      <c r="A770" s="347">
        <f t="shared" ca="1" si="325"/>
        <v>1E-4</v>
      </c>
      <c r="B770" s="304">
        <f t="shared" ca="1" si="326"/>
        <v>12.046599999999867</v>
      </c>
      <c r="D770" s="306">
        <f t="shared" ca="1" si="327"/>
        <v>-0.26106577780057355</v>
      </c>
      <c r="E770" s="307">
        <f t="shared" ca="1" si="328"/>
        <v>-6.349172773568541</v>
      </c>
      <c r="F770" s="304">
        <f t="shared" ca="1" si="329"/>
        <v>6.3545377683166429</v>
      </c>
      <c r="G770" s="306">
        <f t="shared" ca="1" si="330"/>
        <v>3.9050457625398689</v>
      </c>
      <c r="H770" s="307">
        <f t="shared" ca="1" si="331"/>
        <v>-51.768350929974353</v>
      </c>
      <c r="I770" s="304">
        <f t="shared" ca="1" si="332"/>
        <v>51.915426805685676</v>
      </c>
      <c r="J770" s="306">
        <f t="shared" ca="1" si="333"/>
        <v>56.288824373840264</v>
      </c>
      <c r="K770" s="307">
        <f t="shared" ca="1" si="334"/>
        <v>-2.4121828830148884</v>
      </c>
      <c r="L770" s="304">
        <f t="shared" ca="1" si="319"/>
        <v>56.340486114783779</v>
      </c>
      <c r="M770" s="306">
        <f t="shared" ca="1" si="335"/>
        <v>-1.4955058430488193</v>
      </c>
      <c r="N770" s="304">
        <f t="shared" ca="1" si="336"/>
        <v>-85.686173043851454</v>
      </c>
      <c r="P770" s="310">
        <f t="shared" ca="1" si="337"/>
        <v>23</v>
      </c>
      <c r="Q770" s="304">
        <f t="shared" ca="1" si="338"/>
        <v>0</v>
      </c>
      <c r="R770" s="306">
        <f t="shared" ca="1" si="339"/>
        <v>0</v>
      </c>
      <c r="S770" s="307">
        <f t="shared" ca="1" si="340"/>
        <v>2.0843000000000003</v>
      </c>
      <c r="T770" s="304">
        <f t="shared" ca="1" si="320"/>
        <v>20.446983000000003</v>
      </c>
      <c r="U770" s="311">
        <f t="shared" ca="1" si="321"/>
        <v>0</v>
      </c>
      <c r="V770" s="306">
        <f t="shared" ca="1" si="322"/>
        <v>1.2252955280465541</v>
      </c>
      <c r="W770" s="304">
        <f t="shared" ca="1" si="323"/>
        <v>7.2340761550591486</v>
      </c>
      <c r="Y770" s="314" t="str">
        <f t="shared" ca="1" si="341"/>
        <v/>
      </c>
      <c r="Z770" s="315" t="str">
        <f t="shared" ca="1" si="342"/>
        <v/>
      </c>
      <c r="AA770" s="316" t="str">
        <f t="shared" ca="1" si="343"/>
        <v/>
      </c>
      <c r="AC770" s="310" t="e">
        <f t="shared" ca="1" si="344"/>
        <v>#N/A</v>
      </c>
      <c r="AD770" s="323" t="e">
        <f t="shared" ca="1" si="345"/>
        <v>#N/A</v>
      </c>
      <c r="AE770" s="324">
        <f t="shared" ca="1" si="324"/>
        <v>-2.4121828830148884</v>
      </c>
      <c r="AG770" s="306">
        <f t="shared" ca="1" si="346"/>
        <v>6.3115473792125929</v>
      </c>
      <c r="AH770" s="304">
        <f t="shared" ca="1" si="347"/>
        <v>-3.4706599417903052</v>
      </c>
    </row>
    <row r="771" spans="1:34" x14ac:dyDescent="0.2">
      <c r="A771" s="347">
        <f t="shared" ca="1" si="325"/>
        <v>1E-4</v>
      </c>
      <c r="B771" s="304">
        <f t="shared" ca="1" si="326"/>
        <v>12.046699999999866</v>
      </c>
      <c r="D771" s="306">
        <f t="shared" ca="1" si="327"/>
        <v>-0.2610673415361755</v>
      </c>
      <c r="E771" s="307">
        <f t="shared" ca="1" si="328"/>
        <v>-6.3490864602288424</v>
      </c>
      <c r="F771" s="304">
        <f t="shared" ca="1" si="329"/>
        <v>6.3544515920949447</v>
      </c>
      <c r="G771" s="306">
        <f t="shared" ca="1" si="330"/>
        <v>3.9050196558057153</v>
      </c>
      <c r="H771" s="307">
        <f t="shared" ca="1" si="331"/>
        <v>-51.768985838620374</v>
      </c>
      <c r="I771" s="304">
        <f t="shared" ca="1" si="332"/>
        <v>51.91605795196228</v>
      </c>
      <c r="J771" s="306">
        <f t="shared" ca="1" si="333"/>
        <v>56.288824373840264</v>
      </c>
      <c r="K771" s="307">
        <f t="shared" ca="1" si="334"/>
        <v>-2.4173597498533179</v>
      </c>
      <c r="L771" s="304">
        <f t="shared" ca="1" si="319"/>
        <v>56.340707996520997</v>
      </c>
      <c r="M771" s="306">
        <f t="shared" ca="1" si="335"/>
        <v>-1.49550726438561</v>
      </c>
      <c r="N771" s="304">
        <f t="shared" ca="1" si="336"/>
        <v>-85.686254480450827</v>
      </c>
      <c r="P771" s="310">
        <f t="shared" ca="1" si="337"/>
        <v>23</v>
      </c>
      <c r="Q771" s="304">
        <f t="shared" ca="1" si="338"/>
        <v>0</v>
      </c>
      <c r="R771" s="306">
        <f t="shared" ca="1" si="339"/>
        <v>0</v>
      </c>
      <c r="S771" s="307">
        <f t="shared" ca="1" si="340"/>
        <v>2.0843000000000003</v>
      </c>
      <c r="T771" s="304">
        <f t="shared" ca="1" si="320"/>
        <v>20.446983000000003</v>
      </c>
      <c r="U771" s="311">
        <f t="shared" ca="1" si="321"/>
        <v>0</v>
      </c>
      <c r="V771" s="306">
        <f t="shared" ca="1" si="322"/>
        <v>1.2252961623659062</v>
      </c>
      <c r="W771" s="304">
        <f t="shared" ca="1" si="323"/>
        <v>7.2342557934404574</v>
      </c>
      <c r="Y771" s="314" t="str">
        <f t="shared" ca="1" si="341"/>
        <v/>
      </c>
      <c r="Z771" s="315" t="str">
        <f t="shared" ca="1" si="342"/>
        <v/>
      </c>
      <c r="AA771" s="316" t="str">
        <f t="shared" ca="1" si="343"/>
        <v/>
      </c>
      <c r="AC771" s="310" t="e">
        <f t="shared" ca="1" si="344"/>
        <v>#N/A</v>
      </c>
      <c r="AD771" s="323" t="e">
        <f t="shared" ca="1" si="345"/>
        <v>#N/A</v>
      </c>
      <c r="AE771" s="324">
        <f t="shared" ca="1" si="324"/>
        <v>-2.4173597498533179</v>
      </c>
      <c r="AG771" s="306">
        <f t="shared" ca="1" si="346"/>
        <v>6.3114622416277051</v>
      </c>
      <c r="AH771" s="304">
        <f t="shared" ca="1" si="347"/>
        <v>-3.4707461282248944</v>
      </c>
    </row>
    <row r="772" spans="1:34" x14ac:dyDescent="0.2">
      <c r="A772" s="347">
        <f t="shared" ca="1" si="325"/>
        <v>1E-4</v>
      </c>
      <c r="B772" s="304">
        <f t="shared" ca="1" si="326"/>
        <v>12.046799999999866</v>
      </c>
      <c r="D772" s="306">
        <f t="shared" ca="1" si="327"/>
        <v>-0.26106890517928016</v>
      </c>
      <c r="E772" s="307">
        <f t="shared" ca="1" si="328"/>
        <v>-6.3490001468912691</v>
      </c>
      <c r="F772" s="304">
        <f t="shared" ca="1" si="329"/>
        <v>6.3543654158756775</v>
      </c>
      <c r="G772" s="306">
        <f t="shared" ca="1" si="330"/>
        <v>3.9049935489151975</v>
      </c>
      <c r="H772" s="307">
        <f t="shared" ca="1" si="331"/>
        <v>-51.769620738635062</v>
      </c>
      <c r="I772" s="304">
        <f t="shared" ca="1" si="332"/>
        <v>51.916689089725118</v>
      </c>
      <c r="J772" s="306">
        <f t="shared" ca="1" si="333"/>
        <v>56.288824373840264</v>
      </c>
      <c r="K772" s="307">
        <f t="shared" ca="1" si="334"/>
        <v>-2.4225366801821808</v>
      </c>
      <c r="L772" s="304">
        <f t="shared" ref="L772:L835" ca="1" si="348">SQRT(pos_x^2+pos_z^2)</f>
        <v>56.340930355788963</v>
      </c>
      <c r="M772" s="306">
        <f t="shared" ca="1" si="335"/>
        <v>-1.4955086856783408</v>
      </c>
      <c r="N772" s="304">
        <f t="shared" ca="1" si="336"/>
        <v>-85.686335914525756</v>
      </c>
      <c r="P772" s="310">
        <f t="shared" ca="1" si="337"/>
        <v>23</v>
      </c>
      <c r="Q772" s="304">
        <f t="shared" ca="1" si="338"/>
        <v>0</v>
      </c>
      <c r="R772" s="306">
        <f t="shared" ca="1" si="339"/>
        <v>0</v>
      </c>
      <c r="S772" s="307">
        <f t="shared" ca="1" si="340"/>
        <v>2.0843000000000003</v>
      </c>
      <c r="T772" s="304">
        <f t="shared" ref="T772:T835" ca="1" si="349">m*g</f>
        <v>20.446983000000003</v>
      </c>
      <c r="U772" s="311">
        <f t="shared" ref="U772:U835" ca="1" si="350">IF(pos_xz&lt;L_rampe,Poids*COS(Beta),0)</f>
        <v>0</v>
      </c>
      <c r="V772" s="306">
        <f t="shared" ref="V772:V835" ca="1" si="351">Rho_moyen*(20000-Alt_rampe-pos_z)/(20000+Alt_rampe+pos_z)</f>
        <v>1.2252967966933666</v>
      </c>
      <c r="W772" s="304">
        <f t="shared" ref="W772:W835" ca="1" si="352">1/2*Rho*Sref*Cx*vit_xz^2</f>
        <v>7.2344354318173814</v>
      </c>
      <c r="Y772" s="314" t="str">
        <f t="shared" ca="1" si="341"/>
        <v/>
      </c>
      <c r="Z772" s="315" t="str">
        <f t="shared" ca="1" si="342"/>
        <v/>
      </c>
      <c r="AA772" s="316" t="str">
        <f t="shared" ca="1" si="343"/>
        <v/>
      </c>
      <c r="AC772" s="310" t="e">
        <f t="shared" ca="1" si="344"/>
        <v>#N/A</v>
      </c>
      <c r="AD772" s="323" t="e">
        <f t="shared" ca="1" si="345"/>
        <v>#N/A</v>
      </c>
      <c r="AE772" s="324">
        <f t="shared" ref="AE772:AE835" ca="1" si="353">IF(t&lt;T_para, pos_z, NA())</f>
        <v>-2.4225366801821808</v>
      </c>
      <c r="AG772" s="306">
        <f t="shared" ca="1" si="346"/>
        <v>6.3113771039926068</v>
      </c>
      <c r="AH772" s="304">
        <f t="shared" ca="1" si="347"/>
        <v>-3.470832314657418</v>
      </c>
    </row>
    <row r="773" spans="1:34" x14ac:dyDescent="0.2">
      <c r="A773" s="347">
        <f t="shared" ref="A773:A836" ca="1" si="354">IF(B772+0.01&lt;=T_ini+ROUNDUP(Temps_fin_propu,0), 0.01, IF(K772&gt;0, 0.1, 0.0001))</f>
        <v>1E-4</v>
      </c>
      <c r="B773" s="304">
        <f t="shared" ref="B773:B836" ca="1" si="355">B772+pas</f>
        <v>12.046899999999866</v>
      </c>
      <c r="D773" s="306">
        <f t="shared" ref="D773:D836" ca="1" si="356">IF(AND(L772&lt;L_rampe,Poussee&lt;Poids*SIN(M772)),0,(-W772+Poussee)/m*COS(M772)-U772/m*SIN(M772))</f>
        <v>-0.26107046872988826</v>
      </c>
      <c r="E773" s="307">
        <f t="shared" ref="E773:E836" ca="1" si="357">IF(AND(L772&lt;L_rampe,Poussee&lt;Poids*SIN(M772)),0,(-W772+Poussee)/m*SIN(M772)+U772/m*COS(M772)-Poids/m)</f>
        <v>-6.3489138335558595</v>
      </c>
      <c r="F773" s="304">
        <f t="shared" ref="F773:F836" ca="1" si="358">SQRT(acc_x^2+acc_z^2)</f>
        <v>6.3542792396588776</v>
      </c>
      <c r="G773" s="306">
        <f t="shared" ref="G773:G836" ca="1" si="359">G772+acc_x*pas</f>
        <v>3.9049674418683247</v>
      </c>
      <c r="H773" s="307">
        <f t="shared" ref="H773:H836" ca="1" si="360">H772+acc_z*pas</f>
        <v>-51.770255630018418</v>
      </c>
      <c r="I773" s="304">
        <f t="shared" ref="I773:I836" ca="1" si="361">SQRT(vit_x^2+vit_z^2)</f>
        <v>51.917320218974183</v>
      </c>
      <c r="J773" s="306">
        <f t="shared" ref="J773:J836" ca="1" si="362">J772+0.5*(vit_x+G772)*pas*(K772&gt;=0)</f>
        <v>56.288824373840264</v>
      </c>
      <c r="K773" s="307">
        <f t="shared" ref="K773:K836" ca="1" si="363">K772+0.5*(vit_z+H772)*pas</f>
        <v>-2.4277136740006133</v>
      </c>
      <c r="L773" s="304">
        <f t="shared" ca="1" si="348"/>
        <v>56.341153192599492</v>
      </c>
      <c r="M773" s="306">
        <f t="shared" ref="M773:M836" ca="1" si="364">IF(AND(L772&gt;L_rampe,G773&gt;0),ATAN2(G773,H773),$M$4)</f>
        <v>-1.495510106927014</v>
      </c>
      <c r="N773" s="304">
        <f t="shared" ref="N773:N836" ca="1" si="365">DEGREES(Beta)</f>
        <v>-85.686417346076368</v>
      </c>
      <c r="P773" s="310">
        <f t="shared" ref="P773:P836" ca="1" si="366">MATCH(t-pas/2-T_ini,CdP_t)</f>
        <v>23</v>
      </c>
      <c r="Q773" s="304">
        <f t="shared" ref="Q773:Q836" ca="1" si="367">(INDEX(CdP,2,i_P+1)-INDEX(CdP,2,i_P+0))/(INDEX(CdP,1,i_P+1)-INDEX(CdP,1,i_P+0))*(t-pas/2-T_ini-INDEX(CdP,1,i_P+0))+INDEX(CdP,2,i_P+0)</f>
        <v>0</v>
      </c>
      <c r="R773" s="306">
        <f t="shared" ref="R773:R836" ca="1" si="368">Poussee/(g*ISP)</f>
        <v>0</v>
      </c>
      <c r="S773" s="307">
        <f t="shared" ref="S773:S836" ca="1" si="369">S772-Débit*pas</f>
        <v>2.0843000000000003</v>
      </c>
      <c r="T773" s="304">
        <f t="shared" ca="1" si="349"/>
        <v>20.446983000000003</v>
      </c>
      <c r="U773" s="311">
        <f t="shared" ca="1" si="350"/>
        <v>0</v>
      </c>
      <c r="V773" s="306">
        <f t="shared" ca="1" si="351"/>
        <v>1.2252974310289342</v>
      </c>
      <c r="W773" s="304">
        <f t="shared" ca="1" si="352"/>
        <v>7.2346150701898253</v>
      </c>
      <c r="Y773" s="314" t="str">
        <f t="shared" ref="Y773:Y836" ca="1" si="370">IF(AND(pos_z&lt;=0,K772&gt;0),"Impact balistique","") &amp; IF(AND(H774&lt;0,vit_z&gt;=0),"Apogée","") &amp; IF(AND(Poussee=0,Q772&gt;0),"Fin de propulsion","") &amp; IF(AND(L774&gt;L_rampe,pos_xz&lt;=L_rampe),"Sortie de rampe","")</f>
        <v/>
      </c>
      <c r="Z773" s="315" t="str">
        <f t="shared" ref="Z773:Z836" ca="1" si="371">IF(ABS(t-T_para)&lt;pas/2,"Para","")</f>
        <v/>
      </c>
      <c r="AA773" s="316" t="str">
        <f t="shared" ref="AA773:AA836" ca="1" si="372">IF(ABS(t-T_satellite)&lt;pas/2,"Satellite","")</f>
        <v/>
      </c>
      <c r="AC773" s="310" t="e">
        <f t="shared" ref="AC773:AC836" ca="1" si="373">IF(ABS(t-ROUND(t,0))&lt;0.001,t,NA())</f>
        <v>#N/A</v>
      </c>
      <c r="AD773" s="323" t="e">
        <f t="shared" ref="AD773:AD836" ca="1" si="374">IF(ABS(t-ROUND(t,0))&lt;0.001,pos_x,NA())</f>
        <v>#N/A</v>
      </c>
      <c r="AE773" s="324">
        <f t="shared" ca="1" si="353"/>
        <v>-2.4277136740006133</v>
      </c>
      <c r="AG773" s="306">
        <f t="shared" ref="AG773:AG836" ca="1" si="375">IF(AND(L772&lt;L_rampe,Poussee&lt;Poids*SIN(M772)),0,(-W772+Poussee)/m-Poids*SIN(M772)/m)</f>
        <v>6.3112919663073379</v>
      </c>
      <c r="AH773" s="304">
        <f t="shared" ref="AH773:AH836" ca="1" si="376">IF(AND(L772&lt;L_rampe,Poussee&lt;Poids*SIN(M772)), g*SIN(M772), (-W772+Poussee)/m)</f>
        <v>-3.4709185010878381</v>
      </c>
    </row>
    <row r="774" spans="1:34" x14ac:dyDescent="0.2">
      <c r="A774" s="347">
        <f t="shared" ca="1" si="354"/>
        <v>1E-4</v>
      </c>
      <c r="B774" s="304">
        <f t="shared" ca="1" si="355"/>
        <v>12.046999999999866</v>
      </c>
      <c r="D774" s="306">
        <f t="shared" ca="1" si="356"/>
        <v>-0.26107203218800012</v>
      </c>
      <c r="E774" s="307">
        <f t="shared" ca="1" si="357"/>
        <v>-6.3488275202226596</v>
      </c>
      <c r="F774" s="304">
        <f t="shared" ca="1" si="358"/>
        <v>6.3541930634445931</v>
      </c>
      <c r="G774" s="306">
        <f t="shared" ca="1" si="359"/>
        <v>3.9049413346651058</v>
      </c>
      <c r="H774" s="307">
        <f t="shared" ca="1" si="360"/>
        <v>-51.770890512770443</v>
      </c>
      <c r="I774" s="304">
        <f t="shared" ca="1" si="361"/>
        <v>51.917951339709475</v>
      </c>
      <c r="J774" s="306">
        <f t="shared" ca="1" si="362"/>
        <v>56.288824373840264</v>
      </c>
      <c r="K774" s="307">
        <f t="shared" ca="1" si="363"/>
        <v>-2.4328907313077526</v>
      </c>
      <c r="L774" s="304">
        <f t="shared" ca="1" si="348"/>
        <v>56.341376506964373</v>
      </c>
      <c r="M774" s="306">
        <f t="shared" ca="1" si="364"/>
        <v>-1.4955115281316316</v>
      </c>
      <c r="N774" s="304">
        <f t="shared" ca="1" si="365"/>
        <v>-85.686498775102777</v>
      </c>
      <c r="P774" s="310">
        <f t="shared" ca="1" si="366"/>
        <v>23</v>
      </c>
      <c r="Q774" s="304">
        <f t="shared" ca="1" si="367"/>
        <v>0</v>
      </c>
      <c r="R774" s="306">
        <f t="shared" ca="1" si="368"/>
        <v>0</v>
      </c>
      <c r="S774" s="307">
        <f t="shared" ca="1" si="369"/>
        <v>2.0843000000000003</v>
      </c>
      <c r="T774" s="304">
        <f t="shared" ca="1" si="349"/>
        <v>20.446983000000003</v>
      </c>
      <c r="U774" s="311">
        <f t="shared" ca="1" si="350"/>
        <v>0</v>
      </c>
      <c r="V774" s="306">
        <f t="shared" ca="1" si="351"/>
        <v>1.2252980653726093</v>
      </c>
      <c r="W774" s="304">
        <f t="shared" ca="1" si="352"/>
        <v>7.2347947085577067</v>
      </c>
      <c r="Y774" s="314" t="str">
        <f t="shared" ca="1" si="370"/>
        <v/>
      </c>
      <c r="Z774" s="315" t="str">
        <f t="shared" ca="1" si="371"/>
        <v/>
      </c>
      <c r="AA774" s="316" t="str">
        <f t="shared" ca="1" si="372"/>
        <v/>
      </c>
      <c r="AC774" s="310" t="e">
        <f t="shared" ca="1" si="373"/>
        <v>#N/A</v>
      </c>
      <c r="AD774" s="323" t="e">
        <f t="shared" ca="1" si="374"/>
        <v>#N/A</v>
      </c>
      <c r="AE774" s="324">
        <f t="shared" ca="1" si="353"/>
        <v>-2.4328907313077526</v>
      </c>
      <c r="AG774" s="306">
        <f t="shared" ca="1" si="375"/>
        <v>6.3112068285719509</v>
      </c>
      <c r="AH774" s="304">
        <f t="shared" ca="1" si="376"/>
        <v>-3.4710046875161082</v>
      </c>
    </row>
    <row r="775" spans="1:34" x14ac:dyDescent="0.2">
      <c r="A775" s="347">
        <f t="shared" ca="1" si="354"/>
        <v>1E-4</v>
      </c>
      <c r="B775" s="304">
        <f t="shared" ca="1" si="355"/>
        <v>12.047099999999865</v>
      </c>
      <c r="D775" s="306">
        <f t="shared" ca="1" si="356"/>
        <v>-0.26107359555361737</v>
      </c>
      <c r="E775" s="307">
        <f t="shared" ca="1" si="357"/>
        <v>-6.3487412068917095</v>
      </c>
      <c r="F775" s="304">
        <f t="shared" ca="1" si="358"/>
        <v>6.3541068872328621</v>
      </c>
      <c r="G775" s="306">
        <f t="shared" ca="1" si="359"/>
        <v>3.9049152273055503</v>
      </c>
      <c r="H775" s="307">
        <f t="shared" ca="1" si="360"/>
        <v>-51.771525386891135</v>
      </c>
      <c r="I775" s="304">
        <f t="shared" ca="1" si="361"/>
        <v>51.918582451930988</v>
      </c>
      <c r="J775" s="306">
        <f t="shared" ca="1" si="362"/>
        <v>56.288824373840264</v>
      </c>
      <c r="K775" s="307">
        <f t="shared" ca="1" si="363"/>
        <v>-2.4380678521027357</v>
      </c>
      <c r="L775" s="304">
        <f t="shared" ca="1" si="348"/>
        <v>56.341600298895408</v>
      </c>
      <c r="M775" s="306">
        <f t="shared" ca="1" si="364"/>
        <v>-1.4955129492921959</v>
      </c>
      <c r="N775" s="304">
        <f t="shared" ca="1" si="365"/>
        <v>-85.686580201605125</v>
      </c>
      <c r="P775" s="310">
        <f t="shared" ca="1" si="366"/>
        <v>23</v>
      </c>
      <c r="Q775" s="304">
        <f t="shared" ca="1" si="367"/>
        <v>0</v>
      </c>
      <c r="R775" s="306">
        <f t="shared" ca="1" si="368"/>
        <v>0</v>
      </c>
      <c r="S775" s="307">
        <f t="shared" ca="1" si="369"/>
        <v>2.0843000000000003</v>
      </c>
      <c r="T775" s="304">
        <f t="shared" ca="1" si="349"/>
        <v>20.446983000000003</v>
      </c>
      <c r="U775" s="311">
        <f t="shared" ca="1" si="350"/>
        <v>0</v>
      </c>
      <c r="V775" s="306">
        <f t="shared" ca="1" si="351"/>
        <v>1.2252986997243922</v>
      </c>
      <c r="W775" s="304">
        <f t="shared" ca="1" si="352"/>
        <v>7.2349743469209455</v>
      </c>
      <c r="Y775" s="314" t="str">
        <f t="shared" ca="1" si="370"/>
        <v/>
      </c>
      <c r="Z775" s="315" t="str">
        <f t="shared" ca="1" si="371"/>
        <v/>
      </c>
      <c r="AA775" s="316" t="str">
        <f t="shared" ca="1" si="372"/>
        <v/>
      </c>
      <c r="AC775" s="310" t="e">
        <f t="shared" ca="1" si="373"/>
        <v>#N/A</v>
      </c>
      <c r="AD775" s="323" t="e">
        <f t="shared" ca="1" si="374"/>
        <v>#N/A</v>
      </c>
      <c r="AE775" s="324">
        <f t="shared" ca="1" si="353"/>
        <v>-2.4380678521027357</v>
      </c>
      <c r="AG775" s="306">
        <f t="shared" ca="1" si="375"/>
        <v>6.3111216907864875</v>
      </c>
      <c r="AH775" s="304">
        <f t="shared" ca="1" si="376"/>
        <v>-3.4710908739421895</v>
      </c>
    </row>
    <row r="776" spans="1:34" x14ac:dyDescent="0.2">
      <c r="A776" s="347">
        <f t="shared" ca="1" si="354"/>
        <v>1E-4</v>
      </c>
      <c r="B776" s="304">
        <f t="shared" ca="1" si="355"/>
        <v>12.047199999999865</v>
      </c>
      <c r="D776" s="306">
        <f t="shared" ca="1" si="356"/>
        <v>-0.26107515882673987</v>
      </c>
      <c r="E776" s="307">
        <f t="shared" ca="1" si="357"/>
        <v>-6.3486548935630474</v>
      </c>
      <c r="F776" s="304">
        <f t="shared" ca="1" si="358"/>
        <v>6.3540207110237246</v>
      </c>
      <c r="G776" s="306">
        <f t="shared" ca="1" si="359"/>
        <v>3.9048891197896678</v>
      </c>
      <c r="H776" s="307">
        <f t="shared" ca="1" si="360"/>
        <v>-51.772160252380488</v>
      </c>
      <c r="I776" s="304">
        <f t="shared" ca="1" si="361"/>
        <v>51.919213555638706</v>
      </c>
      <c r="J776" s="306">
        <f t="shared" ca="1" si="362"/>
        <v>56.288824373840264</v>
      </c>
      <c r="K776" s="307">
        <f t="shared" ca="1" si="363"/>
        <v>-2.4432450363846994</v>
      </c>
      <c r="L776" s="304">
        <f t="shared" ca="1" si="348"/>
        <v>56.341824568404355</v>
      </c>
      <c r="M776" s="306">
        <f t="shared" ca="1" si="364"/>
        <v>-1.4955143704087088</v>
      </c>
      <c r="N776" s="304">
        <f t="shared" ca="1" si="365"/>
        <v>-85.686661625583511</v>
      </c>
      <c r="P776" s="310">
        <f t="shared" ca="1" si="366"/>
        <v>23</v>
      </c>
      <c r="Q776" s="304">
        <f t="shared" ca="1" si="367"/>
        <v>0</v>
      </c>
      <c r="R776" s="306">
        <f t="shared" ca="1" si="368"/>
        <v>0</v>
      </c>
      <c r="S776" s="307">
        <f t="shared" ca="1" si="369"/>
        <v>2.0843000000000003</v>
      </c>
      <c r="T776" s="304">
        <f t="shared" ca="1" si="349"/>
        <v>20.446983000000003</v>
      </c>
      <c r="U776" s="311">
        <f t="shared" ca="1" si="350"/>
        <v>0</v>
      </c>
      <c r="V776" s="306">
        <f t="shared" ca="1" si="351"/>
        <v>1.225299334084283</v>
      </c>
      <c r="W776" s="304">
        <f t="shared" ca="1" si="352"/>
        <v>7.2351539852794513</v>
      </c>
      <c r="Y776" s="314" t="str">
        <f t="shared" ca="1" si="370"/>
        <v/>
      </c>
      <c r="Z776" s="315" t="str">
        <f t="shared" ca="1" si="371"/>
        <v/>
      </c>
      <c r="AA776" s="316" t="str">
        <f t="shared" ca="1" si="372"/>
        <v/>
      </c>
      <c r="AC776" s="310" t="e">
        <f t="shared" ca="1" si="373"/>
        <v>#N/A</v>
      </c>
      <c r="AD776" s="323" t="e">
        <f t="shared" ca="1" si="374"/>
        <v>#N/A</v>
      </c>
      <c r="AE776" s="324">
        <f t="shared" ca="1" si="353"/>
        <v>-2.4432450363846994</v>
      </c>
      <c r="AG776" s="306">
        <f t="shared" ca="1" si="375"/>
        <v>6.3110365529509895</v>
      </c>
      <c r="AH776" s="304">
        <f t="shared" ca="1" si="376"/>
        <v>-3.4711770603660437</v>
      </c>
    </row>
    <row r="777" spans="1:34" x14ac:dyDescent="0.2">
      <c r="A777" s="347">
        <f t="shared" ca="1" si="354"/>
        <v>1E-4</v>
      </c>
      <c r="B777" s="304">
        <f t="shared" ca="1" si="355"/>
        <v>12.047299999999865</v>
      </c>
      <c r="D777" s="306">
        <f t="shared" ca="1" si="356"/>
        <v>-0.26107672200736964</v>
      </c>
      <c r="E777" s="307">
        <f t="shared" ca="1" si="357"/>
        <v>-6.3485685802367167</v>
      </c>
      <c r="F777" s="304">
        <f t="shared" ca="1" si="358"/>
        <v>6.3539345348172231</v>
      </c>
      <c r="G777" s="306">
        <f t="shared" ca="1" si="359"/>
        <v>3.9048630121174672</v>
      </c>
      <c r="H777" s="307">
        <f t="shared" ca="1" si="360"/>
        <v>-51.772795109238508</v>
      </c>
      <c r="I777" s="304">
        <f t="shared" ca="1" si="361"/>
        <v>51.91984465083263</v>
      </c>
      <c r="J777" s="306">
        <f t="shared" ca="1" si="362"/>
        <v>56.288824373840264</v>
      </c>
      <c r="K777" s="307">
        <f t="shared" ca="1" si="363"/>
        <v>-2.4484222841527803</v>
      </c>
      <c r="L777" s="304">
        <f t="shared" ca="1" si="348"/>
        <v>56.342049315502983</v>
      </c>
      <c r="M777" s="306">
        <f t="shared" ca="1" si="364"/>
        <v>-1.4955157914811725</v>
      </c>
      <c r="N777" s="304">
        <f t="shared" ca="1" si="365"/>
        <v>-85.686743047038064</v>
      </c>
      <c r="P777" s="310">
        <f t="shared" ca="1" si="366"/>
        <v>23</v>
      </c>
      <c r="Q777" s="304">
        <f t="shared" ca="1" si="367"/>
        <v>0</v>
      </c>
      <c r="R777" s="306">
        <f t="shared" ca="1" si="368"/>
        <v>0</v>
      </c>
      <c r="S777" s="307">
        <f t="shared" ca="1" si="369"/>
        <v>2.0843000000000003</v>
      </c>
      <c r="T777" s="304">
        <f t="shared" ca="1" si="349"/>
        <v>20.446983000000003</v>
      </c>
      <c r="U777" s="311">
        <f t="shared" ca="1" si="350"/>
        <v>0</v>
      </c>
      <c r="V777" s="306">
        <f t="shared" ca="1" si="351"/>
        <v>1.225299968452281</v>
      </c>
      <c r="W777" s="304">
        <f t="shared" ca="1" si="352"/>
        <v>7.2353336236331387</v>
      </c>
      <c r="Y777" s="314" t="str">
        <f t="shared" ca="1" si="370"/>
        <v/>
      </c>
      <c r="Z777" s="315" t="str">
        <f t="shared" ca="1" si="371"/>
        <v/>
      </c>
      <c r="AA777" s="316" t="str">
        <f t="shared" ca="1" si="372"/>
        <v/>
      </c>
      <c r="AC777" s="310" t="e">
        <f t="shared" ca="1" si="373"/>
        <v>#N/A</v>
      </c>
      <c r="AD777" s="323" t="e">
        <f t="shared" ca="1" si="374"/>
        <v>#N/A</v>
      </c>
      <c r="AE777" s="324">
        <f t="shared" ca="1" si="353"/>
        <v>-2.4484222841527803</v>
      </c>
      <c r="AG777" s="306">
        <f t="shared" ca="1" si="375"/>
        <v>6.3109514150654995</v>
      </c>
      <c r="AH777" s="304">
        <f t="shared" ca="1" si="376"/>
        <v>-3.4712632467876268</v>
      </c>
    </row>
    <row r="778" spans="1:34" x14ac:dyDescent="0.2">
      <c r="A778" s="347">
        <f t="shared" ca="1" si="354"/>
        <v>1E-4</v>
      </c>
      <c r="B778" s="304">
        <f t="shared" ca="1" si="355"/>
        <v>12.047399999999865</v>
      </c>
      <c r="D778" s="306">
        <f t="shared" ca="1" si="356"/>
        <v>-0.26107828509550729</v>
      </c>
      <c r="E778" s="307">
        <f t="shared" ca="1" si="357"/>
        <v>-6.3484822669127583</v>
      </c>
      <c r="F778" s="304">
        <f t="shared" ca="1" si="358"/>
        <v>6.3538483586133978</v>
      </c>
      <c r="G778" s="306">
        <f t="shared" ca="1" si="359"/>
        <v>3.9048369042889575</v>
      </c>
      <c r="H778" s="307">
        <f t="shared" ca="1" si="360"/>
        <v>-51.773429957465197</v>
      </c>
      <c r="I778" s="304">
        <f t="shared" ca="1" si="361"/>
        <v>51.920475737512767</v>
      </c>
      <c r="J778" s="306">
        <f t="shared" ca="1" si="362"/>
        <v>56.288824373840264</v>
      </c>
      <c r="K778" s="307">
        <f t="shared" ca="1" si="363"/>
        <v>-2.4535995954061156</v>
      </c>
      <c r="L778" s="304">
        <f t="shared" ca="1" si="348"/>
        <v>56.342274540203036</v>
      </c>
      <c r="M778" s="306">
        <f t="shared" ca="1" si="364"/>
        <v>-1.495517212509589</v>
      </c>
      <c r="N778" s="304">
        <f t="shared" ca="1" si="365"/>
        <v>-85.686824465968897</v>
      </c>
      <c r="P778" s="310">
        <f t="shared" ca="1" si="366"/>
        <v>23</v>
      </c>
      <c r="Q778" s="304">
        <f t="shared" ca="1" si="367"/>
        <v>0</v>
      </c>
      <c r="R778" s="306">
        <f t="shared" ca="1" si="368"/>
        <v>0</v>
      </c>
      <c r="S778" s="307">
        <f t="shared" ca="1" si="369"/>
        <v>2.0843000000000003</v>
      </c>
      <c r="T778" s="304">
        <f t="shared" ca="1" si="349"/>
        <v>20.446983000000003</v>
      </c>
      <c r="U778" s="311">
        <f t="shared" ca="1" si="350"/>
        <v>0</v>
      </c>
      <c r="V778" s="306">
        <f t="shared" ca="1" si="351"/>
        <v>1.2253006028283864</v>
      </c>
      <c r="W778" s="304">
        <f t="shared" ca="1" si="352"/>
        <v>7.2355132619819278</v>
      </c>
      <c r="Y778" s="314" t="str">
        <f t="shared" ca="1" si="370"/>
        <v/>
      </c>
      <c r="Z778" s="315" t="str">
        <f t="shared" ca="1" si="371"/>
        <v/>
      </c>
      <c r="AA778" s="316" t="str">
        <f t="shared" ca="1" si="372"/>
        <v/>
      </c>
      <c r="AC778" s="310" t="e">
        <f t="shared" ca="1" si="373"/>
        <v>#N/A</v>
      </c>
      <c r="AD778" s="323" t="e">
        <f t="shared" ca="1" si="374"/>
        <v>#N/A</v>
      </c>
      <c r="AE778" s="324">
        <f t="shared" ca="1" si="353"/>
        <v>-2.4535995954061156</v>
      </c>
      <c r="AG778" s="306">
        <f t="shared" ca="1" si="375"/>
        <v>6.3108662771300708</v>
      </c>
      <c r="AH778" s="304">
        <f t="shared" ca="1" si="376"/>
        <v>-3.4713494332068979</v>
      </c>
    </row>
    <row r="779" spans="1:34" x14ac:dyDescent="0.2">
      <c r="A779" s="347">
        <f t="shared" ca="1" si="354"/>
        <v>1E-4</v>
      </c>
      <c r="B779" s="304">
        <f t="shared" ca="1" si="355"/>
        <v>12.047499999999864</v>
      </c>
      <c r="D779" s="306">
        <f t="shared" ca="1" si="356"/>
        <v>-0.26107984809115453</v>
      </c>
      <c r="E779" s="307">
        <f t="shared" ca="1" si="357"/>
        <v>-6.3483959535912104</v>
      </c>
      <c r="F779" s="304">
        <f t="shared" ca="1" si="358"/>
        <v>6.3537621824122876</v>
      </c>
      <c r="G779" s="306">
        <f t="shared" ca="1" si="359"/>
        <v>3.9048107963041483</v>
      </c>
      <c r="H779" s="307">
        <f t="shared" ca="1" si="360"/>
        <v>-51.774064797060554</v>
      </c>
      <c r="I779" s="304">
        <f t="shared" ca="1" si="361"/>
        <v>51.921106815679096</v>
      </c>
      <c r="J779" s="306">
        <f t="shared" ca="1" si="362"/>
        <v>56.288824373840264</v>
      </c>
      <c r="K779" s="307">
        <f t="shared" ca="1" si="363"/>
        <v>-2.458776970143842</v>
      </c>
      <c r="L779" s="304">
        <f t="shared" ca="1" si="348"/>
        <v>56.342500242516252</v>
      </c>
      <c r="M779" s="306">
        <f t="shared" ca="1" si="364"/>
        <v>-1.4955186334939607</v>
      </c>
      <c r="N779" s="304">
        <f t="shared" ca="1" si="365"/>
        <v>-85.686905882376152</v>
      </c>
      <c r="P779" s="310">
        <f t="shared" ca="1" si="366"/>
        <v>23</v>
      </c>
      <c r="Q779" s="304">
        <f t="shared" ca="1" si="367"/>
        <v>0</v>
      </c>
      <c r="R779" s="306">
        <f t="shared" ca="1" si="368"/>
        <v>0</v>
      </c>
      <c r="S779" s="307">
        <f t="shared" ca="1" si="369"/>
        <v>2.0843000000000003</v>
      </c>
      <c r="T779" s="304">
        <f t="shared" ca="1" si="349"/>
        <v>20.446983000000003</v>
      </c>
      <c r="U779" s="311">
        <f t="shared" ca="1" si="350"/>
        <v>0</v>
      </c>
      <c r="V779" s="306">
        <f t="shared" ca="1" si="351"/>
        <v>1.2253012372125986</v>
      </c>
      <c r="W779" s="304">
        <f t="shared" ca="1" si="352"/>
        <v>7.2356929003257218</v>
      </c>
      <c r="Y779" s="314" t="str">
        <f t="shared" ca="1" si="370"/>
        <v/>
      </c>
      <c r="Z779" s="315" t="str">
        <f t="shared" ca="1" si="371"/>
        <v/>
      </c>
      <c r="AA779" s="316" t="str">
        <f t="shared" ca="1" si="372"/>
        <v/>
      </c>
      <c r="AC779" s="310" t="e">
        <f t="shared" ca="1" si="373"/>
        <v>#N/A</v>
      </c>
      <c r="AD779" s="323" t="e">
        <f t="shared" ca="1" si="374"/>
        <v>#N/A</v>
      </c>
      <c r="AE779" s="324">
        <f t="shared" ca="1" si="353"/>
        <v>-2.458776970143842</v>
      </c>
      <c r="AG779" s="306">
        <f t="shared" ca="1" si="375"/>
        <v>6.3107811391447362</v>
      </c>
      <c r="AH779" s="304">
        <f t="shared" ca="1" si="376"/>
        <v>-3.4714356196238194</v>
      </c>
    </row>
    <row r="780" spans="1:34" x14ac:dyDescent="0.2">
      <c r="A780" s="347">
        <f t="shared" ca="1" si="354"/>
        <v>1E-4</v>
      </c>
      <c r="B780" s="304">
        <f t="shared" ca="1" si="355"/>
        <v>12.047599999999864</v>
      </c>
      <c r="D780" s="306">
        <f t="shared" ca="1" si="356"/>
        <v>-0.26108141099431065</v>
      </c>
      <c r="E780" s="307">
        <f t="shared" ca="1" si="357"/>
        <v>-6.3483096402721202</v>
      </c>
      <c r="F780" s="304">
        <f t="shared" ca="1" si="358"/>
        <v>6.3536760062139397</v>
      </c>
      <c r="G780" s="306">
        <f t="shared" ca="1" si="359"/>
        <v>3.904784688163049</v>
      </c>
      <c r="H780" s="307">
        <f t="shared" ca="1" si="360"/>
        <v>-51.774699628024578</v>
      </c>
      <c r="I780" s="304">
        <f t="shared" ca="1" si="361"/>
        <v>51.921737885331623</v>
      </c>
      <c r="J780" s="306">
        <f t="shared" ca="1" si="362"/>
        <v>56.288824373840264</v>
      </c>
      <c r="K780" s="307">
        <f t="shared" ca="1" si="363"/>
        <v>-2.4639544083650962</v>
      </c>
      <c r="L780" s="304">
        <f t="shared" ca="1" si="348"/>
        <v>56.342726422454348</v>
      </c>
      <c r="M780" s="306">
        <f t="shared" ca="1" si="364"/>
        <v>-1.4955200544342897</v>
      </c>
      <c r="N780" s="304">
        <f t="shared" ca="1" si="365"/>
        <v>-85.686987296259943</v>
      </c>
      <c r="P780" s="310">
        <f t="shared" ca="1" si="366"/>
        <v>23</v>
      </c>
      <c r="Q780" s="304">
        <f t="shared" ca="1" si="367"/>
        <v>0</v>
      </c>
      <c r="R780" s="306">
        <f t="shared" ca="1" si="368"/>
        <v>0</v>
      </c>
      <c r="S780" s="307">
        <f t="shared" ca="1" si="369"/>
        <v>2.0843000000000003</v>
      </c>
      <c r="T780" s="304">
        <f t="shared" ca="1" si="349"/>
        <v>20.446983000000003</v>
      </c>
      <c r="U780" s="311">
        <f t="shared" ca="1" si="350"/>
        <v>0</v>
      </c>
      <c r="V780" s="306">
        <f t="shared" ca="1" si="351"/>
        <v>1.2253018716049184</v>
      </c>
      <c r="W780" s="304">
        <f t="shared" ca="1" si="352"/>
        <v>7.2358725386644496</v>
      </c>
      <c r="Y780" s="314" t="str">
        <f t="shared" ca="1" si="370"/>
        <v/>
      </c>
      <c r="Z780" s="315" t="str">
        <f t="shared" ca="1" si="371"/>
        <v/>
      </c>
      <c r="AA780" s="316" t="str">
        <f t="shared" ca="1" si="372"/>
        <v/>
      </c>
      <c r="AC780" s="310" t="e">
        <f t="shared" ca="1" si="373"/>
        <v>#N/A</v>
      </c>
      <c r="AD780" s="323" t="e">
        <f t="shared" ca="1" si="374"/>
        <v>#N/A</v>
      </c>
      <c r="AE780" s="324">
        <f t="shared" ca="1" si="353"/>
        <v>-2.4639544083650962</v>
      </c>
      <c r="AG780" s="306">
        <f t="shared" ca="1" si="375"/>
        <v>6.3106960011095516</v>
      </c>
      <c r="AH780" s="304">
        <f t="shared" ca="1" si="376"/>
        <v>-3.4715218060383441</v>
      </c>
    </row>
    <row r="781" spans="1:34" x14ac:dyDescent="0.2">
      <c r="A781" s="347">
        <f t="shared" ca="1" si="354"/>
        <v>1E-4</v>
      </c>
      <c r="B781" s="304">
        <f t="shared" ca="1" si="355"/>
        <v>12.047699999999864</v>
      </c>
      <c r="D781" s="306">
        <f t="shared" ca="1" si="356"/>
        <v>-0.26108297380497758</v>
      </c>
      <c r="E781" s="307">
        <f t="shared" ca="1" si="357"/>
        <v>-6.3482233269555195</v>
      </c>
      <c r="F781" s="304">
        <f t="shared" ca="1" si="358"/>
        <v>6.3535898300183851</v>
      </c>
      <c r="G781" s="306">
        <f t="shared" ca="1" si="359"/>
        <v>3.9047585798656685</v>
      </c>
      <c r="H781" s="307">
        <f t="shared" ca="1" si="360"/>
        <v>-51.775334450357271</v>
      </c>
      <c r="I781" s="304">
        <f t="shared" ca="1" si="361"/>
        <v>51.922368946470336</v>
      </c>
      <c r="J781" s="306">
        <f t="shared" ca="1" si="362"/>
        <v>56.288824373840264</v>
      </c>
      <c r="K781" s="307">
        <f t="shared" ca="1" si="363"/>
        <v>-2.4691319100690152</v>
      </c>
      <c r="L781" s="304">
        <f t="shared" ca="1" si="348"/>
        <v>56.342953080029048</v>
      </c>
      <c r="M781" s="306">
        <f t="shared" ca="1" si="364"/>
        <v>-1.4955214753305781</v>
      </c>
      <c r="N781" s="304">
        <f t="shared" ca="1" si="365"/>
        <v>-85.687068707620384</v>
      </c>
      <c r="P781" s="310">
        <f t="shared" ca="1" si="366"/>
        <v>23</v>
      </c>
      <c r="Q781" s="304">
        <f t="shared" ca="1" si="367"/>
        <v>0</v>
      </c>
      <c r="R781" s="306">
        <f t="shared" ca="1" si="368"/>
        <v>0</v>
      </c>
      <c r="S781" s="307">
        <f t="shared" ca="1" si="369"/>
        <v>2.0843000000000003</v>
      </c>
      <c r="T781" s="304">
        <f t="shared" ca="1" si="349"/>
        <v>20.446983000000003</v>
      </c>
      <c r="U781" s="311">
        <f t="shared" ca="1" si="350"/>
        <v>0</v>
      </c>
      <c r="V781" s="306">
        <f t="shared" ca="1" si="351"/>
        <v>1.2253025060053448</v>
      </c>
      <c r="W781" s="304">
        <f t="shared" ca="1" si="352"/>
        <v>7.2360521769980153</v>
      </c>
      <c r="Y781" s="314" t="str">
        <f t="shared" ca="1" si="370"/>
        <v/>
      </c>
      <c r="Z781" s="315" t="str">
        <f t="shared" ca="1" si="371"/>
        <v/>
      </c>
      <c r="AA781" s="316" t="str">
        <f t="shared" ca="1" si="372"/>
        <v/>
      </c>
      <c r="AC781" s="310" t="e">
        <f t="shared" ca="1" si="373"/>
        <v>#N/A</v>
      </c>
      <c r="AD781" s="323" t="e">
        <f t="shared" ca="1" si="374"/>
        <v>#N/A</v>
      </c>
      <c r="AE781" s="324">
        <f t="shared" ca="1" si="353"/>
        <v>-2.4691319100690152</v>
      </c>
      <c r="AG781" s="306">
        <f t="shared" ca="1" si="375"/>
        <v>6.3106108630245519</v>
      </c>
      <c r="AH781" s="304">
        <f t="shared" ca="1" si="376"/>
        <v>-3.4716079924504384</v>
      </c>
    </row>
    <row r="782" spans="1:34" x14ac:dyDescent="0.2">
      <c r="A782" s="347">
        <f t="shared" ca="1" si="354"/>
        <v>1E-4</v>
      </c>
      <c r="B782" s="304">
        <f t="shared" ca="1" si="355"/>
        <v>12.047799999999864</v>
      </c>
      <c r="D782" s="306">
        <f t="shared" ca="1" si="356"/>
        <v>-0.26108453652315566</v>
      </c>
      <c r="E782" s="307">
        <f t="shared" ca="1" si="357"/>
        <v>-6.3481370136414572</v>
      </c>
      <c r="F782" s="304">
        <f t="shared" ca="1" si="358"/>
        <v>6.3535036538256735</v>
      </c>
      <c r="G782" s="306">
        <f t="shared" ca="1" si="359"/>
        <v>3.9047324714120162</v>
      </c>
      <c r="H782" s="307">
        <f t="shared" ca="1" si="360"/>
        <v>-51.775969264058638</v>
      </c>
      <c r="I782" s="304">
        <f t="shared" ca="1" si="361"/>
        <v>51.922999999095239</v>
      </c>
      <c r="J782" s="306">
        <f t="shared" ca="1" si="362"/>
        <v>56.288824373840264</v>
      </c>
      <c r="K782" s="307">
        <f t="shared" ca="1" si="363"/>
        <v>-2.4743094752547359</v>
      </c>
      <c r="L782" s="304">
        <f t="shared" ca="1" si="348"/>
        <v>56.343180215252048</v>
      </c>
      <c r="M782" s="306">
        <f t="shared" ca="1" si="364"/>
        <v>-1.495522896182828</v>
      </c>
      <c r="N782" s="304">
        <f t="shared" ca="1" si="365"/>
        <v>-85.687150116457616</v>
      </c>
      <c r="P782" s="310">
        <f t="shared" ca="1" si="366"/>
        <v>23</v>
      </c>
      <c r="Q782" s="304">
        <f t="shared" ca="1" si="367"/>
        <v>0</v>
      </c>
      <c r="R782" s="306">
        <f t="shared" ca="1" si="368"/>
        <v>0</v>
      </c>
      <c r="S782" s="307">
        <f t="shared" ca="1" si="369"/>
        <v>2.0843000000000003</v>
      </c>
      <c r="T782" s="304">
        <f t="shared" ca="1" si="349"/>
        <v>20.446983000000003</v>
      </c>
      <c r="U782" s="311">
        <f t="shared" ca="1" si="350"/>
        <v>0</v>
      </c>
      <c r="V782" s="306">
        <f t="shared" ca="1" si="351"/>
        <v>1.2253031404138788</v>
      </c>
      <c r="W782" s="304">
        <f t="shared" ca="1" si="352"/>
        <v>7.2362318153263416</v>
      </c>
      <c r="Y782" s="314" t="str">
        <f t="shared" ca="1" si="370"/>
        <v/>
      </c>
      <c r="Z782" s="315" t="str">
        <f t="shared" ca="1" si="371"/>
        <v/>
      </c>
      <c r="AA782" s="316" t="str">
        <f t="shared" ca="1" si="372"/>
        <v/>
      </c>
      <c r="AC782" s="310" t="e">
        <f t="shared" ca="1" si="373"/>
        <v>#N/A</v>
      </c>
      <c r="AD782" s="323" t="e">
        <f t="shared" ca="1" si="374"/>
        <v>#N/A</v>
      </c>
      <c r="AE782" s="324">
        <f t="shared" ca="1" si="353"/>
        <v>-2.4743094752547359</v>
      </c>
      <c r="AG782" s="306">
        <f t="shared" ca="1" si="375"/>
        <v>6.3105257248897866</v>
      </c>
      <c r="AH782" s="304">
        <f t="shared" ca="1" si="376"/>
        <v>-3.4716941788600559</v>
      </c>
    </row>
    <row r="783" spans="1:34" x14ac:dyDescent="0.2">
      <c r="A783" s="347">
        <f t="shared" ca="1" si="354"/>
        <v>1E-4</v>
      </c>
      <c r="B783" s="304">
        <f t="shared" ca="1" si="355"/>
        <v>12.047899999999863</v>
      </c>
      <c r="D783" s="306">
        <f t="shared" ca="1" si="356"/>
        <v>-0.2610860991488464</v>
      </c>
      <c r="E783" s="307">
        <f t="shared" ca="1" si="357"/>
        <v>-6.3480507003299707</v>
      </c>
      <c r="F783" s="304">
        <f t="shared" ca="1" si="358"/>
        <v>6.3534174776358423</v>
      </c>
      <c r="G783" s="306">
        <f t="shared" ca="1" si="359"/>
        <v>3.9047063628021013</v>
      </c>
      <c r="H783" s="307">
        <f t="shared" ca="1" si="360"/>
        <v>-51.776604069128673</v>
      </c>
      <c r="I783" s="304">
        <f t="shared" ca="1" si="361"/>
        <v>51.923631043206321</v>
      </c>
      <c r="J783" s="306">
        <f t="shared" ca="1" si="362"/>
        <v>56.288824373840264</v>
      </c>
      <c r="K783" s="307">
        <f t="shared" ca="1" si="363"/>
        <v>-2.4794871039213953</v>
      </c>
      <c r="L783" s="304">
        <f t="shared" ca="1" si="348"/>
        <v>56.343407828135021</v>
      </c>
      <c r="M783" s="306">
        <f t="shared" ca="1" si="364"/>
        <v>-1.4955243169910413</v>
      </c>
      <c r="N783" s="304">
        <f t="shared" ca="1" si="365"/>
        <v>-85.687231522771739</v>
      </c>
      <c r="P783" s="310">
        <f t="shared" ca="1" si="366"/>
        <v>23</v>
      </c>
      <c r="Q783" s="304">
        <f t="shared" ca="1" si="367"/>
        <v>0</v>
      </c>
      <c r="R783" s="306">
        <f t="shared" ca="1" si="368"/>
        <v>0</v>
      </c>
      <c r="S783" s="307">
        <f t="shared" ca="1" si="369"/>
        <v>2.0843000000000003</v>
      </c>
      <c r="T783" s="304">
        <f t="shared" ca="1" si="349"/>
        <v>20.446983000000003</v>
      </c>
      <c r="U783" s="311">
        <f t="shared" ca="1" si="350"/>
        <v>0</v>
      </c>
      <c r="V783" s="306">
        <f t="shared" ca="1" si="351"/>
        <v>1.2253037748305193</v>
      </c>
      <c r="W783" s="304">
        <f t="shared" ca="1" si="352"/>
        <v>7.236411453649338</v>
      </c>
      <c r="Y783" s="314" t="str">
        <f t="shared" ca="1" si="370"/>
        <v/>
      </c>
      <c r="Z783" s="315" t="str">
        <f t="shared" ca="1" si="371"/>
        <v/>
      </c>
      <c r="AA783" s="316" t="str">
        <f t="shared" ca="1" si="372"/>
        <v/>
      </c>
      <c r="AC783" s="310" t="e">
        <f t="shared" ca="1" si="373"/>
        <v>#N/A</v>
      </c>
      <c r="AD783" s="323" t="e">
        <f t="shared" ca="1" si="374"/>
        <v>#N/A</v>
      </c>
      <c r="AE783" s="324">
        <f t="shared" ca="1" si="353"/>
        <v>-2.4794871039213953</v>
      </c>
      <c r="AG783" s="306">
        <f t="shared" ca="1" si="375"/>
        <v>6.3104405867052957</v>
      </c>
      <c r="AH783" s="304">
        <f t="shared" ca="1" si="376"/>
        <v>-3.4717803652671595</v>
      </c>
    </row>
    <row r="784" spans="1:34" x14ac:dyDescent="0.2">
      <c r="A784" s="347">
        <f t="shared" ca="1" si="354"/>
        <v>1E-4</v>
      </c>
      <c r="B784" s="304">
        <f t="shared" ca="1" si="355"/>
        <v>12.047999999999863</v>
      </c>
      <c r="D784" s="306">
        <f t="shared" ca="1" si="356"/>
        <v>-0.26108766168205116</v>
      </c>
      <c r="E784" s="307">
        <f t="shared" ca="1" si="357"/>
        <v>-6.3479643870211016</v>
      </c>
      <c r="F784" s="304">
        <f t="shared" ca="1" si="358"/>
        <v>6.3533313014489332</v>
      </c>
      <c r="G784" s="306">
        <f t="shared" ca="1" si="359"/>
        <v>3.9046802540359331</v>
      </c>
      <c r="H784" s="307">
        <f t="shared" ca="1" si="360"/>
        <v>-51.777238865567377</v>
      </c>
      <c r="I784" s="304">
        <f t="shared" ca="1" si="361"/>
        <v>51.924262078803579</v>
      </c>
      <c r="J784" s="306">
        <f t="shared" ca="1" si="362"/>
        <v>56.288824373840264</v>
      </c>
      <c r="K784" s="307">
        <f t="shared" ca="1" si="363"/>
        <v>-2.4846647960681301</v>
      </c>
      <c r="L784" s="304">
        <f t="shared" ca="1" si="348"/>
        <v>56.34363591868965</v>
      </c>
      <c r="M784" s="306">
        <f t="shared" ca="1" si="364"/>
        <v>-1.4955257377552205</v>
      </c>
      <c r="N784" s="304">
        <f t="shared" ca="1" si="365"/>
        <v>-85.687312926562882</v>
      </c>
      <c r="P784" s="310">
        <f t="shared" ca="1" si="366"/>
        <v>23</v>
      </c>
      <c r="Q784" s="304">
        <f t="shared" ca="1" si="367"/>
        <v>0</v>
      </c>
      <c r="R784" s="306">
        <f t="shared" ca="1" si="368"/>
        <v>0</v>
      </c>
      <c r="S784" s="307">
        <f t="shared" ca="1" si="369"/>
        <v>2.0843000000000003</v>
      </c>
      <c r="T784" s="304">
        <f t="shared" ca="1" si="349"/>
        <v>20.446983000000003</v>
      </c>
      <c r="U784" s="311">
        <f t="shared" ca="1" si="350"/>
        <v>0</v>
      </c>
      <c r="V784" s="306">
        <f t="shared" ca="1" si="351"/>
        <v>1.2253044092552667</v>
      </c>
      <c r="W784" s="304">
        <f t="shared" ca="1" si="352"/>
        <v>7.2365910919669219</v>
      </c>
      <c r="Y784" s="314" t="str">
        <f t="shared" ca="1" si="370"/>
        <v/>
      </c>
      <c r="Z784" s="315" t="str">
        <f t="shared" ca="1" si="371"/>
        <v/>
      </c>
      <c r="AA784" s="316" t="str">
        <f t="shared" ca="1" si="372"/>
        <v/>
      </c>
      <c r="AC784" s="310" t="e">
        <f t="shared" ca="1" si="373"/>
        <v>#N/A</v>
      </c>
      <c r="AD784" s="323" t="e">
        <f t="shared" ca="1" si="374"/>
        <v>#N/A</v>
      </c>
      <c r="AE784" s="324">
        <f t="shared" ca="1" si="353"/>
        <v>-2.4846647960681301</v>
      </c>
      <c r="AG784" s="306">
        <f t="shared" ca="1" si="375"/>
        <v>6.3103554484711264</v>
      </c>
      <c r="AH784" s="304">
        <f t="shared" ca="1" si="376"/>
        <v>-3.471866551671706</v>
      </c>
    </row>
    <row r="785" spans="1:34" x14ac:dyDescent="0.2">
      <c r="A785" s="347">
        <f t="shared" ca="1" si="354"/>
        <v>1E-4</v>
      </c>
      <c r="B785" s="304">
        <f t="shared" ca="1" si="355"/>
        <v>12.048099999999863</v>
      </c>
      <c r="D785" s="306">
        <f t="shared" ca="1" si="356"/>
        <v>-0.26108922412276986</v>
      </c>
      <c r="E785" s="307">
        <f t="shared" ca="1" si="357"/>
        <v>-6.3478780737148899</v>
      </c>
      <c r="F785" s="304">
        <f t="shared" ca="1" si="358"/>
        <v>6.3532451252649853</v>
      </c>
      <c r="G785" s="306">
        <f t="shared" ca="1" si="359"/>
        <v>3.904654145113521</v>
      </c>
      <c r="H785" s="307">
        <f t="shared" ca="1" si="360"/>
        <v>-51.777873653374748</v>
      </c>
      <c r="I785" s="304">
        <f t="shared" ca="1" si="361"/>
        <v>51.924893105887001</v>
      </c>
      <c r="J785" s="306">
        <f t="shared" ca="1" si="362"/>
        <v>56.288824373840264</v>
      </c>
      <c r="K785" s="307">
        <f t="shared" ca="1" si="363"/>
        <v>-2.489842551694077</v>
      </c>
      <c r="L785" s="304">
        <f t="shared" ca="1" si="348"/>
        <v>56.343864486927593</v>
      </c>
      <c r="M785" s="306">
        <f t="shared" ca="1" si="364"/>
        <v>-1.4955271584753673</v>
      </c>
      <c r="N785" s="304">
        <f t="shared" ca="1" si="365"/>
        <v>-85.687394327831171</v>
      </c>
      <c r="P785" s="310">
        <f t="shared" ca="1" si="366"/>
        <v>23</v>
      </c>
      <c r="Q785" s="304">
        <f t="shared" ca="1" si="367"/>
        <v>0</v>
      </c>
      <c r="R785" s="306">
        <f t="shared" ca="1" si="368"/>
        <v>0</v>
      </c>
      <c r="S785" s="307">
        <f t="shared" ca="1" si="369"/>
        <v>2.0843000000000003</v>
      </c>
      <c r="T785" s="304">
        <f t="shared" ca="1" si="349"/>
        <v>20.446983000000003</v>
      </c>
      <c r="U785" s="311">
        <f t="shared" ca="1" si="350"/>
        <v>0</v>
      </c>
      <c r="V785" s="306">
        <f t="shared" ca="1" si="351"/>
        <v>1.2253050436881203</v>
      </c>
      <c r="W785" s="304">
        <f t="shared" ca="1" si="352"/>
        <v>7.2367707302790008</v>
      </c>
      <c r="Y785" s="314" t="str">
        <f t="shared" ca="1" si="370"/>
        <v/>
      </c>
      <c r="Z785" s="315" t="str">
        <f t="shared" ca="1" si="371"/>
        <v/>
      </c>
      <c r="AA785" s="316" t="str">
        <f t="shared" ca="1" si="372"/>
        <v/>
      </c>
      <c r="AC785" s="310" t="e">
        <f t="shared" ca="1" si="373"/>
        <v>#N/A</v>
      </c>
      <c r="AD785" s="323" t="e">
        <f t="shared" ca="1" si="374"/>
        <v>#N/A</v>
      </c>
      <c r="AE785" s="324">
        <f t="shared" ca="1" si="353"/>
        <v>-2.489842551694077</v>
      </c>
      <c r="AG785" s="306">
        <f t="shared" ca="1" si="375"/>
        <v>6.3102703101873256</v>
      </c>
      <c r="AH785" s="304">
        <f t="shared" ca="1" si="376"/>
        <v>-3.4719527380736559</v>
      </c>
    </row>
    <row r="786" spans="1:34" x14ac:dyDescent="0.2">
      <c r="A786" s="347">
        <f t="shared" ca="1" si="354"/>
        <v>1E-4</v>
      </c>
      <c r="B786" s="304">
        <f t="shared" ca="1" si="355"/>
        <v>12.048199999999863</v>
      </c>
      <c r="D786" s="306">
        <f t="shared" ca="1" si="356"/>
        <v>-0.26109078647100431</v>
      </c>
      <c r="E786" s="307">
        <f t="shared" ca="1" si="357"/>
        <v>-6.3477917604113809</v>
      </c>
      <c r="F786" s="304">
        <f t="shared" ca="1" si="358"/>
        <v>6.353158949084043</v>
      </c>
      <c r="G786" s="306">
        <f t="shared" ca="1" si="359"/>
        <v>3.904628036034874</v>
      </c>
      <c r="H786" s="307">
        <f t="shared" ca="1" si="360"/>
        <v>-51.778508432550787</v>
      </c>
      <c r="I786" s="304">
        <f t="shared" ca="1" si="361"/>
        <v>51.92552412445658</v>
      </c>
      <c r="J786" s="306">
        <f t="shared" ca="1" si="362"/>
        <v>56.288824373840264</v>
      </c>
      <c r="K786" s="307">
        <f t="shared" ca="1" si="363"/>
        <v>-2.4950203707983731</v>
      </c>
      <c r="L786" s="304">
        <f t="shared" ca="1" si="348"/>
        <v>56.344093532860505</v>
      </c>
      <c r="M786" s="306">
        <f t="shared" ca="1" si="364"/>
        <v>-1.4955285791514843</v>
      </c>
      <c r="N786" s="304">
        <f t="shared" ca="1" si="365"/>
        <v>-85.687475726576736</v>
      </c>
      <c r="P786" s="310">
        <f t="shared" ca="1" si="366"/>
        <v>23</v>
      </c>
      <c r="Q786" s="304">
        <f t="shared" ca="1" si="367"/>
        <v>0</v>
      </c>
      <c r="R786" s="306">
        <f t="shared" ca="1" si="368"/>
        <v>0</v>
      </c>
      <c r="S786" s="307">
        <f t="shared" ca="1" si="369"/>
        <v>2.0843000000000003</v>
      </c>
      <c r="T786" s="304">
        <f t="shared" ca="1" si="349"/>
        <v>20.446983000000003</v>
      </c>
      <c r="U786" s="311">
        <f t="shared" ca="1" si="350"/>
        <v>0</v>
      </c>
      <c r="V786" s="306">
        <f t="shared" ca="1" si="351"/>
        <v>1.225305678129081</v>
      </c>
      <c r="W786" s="304">
        <f t="shared" ca="1" si="352"/>
        <v>7.2369503685854957</v>
      </c>
      <c r="Y786" s="314" t="str">
        <f t="shared" ca="1" si="370"/>
        <v/>
      </c>
      <c r="Z786" s="315" t="str">
        <f t="shared" ca="1" si="371"/>
        <v/>
      </c>
      <c r="AA786" s="316" t="str">
        <f t="shared" ca="1" si="372"/>
        <v/>
      </c>
      <c r="AC786" s="310" t="e">
        <f t="shared" ca="1" si="373"/>
        <v>#N/A</v>
      </c>
      <c r="AD786" s="323" t="e">
        <f t="shared" ca="1" si="374"/>
        <v>#N/A</v>
      </c>
      <c r="AE786" s="324">
        <f t="shared" ca="1" si="353"/>
        <v>-2.4950203707983731</v>
      </c>
      <c r="AG786" s="306">
        <f t="shared" ca="1" si="375"/>
        <v>6.3101851718539352</v>
      </c>
      <c r="AH786" s="304">
        <f t="shared" ca="1" si="376"/>
        <v>-3.4720389244729644</v>
      </c>
    </row>
    <row r="787" spans="1:34" x14ac:dyDescent="0.2">
      <c r="A787" s="347">
        <f t="shared" ca="1" si="354"/>
        <v>1E-4</v>
      </c>
      <c r="B787" s="304">
        <f t="shared" ca="1" si="355"/>
        <v>12.048299999999863</v>
      </c>
      <c r="D787" s="306">
        <f t="shared" ca="1" si="356"/>
        <v>-0.26109234872675463</v>
      </c>
      <c r="E787" s="307">
        <f t="shared" ca="1" si="357"/>
        <v>-6.3477054471106111</v>
      </c>
      <c r="F787" s="304">
        <f t="shared" ca="1" si="358"/>
        <v>6.3530727729061454</v>
      </c>
      <c r="G787" s="306">
        <f t="shared" ca="1" si="359"/>
        <v>3.9046019268000012</v>
      </c>
      <c r="H787" s="307">
        <f t="shared" ca="1" si="360"/>
        <v>-51.779143203095501</v>
      </c>
      <c r="I787" s="304">
        <f t="shared" ca="1" si="361"/>
        <v>51.926155134512328</v>
      </c>
      <c r="J787" s="306">
        <f t="shared" ca="1" si="362"/>
        <v>56.288824373840264</v>
      </c>
      <c r="K787" s="307">
        <f t="shared" ca="1" si="363"/>
        <v>-2.5001982533801557</v>
      </c>
      <c r="L787" s="304">
        <f t="shared" ca="1" si="348"/>
        <v>56.344323056500016</v>
      </c>
      <c r="M787" s="306">
        <f t="shared" ca="1" si="364"/>
        <v>-1.4955299997835736</v>
      </c>
      <c r="N787" s="304">
        <f t="shared" ca="1" si="365"/>
        <v>-85.687557122799689</v>
      </c>
      <c r="P787" s="310">
        <f t="shared" ca="1" si="366"/>
        <v>23</v>
      </c>
      <c r="Q787" s="304">
        <f t="shared" ca="1" si="367"/>
        <v>0</v>
      </c>
      <c r="R787" s="306">
        <f t="shared" ca="1" si="368"/>
        <v>0</v>
      </c>
      <c r="S787" s="307">
        <f t="shared" ca="1" si="369"/>
        <v>2.0843000000000003</v>
      </c>
      <c r="T787" s="304">
        <f t="shared" ca="1" si="349"/>
        <v>20.446983000000003</v>
      </c>
      <c r="U787" s="311">
        <f t="shared" ca="1" si="350"/>
        <v>0</v>
      </c>
      <c r="V787" s="306">
        <f t="shared" ca="1" si="351"/>
        <v>1.2253063125781476</v>
      </c>
      <c r="W787" s="304">
        <f t="shared" ca="1" si="352"/>
        <v>7.2371300068863196</v>
      </c>
      <c r="Y787" s="314" t="str">
        <f t="shared" ca="1" si="370"/>
        <v/>
      </c>
      <c r="Z787" s="315" t="str">
        <f t="shared" ca="1" si="371"/>
        <v/>
      </c>
      <c r="AA787" s="316" t="str">
        <f t="shared" ca="1" si="372"/>
        <v/>
      </c>
      <c r="AC787" s="310" t="e">
        <f t="shared" ca="1" si="373"/>
        <v>#N/A</v>
      </c>
      <c r="AD787" s="323" t="e">
        <f t="shared" ca="1" si="374"/>
        <v>#N/A</v>
      </c>
      <c r="AE787" s="324">
        <f t="shared" ca="1" si="353"/>
        <v>-2.5001982533801557</v>
      </c>
      <c r="AG787" s="306">
        <f t="shared" ca="1" si="375"/>
        <v>6.3101000334709969</v>
      </c>
      <c r="AH787" s="304">
        <f t="shared" ca="1" si="376"/>
        <v>-3.4721251108695941</v>
      </c>
    </row>
    <row r="788" spans="1:34" x14ac:dyDescent="0.2">
      <c r="A788" s="347">
        <f t="shared" ca="1" si="354"/>
        <v>1E-4</v>
      </c>
      <c r="B788" s="304">
        <f t="shared" ca="1" si="355"/>
        <v>12.048399999999862</v>
      </c>
      <c r="D788" s="306">
        <f t="shared" ca="1" si="356"/>
        <v>-0.26109391089002143</v>
      </c>
      <c r="E788" s="307">
        <f t="shared" ca="1" si="357"/>
        <v>-6.3476191338126231</v>
      </c>
      <c r="F788" s="304">
        <f t="shared" ca="1" si="358"/>
        <v>6.3529865967313324</v>
      </c>
      <c r="G788" s="306">
        <f t="shared" ca="1" si="359"/>
        <v>3.904575817408912</v>
      </c>
      <c r="H788" s="307">
        <f t="shared" ca="1" si="360"/>
        <v>-51.779777965008883</v>
      </c>
      <c r="I788" s="304">
        <f t="shared" ca="1" si="361"/>
        <v>51.926786136054226</v>
      </c>
      <c r="J788" s="306">
        <f t="shared" ca="1" si="362"/>
        <v>56.288824373840264</v>
      </c>
      <c r="K788" s="307">
        <f t="shared" ca="1" si="363"/>
        <v>-2.5053761994385608</v>
      </c>
      <c r="L788" s="304">
        <f t="shared" ca="1" si="348"/>
        <v>56.344553057857752</v>
      </c>
      <c r="M788" s="306">
        <f t="shared" ca="1" si="364"/>
        <v>-1.4955314203716368</v>
      </c>
      <c r="N788" s="304">
        <f t="shared" ca="1" si="365"/>
        <v>-85.68763851650013</v>
      </c>
      <c r="P788" s="310">
        <f t="shared" ca="1" si="366"/>
        <v>23</v>
      </c>
      <c r="Q788" s="304">
        <f t="shared" ca="1" si="367"/>
        <v>0</v>
      </c>
      <c r="R788" s="306">
        <f t="shared" ca="1" si="368"/>
        <v>0</v>
      </c>
      <c r="S788" s="307">
        <f t="shared" ca="1" si="369"/>
        <v>2.0843000000000003</v>
      </c>
      <c r="T788" s="304">
        <f t="shared" ca="1" si="349"/>
        <v>20.446983000000003</v>
      </c>
      <c r="U788" s="311">
        <f t="shared" ca="1" si="350"/>
        <v>0</v>
      </c>
      <c r="V788" s="306">
        <f t="shared" ca="1" si="351"/>
        <v>1.2253069470353213</v>
      </c>
      <c r="W788" s="304">
        <f t="shared" ca="1" si="352"/>
        <v>7.2373096451813925</v>
      </c>
      <c r="Y788" s="314" t="str">
        <f t="shared" ca="1" si="370"/>
        <v/>
      </c>
      <c r="Z788" s="315" t="str">
        <f t="shared" ca="1" si="371"/>
        <v/>
      </c>
      <c r="AA788" s="316" t="str">
        <f t="shared" ca="1" si="372"/>
        <v/>
      </c>
      <c r="AC788" s="310" t="e">
        <f t="shared" ca="1" si="373"/>
        <v>#N/A</v>
      </c>
      <c r="AD788" s="323" t="e">
        <f t="shared" ca="1" si="374"/>
        <v>#N/A</v>
      </c>
      <c r="AE788" s="324">
        <f t="shared" ca="1" si="353"/>
        <v>-2.5053761994385608</v>
      </c>
      <c r="AG788" s="306">
        <f t="shared" ca="1" si="375"/>
        <v>6.3100148950385631</v>
      </c>
      <c r="AH788" s="304">
        <f t="shared" ca="1" si="376"/>
        <v>-3.4722112972635029</v>
      </c>
    </row>
    <row r="789" spans="1:34" x14ac:dyDescent="0.2">
      <c r="A789" s="347">
        <f t="shared" ca="1" si="354"/>
        <v>1E-4</v>
      </c>
      <c r="B789" s="304">
        <f t="shared" ca="1" si="355"/>
        <v>12.048499999999862</v>
      </c>
      <c r="D789" s="306">
        <f t="shared" ca="1" si="356"/>
        <v>-0.26109547296080771</v>
      </c>
      <c r="E789" s="307">
        <f t="shared" ca="1" si="357"/>
        <v>-6.3475328205174577</v>
      </c>
      <c r="F789" s="304">
        <f t="shared" ca="1" si="358"/>
        <v>6.3529004205596467</v>
      </c>
      <c r="G789" s="306">
        <f t="shared" ca="1" si="359"/>
        <v>3.9045497078616158</v>
      </c>
      <c r="H789" s="307">
        <f t="shared" ca="1" si="360"/>
        <v>-51.780412718290933</v>
      </c>
      <c r="I789" s="304">
        <f t="shared" ca="1" si="361"/>
        <v>51.927417129082279</v>
      </c>
      <c r="J789" s="306">
        <f t="shared" ca="1" si="362"/>
        <v>56.288824373840264</v>
      </c>
      <c r="K789" s="307">
        <f t="shared" ca="1" si="363"/>
        <v>-2.5105542089727257</v>
      </c>
      <c r="L789" s="304">
        <f t="shared" ca="1" si="348"/>
        <v>56.344783536945322</v>
      </c>
      <c r="M789" s="306">
        <f t="shared" ca="1" si="364"/>
        <v>-1.4955328409156767</v>
      </c>
      <c r="N789" s="304">
        <f t="shared" ca="1" si="365"/>
        <v>-85.687719907678229</v>
      </c>
      <c r="P789" s="310">
        <f t="shared" ca="1" si="366"/>
        <v>23</v>
      </c>
      <c r="Q789" s="304">
        <f t="shared" ca="1" si="367"/>
        <v>0</v>
      </c>
      <c r="R789" s="306">
        <f t="shared" ca="1" si="368"/>
        <v>0</v>
      </c>
      <c r="S789" s="307">
        <f t="shared" ca="1" si="369"/>
        <v>2.0843000000000003</v>
      </c>
      <c r="T789" s="304">
        <f t="shared" ca="1" si="349"/>
        <v>20.446983000000003</v>
      </c>
      <c r="U789" s="311">
        <f t="shared" ca="1" si="350"/>
        <v>0</v>
      </c>
      <c r="V789" s="306">
        <f t="shared" ca="1" si="351"/>
        <v>1.2253075815006009</v>
      </c>
      <c r="W789" s="304">
        <f t="shared" ca="1" si="352"/>
        <v>7.237489283470623</v>
      </c>
      <c r="Y789" s="314" t="str">
        <f t="shared" ca="1" si="370"/>
        <v/>
      </c>
      <c r="Z789" s="315" t="str">
        <f t="shared" ca="1" si="371"/>
        <v/>
      </c>
      <c r="AA789" s="316" t="str">
        <f t="shared" ca="1" si="372"/>
        <v/>
      </c>
      <c r="AC789" s="310" t="e">
        <f t="shared" ca="1" si="373"/>
        <v>#N/A</v>
      </c>
      <c r="AD789" s="323" t="e">
        <f t="shared" ca="1" si="374"/>
        <v>#N/A</v>
      </c>
      <c r="AE789" s="324">
        <f t="shared" ca="1" si="353"/>
        <v>-2.5105542089727257</v>
      </c>
      <c r="AG789" s="306">
        <f t="shared" ca="1" si="375"/>
        <v>6.3099297565566665</v>
      </c>
      <c r="AH789" s="304">
        <f t="shared" ca="1" si="376"/>
        <v>-3.4722974836546521</v>
      </c>
    </row>
    <row r="790" spans="1:34" x14ac:dyDescent="0.2">
      <c r="A790" s="347">
        <f t="shared" ca="1" si="354"/>
        <v>1E-4</v>
      </c>
      <c r="B790" s="304">
        <f t="shared" ca="1" si="355"/>
        <v>12.048599999999862</v>
      </c>
      <c r="D790" s="306">
        <f t="shared" ca="1" si="356"/>
        <v>-0.26109703493911163</v>
      </c>
      <c r="E790" s="307">
        <f t="shared" ca="1" si="357"/>
        <v>-6.347446507225154</v>
      </c>
      <c r="F790" s="304">
        <f t="shared" ca="1" si="358"/>
        <v>6.3528142443911273</v>
      </c>
      <c r="G790" s="306">
        <f t="shared" ca="1" si="359"/>
        <v>3.9045235981581219</v>
      </c>
      <c r="H790" s="307">
        <f t="shared" ca="1" si="360"/>
        <v>-51.781047462941657</v>
      </c>
      <c r="I790" s="304">
        <f t="shared" ca="1" si="361"/>
        <v>51.928048113596475</v>
      </c>
      <c r="J790" s="306">
        <f t="shared" ca="1" si="362"/>
        <v>56.288824373840264</v>
      </c>
      <c r="K790" s="307">
        <f t="shared" ca="1" si="363"/>
        <v>-2.5157322819817876</v>
      </c>
      <c r="L790" s="304">
        <f t="shared" ca="1" si="348"/>
        <v>56.345014493774329</v>
      </c>
      <c r="M790" s="306">
        <f t="shared" ca="1" si="364"/>
        <v>-1.495534261415695</v>
      </c>
      <c r="N790" s="304">
        <f t="shared" ca="1" si="365"/>
        <v>-85.687801296334086</v>
      </c>
      <c r="P790" s="310">
        <f t="shared" ca="1" si="366"/>
        <v>23</v>
      </c>
      <c r="Q790" s="304">
        <f t="shared" ca="1" si="367"/>
        <v>0</v>
      </c>
      <c r="R790" s="306">
        <f t="shared" ca="1" si="368"/>
        <v>0</v>
      </c>
      <c r="S790" s="307">
        <f t="shared" ca="1" si="369"/>
        <v>2.0843000000000003</v>
      </c>
      <c r="T790" s="304">
        <f t="shared" ca="1" si="349"/>
        <v>20.446983000000003</v>
      </c>
      <c r="U790" s="311">
        <f t="shared" ca="1" si="350"/>
        <v>0</v>
      </c>
      <c r="V790" s="306">
        <f t="shared" ca="1" si="351"/>
        <v>1.225308215973987</v>
      </c>
      <c r="W790" s="304">
        <f t="shared" ca="1" si="352"/>
        <v>7.2376689217539303</v>
      </c>
      <c r="Y790" s="314" t="str">
        <f t="shared" ca="1" si="370"/>
        <v/>
      </c>
      <c r="Z790" s="315" t="str">
        <f t="shared" ca="1" si="371"/>
        <v/>
      </c>
      <c r="AA790" s="316" t="str">
        <f t="shared" ca="1" si="372"/>
        <v/>
      </c>
      <c r="AC790" s="310" t="e">
        <f t="shared" ca="1" si="373"/>
        <v>#N/A</v>
      </c>
      <c r="AD790" s="323" t="e">
        <f t="shared" ca="1" si="374"/>
        <v>#N/A</v>
      </c>
      <c r="AE790" s="324">
        <f t="shared" ca="1" si="353"/>
        <v>-2.5157322819817876</v>
      </c>
      <c r="AG790" s="306">
        <f t="shared" ca="1" si="375"/>
        <v>6.3098446180253598</v>
      </c>
      <c r="AH790" s="304">
        <f t="shared" ca="1" si="376"/>
        <v>-3.4723836700429986</v>
      </c>
    </row>
    <row r="791" spans="1:34" x14ac:dyDescent="0.2">
      <c r="A791" s="347">
        <f t="shared" ca="1" si="354"/>
        <v>1E-4</v>
      </c>
      <c r="B791" s="304">
        <f t="shared" ca="1" si="355"/>
        <v>12.048699999999862</v>
      </c>
      <c r="D791" s="306">
        <f t="shared" ca="1" si="356"/>
        <v>-0.2610985968249363</v>
      </c>
      <c r="E791" s="307">
        <f t="shared" ca="1" si="357"/>
        <v>-6.3473601939357547</v>
      </c>
      <c r="F791" s="304">
        <f t="shared" ca="1" si="358"/>
        <v>6.3527280682258143</v>
      </c>
      <c r="G791" s="306">
        <f t="shared" ca="1" si="359"/>
        <v>3.9044974882984396</v>
      </c>
      <c r="H791" s="307">
        <f t="shared" ca="1" si="360"/>
        <v>-51.78168219896105</v>
      </c>
      <c r="I791" s="304">
        <f t="shared" ca="1" si="361"/>
        <v>51.928679089596805</v>
      </c>
      <c r="J791" s="306">
        <f t="shared" ca="1" si="362"/>
        <v>56.288824373840264</v>
      </c>
      <c r="K791" s="307">
        <f t="shared" ca="1" si="363"/>
        <v>-2.5209104184648825</v>
      </c>
      <c r="L791" s="304">
        <f t="shared" ca="1" si="348"/>
        <v>56.345245928356363</v>
      </c>
      <c r="M791" s="306">
        <f t="shared" ca="1" si="364"/>
        <v>-1.4955356818716938</v>
      </c>
      <c r="N791" s="304">
        <f t="shared" ca="1" si="365"/>
        <v>-85.687882682467801</v>
      </c>
      <c r="P791" s="310">
        <f t="shared" ca="1" si="366"/>
        <v>23</v>
      </c>
      <c r="Q791" s="304">
        <f t="shared" ca="1" si="367"/>
        <v>0</v>
      </c>
      <c r="R791" s="306">
        <f t="shared" ca="1" si="368"/>
        <v>0</v>
      </c>
      <c r="S791" s="307">
        <f t="shared" ca="1" si="369"/>
        <v>2.0843000000000003</v>
      </c>
      <c r="T791" s="304">
        <f t="shared" ca="1" si="349"/>
        <v>20.446983000000003</v>
      </c>
      <c r="U791" s="311">
        <f t="shared" ca="1" si="350"/>
        <v>0</v>
      </c>
      <c r="V791" s="306">
        <f t="shared" ca="1" si="351"/>
        <v>1.2253088504554785</v>
      </c>
      <c r="W791" s="304">
        <f t="shared" ca="1" si="352"/>
        <v>7.2378485600312166</v>
      </c>
      <c r="Y791" s="314" t="str">
        <f t="shared" ca="1" si="370"/>
        <v/>
      </c>
      <c r="Z791" s="315" t="str">
        <f t="shared" ca="1" si="371"/>
        <v/>
      </c>
      <c r="AA791" s="316" t="str">
        <f t="shared" ca="1" si="372"/>
        <v/>
      </c>
      <c r="AC791" s="310" t="e">
        <f t="shared" ca="1" si="373"/>
        <v>#N/A</v>
      </c>
      <c r="AD791" s="323" t="e">
        <f t="shared" ca="1" si="374"/>
        <v>#N/A</v>
      </c>
      <c r="AE791" s="324">
        <f t="shared" ca="1" si="353"/>
        <v>-2.5209104184648825</v>
      </c>
      <c r="AG791" s="306">
        <f t="shared" ca="1" si="375"/>
        <v>6.309759479444681</v>
      </c>
      <c r="AH791" s="304">
        <f t="shared" ca="1" si="376"/>
        <v>-3.4724698564285035</v>
      </c>
    </row>
    <row r="792" spans="1:34" x14ac:dyDescent="0.2">
      <c r="A792" s="347">
        <f t="shared" ca="1" si="354"/>
        <v>1E-4</v>
      </c>
      <c r="B792" s="304">
        <f t="shared" ca="1" si="355"/>
        <v>12.048799999999861</v>
      </c>
      <c r="D792" s="306">
        <f t="shared" ca="1" si="356"/>
        <v>-0.26110015861828184</v>
      </c>
      <c r="E792" s="307">
        <f t="shared" ca="1" si="357"/>
        <v>-6.347273880649305</v>
      </c>
      <c r="F792" s="304">
        <f t="shared" ca="1" si="358"/>
        <v>6.3526418920637564</v>
      </c>
      <c r="G792" s="306">
        <f t="shared" ca="1" si="359"/>
        <v>3.9044713782825777</v>
      </c>
      <c r="H792" s="307">
        <f t="shared" ca="1" si="360"/>
        <v>-51.782316926349118</v>
      </c>
      <c r="I792" s="304">
        <f t="shared" ca="1" si="361"/>
        <v>51.929310057083271</v>
      </c>
      <c r="J792" s="306">
        <f t="shared" ca="1" si="362"/>
        <v>56.288824373840264</v>
      </c>
      <c r="K792" s="307">
        <f t="shared" ca="1" si="363"/>
        <v>-2.5260886184211482</v>
      </c>
      <c r="L792" s="304">
        <f t="shared" ca="1" si="348"/>
        <v>56.345477840702983</v>
      </c>
      <c r="M792" s="306">
        <f t="shared" ca="1" si="364"/>
        <v>-1.4955371022836754</v>
      </c>
      <c r="N792" s="304">
        <f t="shared" ca="1" si="365"/>
        <v>-85.687964066079516</v>
      </c>
      <c r="P792" s="310">
        <f t="shared" ca="1" si="366"/>
        <v>23</v>
      </c>
      <c r="Q792" s="304">
        <f t="shared" ca="1" si="367"/>
        <v>0</v>
      </c>
      <c r="R792" s="306">
        <f t="shared" ca="1" si="368"/>
        <v>0</v>
      </c>
      <c r="S792" s="307">
        <f t="shared" ca="1" si="369"/>
        <v>2.0843000000000003</v>
      </c>
      <c r="T792" s="304">
        <f t="shared" ca="1" si="349"/>
        <v>20.446983000000003</v>
      </c>
      <c r="U792" s="311">
        <f t="shared" ca="1" si="350"/>
        <v>0</v>
      </c>
      <c r="V792" s="306">
        <f t="shared" ca="1" si="351"/>
        <v>1.2253094849450767</v>
      </c>
      <c r="W792" s="304">
        <f t="shared" ca="1" si="352"/>
        <v>7.2380281983024126</v>
      </c>
      <c r="Y792" s="314" t="str">
        <f t="shared" ca="1" si="370"/>
        <v/>
      </c>
      <c r="Z792" s="315" t="str">
        <f t="shared" ca="1" si="371"/>
        <v/>
      </c>
      <c r="AA792" s="316" t="str">
        <f t="shared" ca="1" si="372"/>
        <v/>
      </c>
      <c r="AC792" s="310" t="e">
        <f t="shared" ca="1" si="373"/>
        <v>#N/A</v>
      </c>
      <c r="AD792" s="323" t="e">
        <f t="shared" ca="1" si="374"/>
        <v>#N/A</v>
      </c>
      <c r="AE792" s="324">
        <f t="shared" ca="1" si="353"/>
        <v>-2.5260886184211482</v>
      </c>
      <c r="AG792" s="306">
        <f t="shared" ca="1" si="375"/>
        <v>6.309674340814686</v>
      </c>
      <c r="AH792" s="304">
        <f t="shared" ca="1" si="376"/>
        <v>-3.4725560428111191</v>
      </c>
    </row>
    <row r="793" spans="1:34" x14ac:dyDescent="0.2">
      <c r="A793" s="347">
        <f t="shared" ca="1" si="354"/>
        <v>1E-4</v>
      </c>
      <c r="B793" s="304">
        <f t="shared" ca="1" si="355"/>
        <v>12.048899999999861</v>
      </c>
      <c r="D793" s="306">
        <f t="shared" ca="1" si="356"/>
        <v>-0.26110172031914952</v>
      </c>
      <c r="E793" s="307">
        <f t="shared" ca="1" si="357"/>
        <v>-6.3471875673658396</v>
      </c>
      <c r="F793" s="304">
        <f t="shared" ca="1" si="358"/>
        <v>6.3525557159049848</v>
      </c>
      <c r="G793" s="306">
        <f t="shared" ca="1" si="359"/>
        <v>3.9044452681105457</v>
      </c>
      <c r="H793" s="307">
        <f t="shared" ca="1" si="360"/>
        <v>-51.782951645105854</v>
      </c>
      <c r="I793" s="304">
        <f t="shared" ca="1" si="361"/>
        <v>51.929941016055871</v>
      </c>
      <c r="J793" s="306">
        <f t="shared" ca="1" si="362"/>
        <v>56.288824373840264</v>
      </c>
      <c r="K793" s="307">
        <f t="shared" ca="1" si="363"/>
        <v>-2.5312668818497208</v>
      </c>
      <c r="L793" s="304">
        <f t="shared" ca="1" si="348"/>
        <v>56.345710230825766</v>
      </c>
      <c r="M793" s="306">
        <f t="shared" ca="1" si="364"/>
        <v>-1.4955385226516422</v>
      </c>
      <c r="N793" s="304">
        <f t="shared" ca="1" si="365"/>
        <v>-85.688045447169372</v>
      </c>
      <c r="P793" s="310">
        <f t="shared" ca="1" si="366"/>
        <v>23</v>
      </c>
      <c r="Q793" s="304">
        <f t="shared" ca="1" si="367"/>
        <v>0</v>
      </c>
      <c r="R793" s="306">
        <f t="shared" ca="1" si="368"/>
        <v>0</v>
      </c>
      <c r="S793" s="307">
        <f t="shared" ca="1" si="369"/>
        <v>2.0843000000000003</v>
      </c>
      <c r="T793" s="304">
        <f t="shared" ca="1" si="349"/>
        <v>20.446983000000003</v>
      </c>
      <c r="U793" s="311">
        <f t="shared" ca="1" si="350"/>
        <v>0</v>
      </c>
      <c r="V793" s="306">
        <f t="shared" ca="1" si="351"/>
        <v>1.2253101194427805</v>
      </c>
      <c r="W793" s="304">
        <f t="shared" ca="1" si="352"/>
        <v>7.2382078365674261</v>
      </c>
      <c r="Y793" s="314" t="str">
        <f t="shared" ca="1" si="370"/>
        <v/>
      </c>
      <c r="Z793" s="315" t="str">
        <f t="shared" ca="1" si="371"/>
        <v/>
      </c>
      <c r="AA793" s="316" t="str">
        <f t="shared" ca="1" si="372"/>
        <v/>
      </c>
      <c r="AC793" s="310" t="e">
        <f t="shared" ca="1" si="373"/>
        <v>#N/A</v>
      </c>
      <c r="AD793" s="323" t="e">
        <f t="shared" ca="1" si="374"/>
        <v>#N/A</v>
      </c>
      <c r="AE793" s="324">
        <f t="shared" ca="1" si="353"/>
        <v>-2.5312668818497208</v>
      </c>
      <c r="AG793" s="306">
        <f t="shared" ca="1" si="375"/>
        <v>6.3095892021354079</v>
      </c>
      <c r="AH793" s="304">
        <f t="shared" ca="1" si="376"/>
        <v>-3.472642229190813</v>
      </c>
    </row>
    <row r="794" spans="1:34" x14ac:dyDescent="0.2">
      <c r="A794" s="347">
        <f t="shared" ca="1" si="354"/>
        <v>1E-4</v>
      </c>
      <c r="B794" s="304">
        <f t="shared" ca="1" si="355"/>
        <v>12.048999999999861</v>
      </c>
      <c r="D794" s="306">
        <f t="shared" ca="1" si="356"/>
        <v>-0.26110328192753879</v>
      </c>
      <c r="E794" s="307">
        <f t="shared" ca="1" si="357"/>
        <v>-6.3471012540854002</v>
      </c>
      <c r="F794" s="304">
        <f t="shared" ca="1" si="358"/>
        <v>6.3524695397495448</v>
      </c>
      <c r="G794" s="306">
        <f t="shared" ca="1" si="359"/>
        <v>3.9044191577823528</v>
      </c>
      <c r="H794" s="307">
        <f t="shared" ca="1" si="360"/>
        <v>-51.783586355231265</v>
      </c>
      <c r="I794" s="304">
        <f t="shared" ca="1" si="361"/>
        <v>51.930571966514592</v>
      </c>
      <c r="J794" s="306">
        <f t="shared" ca="1" si="362"/>
        <v>56.288824373840264</v>
      </c>
      <c r="K794" s="307">
        <f t="shared" ca="1" si="363"/>
        <v>-2.5364452087497376</v>
      </c>
      <c r="L794" s="304">
        <f t="shared" ca="1" si="348"/>
        <v>56.34594309873625</v>
      </c>
      <c r="M794" s="306">
        <f t="shared" ca="1" si="364"/>
        <v>-1.4955399429755958</v>
      </c>
      <c r="N794" s="304">
        <f t="shared" ca="1" si="365"/>
        <v>-85.688126825737442</v>
      </c>
      <c r="P794" s="310">
        <f t="shared" ca="1" si="366"/>
        <v>23</v>
      </c>
      <c r="Q794" s="304">
        <f t="shared" ca="1" si="367"/>
        <v>0</v>
      </c>
      <c r="R794" s="306">
        <f t="shared" ca="1" si="368"/>
        <v>0</v>
      </c>
      <c r="S794" s="307">
        <f t="shared" ca="1" si="369"/>
        <v>2.0843000000000003</v>
      </c>
      <c r="T794" s="304">
        <f t="shared" ca="1" si="349"/>
        <v>20.446983000000003</v>
      </c>
      <c r="U794" s="311">
        <f t="shared" ca="1" si="350"/>
        <v>0</v>
      </c>
      <c r="V794" s="306">
        <f t="shared" ca="1" si="351"/>
        <v>1.2253107539485901</v>
      </c>
      <c r="W794" s="304">
        <f t="shared" ca="1" si="352"/>
        <v>7.2383874748261707</v>
      </c>
      <c r="Y794" s="314" t="str">
        <f t="shared" ca="1" si="370"/>
        <v/>
      </c>
      <c r="Z794" s="315" t="str">
        <f t="shared" ca="1" si="371"/>
        <v/>
      </c>
      <c r="AA794" s="316" t="str">
        <f t="shared" ca="1" si="372"/>
        <v/>
      </c>
      <c r="AC794" s="310" t="e">
        <f t="shared" ca="1" si="373"/>
        <v>#N/A</v>
      </c>
      <c r="AD794" s="323" t="e">
        <f t="shared" ca="1" si="374"/>
        <v>#N/A</v>
      </c>
      <c r="AE794" s="324">
        <f t="shared" ca="1" si="353"/>
        <v>-2.5364452087497376</v>
      </c>
      <c r="AG794" s="306">
        <f t="shared" ca="1" si="375"/>
        <v>6.3095040634068962</v>
      </c>
      <c r="AH794" s="304">
        <f t="shared" ca="1" si="376"/>
        <v>-3.4727284155675409</v>
      </c>
    </row>
    <row r="795" spans="1:34" x14ac:dyDescent="0.2">
      <c r="A795" s="347">
        <f t="shared" ca="1" si="354"/>
        <v>1E-4</v>
      </c>
      <c r="B795" s="304">
        <f t="shared" ca="1" si="355"/>
        <v>12.049099999999861</v>
      </c>
      <c r="D795" s="306">
        <f t="shared" ca="1" si="356"/>
        <v>-0.26110484344345269</v>
      </c>
      <c r="E795" s="307">
        <f t="shared" ca="1" si="357"/>
        <v>-6.3470149408080303</v>
      </c>
      <c r="F795" s="304">
        <f t="shared" ca="1" si="358"/>
        <v>6.3523833635974771</v>
      </c>
      <c r="G795" s="306">
        <f t="shared" ca="1" si="359"/>
        <v>3.9043930472980084</v>
      </c>
      <c r="H795" s="307">
        <f t="shared" ca="1" si="360"/>
        <v>-51.784221056725343</v>
      </c>
      <c r="I795" s="304">
        <f t="shared" ca="1" si="361"/>
        <v>51.931202908459433</v>
      </c>
      <c r="J795" s="306">
        <f t="shared" ca="1" si="362"/>
        <v>56.288824373840264</v>
      </c>
      <c r="K795" s="307">
        <f t="shared" ca="1" si="363"/>
        <v>-2.5416235991203355</v>
      </c>
      <c r="L795" s="304">
        <f t="shared" ca="1" si="348"/>
        <v>56.34617644444598</v>
      </c>
      <c r="M795" s="306">
        <f t="shared" ca="1" si="364"/>
        <v>-1.4955413632555385</v>
      </c>
      <c r="N795" s="304">
        <f t="shared" ca="1" si="365"/>
        <v>-85.688208201783894</v>
      </c>
      <c r="P795" s="310">
        <f t="shared" ca="1" si="366"/>
        <v>23</v>
      </c>
      <c r="Q795" s="304">
        <f t="shared" ca="1" si="367"/>
        <v>0</v>
      </c>
      <c r="R795" s="306">
        <f t="shared" ca="1" si="368"/>
        <v>0</v>
      </c>
      <c r="S795" s="307">
        <f t="shared" ca="1" si="369"/>
        <v>2.0843000000000003</v>
      </c>
      <c r="T795" s="304">
        <f t="shared" ca="1" si="349"/>
        <v>20.446983000000003</v>
      </c>
      <c r="U795" s="311">
        <f t="shared" ca="1" si="350"/>
        <v>0</v>
      </c>
      <c r="V795" s="306">
        <f t="shared" ca="1" si="351"/>
        <v>1.2253113884625058</v>
      </c>
      <c r="W795" s="304">
        <f t="shared" ca="1" si="352"/>
        <v>7.2385671130785649</v>
      </c>
      <c r="Y795" s="314" t="str">
        <f t="shared" ca="1" si="370"/>
        <v/>
      </c>
      <c r="Z795" s="315" t="str">
        <f t="shared" ca="1" si="371"/>
        <v/>
      </c>
      <c r="AA795" s="316" t="str">
        <f t="shared" ca="1" si="372"/>
        <v/>
      </c>
      <c r="AC795" s="310" t="e">
        <f t="shared" ca="1" si="373"/>
        <v>#N/A</v>
      </c>
      <c r="AD795" s="323" t="e">
        <f t="shared" ca="1" si="374"/>
        <v>#N/A</v>
      </c>
      <c r="AE795" s="324">
        <f t="shared" ca="1" si="353"/>
        <v>-2.5416235991203355</v>
      </c>
      <c r="AG795" s="306">
        <f t="shared" ca="1" si="375"/>
        <v>6.3094189246291918</v>
      </c>
      <c r="AH795" s="304">
        <f t="shared" ca="1" si="376"/>
        <v>-3.4728146019412609</v>
      </c>
    </row>
    <row r="796" spans="1:34" x14ac:dyDescent="0.2">
      <c r="A796" s="347">
        <f t="shared" ca="1" si="354"/>
        <v>1E-4</v>
      </c>
      <c r="B796" s="304">
        <f t="shared" ca="1" si="355"/>
        <v>12.04919999999986</v>
      </c>
      <c r="D796" s="306">
        <f t="shared" ca="1" si="356"/>
        <v>-0.26110640486689113</v>
      </c>
      <c r="E796" s="307">
        <f t="shared" ca="1" si="357"/>
        <v>-6.34692862753377</v>
      </c>
      <c r="F796" s="304">
        <f t="shared" ca="1" si="358"/>
        <v>6.3522971874488219</v>
      </c>
      <c r="G796" s="306">
        <f t="shared" ca="1" si="359"/>
        <v>3.9043669366575218</v>
      </c>
      <c r="H796" s="307">
        <f t="shared" ca="1" si="360"/>
        <v>-51.784855749588097</v>
      </c>
      <c r="I796" s="304">
        <f t="shared" ca="1" si="361"/>
        <v>51.931833841890388</v>
      </c>
      <c r="J796" s="306">
        <f t="shared" ca="1" si="362"/>
        <v>56.288824373840264</v>
      </c>
      <c r="K796" s="307">
        <f t="shared" ca="1" si="363"/>
        <v>-2.546802052960651</v>
      </c>
      <c r="L796" s="304">
        <f t="shared" ca="1" si="348"/>
        <v>56.346410267966483</v>
      </c>
      <c r="M796" s="306">
        <f t="shared" ca="1" si="364"/>
        <v>-1.4955427834914725</v>
      </c>
      <c r="N796" s="304">
        <f t="shared" ca="1" si="365"/>
        <v>-85.688289575308829</v>
      </c>
      <c r="P796" s="310">
        <f t="shared" ca="1" si="366"/>
        <v>23</v>
      </c>
      <c r="Q796" s="304">
        <f t="shared" ca="1" si="367"/>
        <v>0</v>
      </c>
      <c r="R796" s="306">
        <f t="shared" ca="1" si="368"/>
        <v>0</v>
      </c>
      <c r="S796" s="307">
        <f t="shared" ca="1" si="369"/>
        <v>2.0843000000000003</v>
      </c>
      <c r="T796" s="304">
        <f t="shared" ca="1" si="349"/>
        <v>20.446983000000003</v>
      </c>
      <c r="U796" s="311">
        <f t="shared" ca="1" si="350"/>
        <v>0</v>
      </c>
      <c r="V796" s="306">
        <f t="shared" ca="1" si="351"/>
        <v>1.2253120229845269</v>
      </c>
      <c r="W796" s="304">
        <f t="shared" ca="1" si="352"/>
        <v>7.2387467513245189</v>
      </c>
      <c r="Y796" s="314" t="str">
        <f t="shared" ca="1" si="370"/>
        <v/>
      </c>
      <c r="Z796" s="315" t="str">
        <f t="shared" ca="1" si="371"/>
        <v/>
      </c>
      <c r="AA796" s="316" t="str">
        <f t="shared" ca="1" si="372"/>
        <v/>
      </c>
      <c r="AC796" s="310" t="e">
        <f t="shared" ca="1" si="373"/>
        <v>#N/A</v>
      </c>
      <c r="AD796" s="323" t="e">
        <f t="shared" ca="1" si="374"/>
        <v>#N/A</v>
      </c>
      <c r="AE796" s="324">
        <f t="shared" ca="1" si="353"/>
        <v>-2.546802052960651</v>
      </c>
      <c r="AG796" s="306">
        <f t="shared" ca="1" si="375"/>
        <v>6.3093337858023411</v>
      </c>
      <c r="AH796" s="304">
        <f t="shared" ca="1" si="376"/>
        <v>-3.4729007883119341</v>
      </c>
    </row>
    <row r="797" spans="1:34" x14ac:dyDescent="0.2">
      <c r="A797" s="347">
        <f t="shared" ca="1" si="354"/>
        <v>1E-4</v>
      </c>
      <c r="B797" s="304">
        <f t="shared" ca="1" si="355"/>
        <v>12.04929999999986</v>
      </c>
      <c r="D797" s="306">
        <f t="shared" ca="1" si="356"/>
        <v>-0.26110796619785531</v>
      </c>
      <c r="E797" s="307">
        <f t="shared" ca="1" si="357"/>
        <v>-6.3468423142626609</v>
      </c>
      <c r="F797" s="304">
        <f t="shared" ca="1" si="358"/>
        <v>6.3522110113036225</v>
      </c>
      <c r="G797" s="306">
        <f t="shared" ca="1" si="359"/>
        <v>3.9043408258609018</v>
      </c>
      <c r="H797" s="307">
        <f t="shared" ca="1" si="360"/>
        <v>-51.785490433819525</v>
      </c>
      <c r="I797" s="304">
        <f t="shared" ca="1" si="361"/>
        <v>51.932464766807456</v>
      </c>
      <c r="J797" s="306">
        <f t="shared" ca="1" si="362"/>
        <v>56.288824373840264</v>
      </c>
      <c r="K797" s="307">
        <f t="shared" ca="1" si="363"/>
        <v>-2.5519805702698215</v>
      </c>
      <c r="L797" s="304">
        <f t="shared" ca="1" si="348"/>
        <v>56.346644569309262</v>
      </c>
      <c r="M797" s="306">
        <f t="shared" ca="1" si="364"/>
        <v>-1.4955442036834001</v>
      </c>
      <c r="N797" s="304">
        <f t="shared" ca="1" si="365"/>
        <v>-85.688370946312375</v>
      </c>
      <c r="P797" s="310">
        <f t="shared" ca="1" si="366"/>
        <v>23</v>
      </c>
      <c r="Q797" s="304">
        <f t="shared" ca="1" si="367"/>
        <v>0</v>
      </c>
      <c r="R797" s="306">
        <f t="shared" ca="1" si="368"/>
        <v>0</v>
      </c>
      <c r="S797" s="307">
        <f t="shared" ca="1" si="369"/>
        <v>2.0843000000000003</v>
      </c>
      <c r="T797" s="304">
        <f t="shared" ca="1" si="349"/>
        <v>20.446983000000003</v>
      </c>
      <c r="U797" s="311">
        <f t="shared" ca="1" si="350"/>
        <v>0</v>
      </c>
      <c r="V797" s="306">
        <f t="shared" ca="1" si="351"/>
        <v>1.2253126575146536</v>
      </c>
      <c r="W797" s="304">
        <f t="shared" ca="1" si="352"/>
        <v>7.2389263895639511</v>
      </c>
      <c r="Y797" s="314" t="str">
        <f t="shared" ca="1" si="370"/>
        <v/>
      </c>
      <c r="Z797" s="315" t="str">
        <f t="shared" ca="1" si="371"/>
        <v/>
      </c>
      <c r="AA797" s="316" t="str">
        <f t="shared" ca="1" si="372"/>
        <v/>
      </c>
      <c r="AC797" s="310" t="e">
        <f t="shared" ca="1" si="373"/>
        <v>#N/A</v>
      </c>
      <c r="AD797" s="323" t="e">
        <f t="shared" ca="1" si="374"/>
        <v>#N/A</v>
      </c>
      <c r="AE797" s="324">
        <f t="shared" ca="1" si="353"/>
        <v>-2.5519805702698215</v>
      </c>
      <c r="AG797" s="306">
        <f t="shared" ca="1" si="375"/>
        <v>6.3092486469263891</v>
      </c>
      <c r="AH797" s="304">
        <f t="shared" ca="1" si="376"/>
        <v>-3.4729869746795172</v>
      </c>
    </row>
    <row r="798" spans="1:34" x14ac:dyDescent="0.2">
      <c r="A798" s="347">
        <f t="shared" ca="1" si="354"/>
        <v>1E-4</v>
      </c>
      <c r="B798" s="304">
        <f t="shared" ca="1" si="355"/>
        <v>12.04939999999986</v>
      </c>
      <c r="D798" s="306">
        <f t="shared" ca="1" si="356"/>
        <v>-0.26110952743634525</v>
      </c>
      <c r="E798" s="307">
        <f t="shared" ca="1" si="357"/>
        <v>-6.3467560009947421</v>
      </c>
      <c r="F798" s="304">
        <f t="shared" ca="1" si="358"/>
        <v>6.3521248351619164</v>
      </c>
      <c r="G798" s="306">
        <f t="shared" ca="1" si="359"/>
        <v>3.9043147149081583</v>
      </c>
      <c r="H798" s="307">
        <f t="shared" ca="1" si="360"/>
        <v>-51.786125109419622</v>
      </c>
      <c r="I798" s="304">
        <f t="shared" ca="1" si="361"/>
        <v>51.933095683210624</v>
      </c>
      <c r="J798" s="306">
        <f t="shared" ca="1" si="362"/>
        <v>56.288824373840264</v>
      </c>
      <c r="K798" s="307">
        <f t="shared" ca="1" si="363"/>
        <v>-2.5571591510469833</v>
      </c>
      <c r="L798" s="304">
        <f t="shared" ca="1" si="348"/>
        <v>56.346879348485814</v>
      </c>
      <c r="M798" s="306">
        <f t="shared" ca="1" si="364"/>
        <v>-1.4955456238313232</v>
      </c>
      <c r="N798" s="304">
        <f t="shared" ca="1" si="365"/>
        <v>-85.688452314794645</v>
      </c>
      <c r="P798" s="310">
        <f t="shared" ca="1" si="366"/>
        <v>23</v>
      </c>
      <c r="Q798" s="304">
        <f t="shared" ca="1" si="367"/>
        <v>0</v>
      </c>
      <c r="R798" s="306">
        <f t="shared" ca="1" si="368"/>
        <v>0</v>
      </c>
      <c r="S798" s="307">
        <f t="shared" ca="1" si="369"/>
        <v>2.0843000000000003</v>
      </c>
      <c r="T798" s="304">
        <f t="shared" ca="1" si="349"/>
        <v>20.446983000000003</v>
      </c>
      <c r="U798" s="311">
        <f t="shared" ca="1" si="350"/>
        <v>0</v>
      </c>
      <c r="V798" s="306">
        <f t="shared" ca="1" si="351"/>
        <v>1.2253132920528851</v>
      </c>
      <c r="W798" s="304">
        <f t="shared" ca="1" si="352"/>
        <v>7.239106027796768</v>
      </c>
      <c r="Y798" s="314" t="str">
        <f t="shared" ca="1" si="370"/>
        <v/>
      </c>
      <c r="Z798" s="315" t="str">
        <f t="shared" ca="1" si="371"/>
        <v/>
      </c>
      <c r="AA798" s="316" t="str">
        <f t="shared" ca="1" si="372"/>
        <v/>
      </c>
      <c r="AC798" s="310" t="e">
        <f t="shared" ca="1" si="373"/>
        <v>#N/A</v>
      </c>
      <c r="AD798" s="323" t="e">
        <f t="shared" ca="1" si="374"/>
        <v>#N/A</v>
      </c>
      <c r="AE798" s="324">
        <f t="shared" ca="1" si="353"/>
        <v>-2.5571591510469833</v>
      </c>
      <c r="AG798" s="306">
        <f t="shared" ca="1" si="375"/>
        <v>6.3091635080013777</v>
      </c>
      <c r="AH798" s="304">
        <f t="shared" ca="1" si="376"/>
        <v>-3.4730731610439718</v>
      </c>
    </row>
    <row r="799" spans="1:34" x14ac:dyDescent="0.2">
      <c r="A799" s="347">
        <f t="shared" ca="1" si="354"/>
        <v>1E-4</v>
      </c>
      <c r="B799" s="304">
        <f t="shared" ca="1" si="355"/>
        <v>12.04949999999986</v>
      </c>
      <c r="D799" s="306">
        <f t="shared" ca="1" si="356"/>
        <v>-0.2611110885823627</v>
      </c>
      <c r="E799" s="307">
        <f t="shared" ca="1" si="357"/>
        <v>-6.346669687730059</v>
      </c>
      <c r="F799" s="304">
        <f t="shared" ca="1" si="358"/>
        <v>6.3520386590237488</v>
      </c>
      <c r="G799" s="306">
        <f t="shared" ca="1" si="359"/>
        <v>3.9042886037993001</v>
      </c>
      <c r="H799" s="307">
        <f t="shared" ca="1" si="360"/>
        <v>-51.786759776388394</v>
      </c>
      <c r="I799" s="304">
        <f t="shared" ca="1" si="361"/>
        <v>51.933726591099891</v>
      </c>
      <c r="J799" s="306">
        <f t="shared" ca="1" si="362"/>
        <v>56.288824373840264</v>
      </c>
      <c r="K799" s="307">
        <f t="shared" ca="1" si="363"/>
        <v>-2.5623377952912736</v>
      </c>
      <c r="L799" s="304">
        <f t="shared" ca="1" si="348"/>
        <v>56.347114605507635</v>
      </c>
      <c r="M799" s="306">
        <f t="shared" ca="1" si="364"/>
        <v>-1.4955470439352438</v>
      </c>
      <c r="N799" s="304">
        <f t="shared" ca="1" si="365"/>
        <v>-85.688533680755768</v>
      </c>
      <c r="P799" s="310">
        <f t="shared" ca="1" si="366"/>
        <v>23</v>
      </c>
      <c r="Q799" s="304">
        <f t="shared" ca="1" si="367"/>
        <v>0</v>
      </c>
      <c r="R799" s="306">
        <f t="shared" ca="1" si="368"/>
        <v>0</v>
      </c>
      <c r="S799" s="307">
        <f t="shared" ca="1" si="369"/>
        <v>2.0843000000000003</v>
      </c>
      <c r="T799" s="304">
        <f t="shared" ca="1" si="349"/>
        <v>20.446983000000003</v>
      </c>
      <c r="U799" s="311">
        <f t="shared" ca="1" si="350"/>
        <v>0</v>
      </c>
      <c r="V799" s="306">
        <f t="shared" ca="1" si="351"/>
        <v>1.2253139265992226</v>
      </c>
      <c r="W799" s="304">
        <f t="shared" ca="1" si="352"/>
        <v>7.2392856660228979</v>
      </c>
      <c r="Y799" s="314" t="str">
        <f t="shared" ca="1" si="370"/>
        <v/>
      </c>
      <c r="Z799" s="315" t="str">
        <f t="shared" ca="1" si="371"/>
        <v/>
      </c>
      <c r="AA799" s="316" t="str">
        <f t="shared" ca="1" si="372"/>
        <v/>
      </c>
      <c r="AC799" s="310" t="e">
        <f t="shared" ca="1" si="373"/>
        <v>#N/A</v>
      </c>
      <c r="AD799" s="323" t="e">
        <f t="shared" ca="1" si="374"/>
        <v>#N/A</v>
      </c>
      <c r="AE799" s="324">
        <f t="shared" ca="1" si="353"/>
        <v>-2.5623377952912736</v>
      </c>
      <c r="AG799" s="306">
        <f t="shared" ca="1" si="375"/>
        <v>6.3090783690273593</v>
      </c>
      <c r="AH799" s="304">
        <f t="shared" ca="1" si="376"/>
        <v>-3.473159347405252</v>
      </c>
    </row>
    <row r="800" spans="1:34" x14ac:dyDescent="0.2">
      <c r="A800" s="347">
        <f t="shared" ca="1" si="354"/>
        <v>1E-4</v>
      </c>
      <c r="B800" s="304">
        <f t="shared" ca="1" si="355"/>
        <v>12.04959999999986</v>
      </c>
      <c r="D800" s="306">
        <f t="shared" ca="1" si="356"/>
        <v>-0.26111264963590897</v>
      </c>
      <c r="E800" s="307">
        <f t="shared" ca="1" si="357"/>
        <v>-6.3465833744686453</v>
      </c>
      <c r="F800" s="304">
        <f t="shared" ca="1" si="358"/>
        <v>6.3519524828891551</v>
      </c>
      <c r="G800" s="306">
        <f t="shared" ca="1" si="359"/>
        <v>3.9042624925343365</v>
      </c>
      <c r="H800" s="307">
        <f t="shared" ca="1" si="360"/>
        <v>-51.78739443472584</v>
      </c>
      <c r="I800" s="304">
        <f t="shared" ca="1" si="361"/>
        <v>51.934357490475257</v>
      </c>
      <c r="J800" s="306">
        <f t="shared" ca="1" si="362"/>
        <v>56.288824373840264</v>
      </c>
      <c r="K800" s="307">
        <f t="shared" ca="1" si="363"/>
        <v>-2.5675165030018294</v>
      </c>
      <c r="L800" s="304">
        <f t="shared" ca="1" si="348"/>
        <v>56.3473503403862</v>
      </c>
      <c r="M800" s="306">
        <f t="shared" ca="1" si="364"/>
        <v>-1.4955484639951642</v>
      </c>
      <c r="N800" s="304">
        <f t="shared" ca="1" si="365"/>
        <v>-85.688615044195856</v>
      </c>
      <c r="P800" s="310">
        <f t="shared" ca="1" si="366"/>
        <v>23</v>
      </c>
      <c r="Q800" s="304">
        <f t="shared" ca="1" si="367"/>
        <v>0</v>
      </c>
      <c r="R800" s="306">
        <f t="shared" ca="1" si="368"/>
        <v>0</v>
      </c>
      <c r="S800" s="307">
        <f t="shared" ca="1" si="369"/>
        <v>2.0843000000000003</v>
      </c>
      <c r="T800" s="304">
        <f t="shared" ca="1" si="349"/>
        <v>20.446983000000003</v>
      </c>
      <c r="U800" s="311">
        <f t="shared" ca="1" si="350"/>
        <v>0</v>
      </c>
      <c r="V800" s="306">
        <f t="shared" ca="1" si="351"/>
        <v>1.2253145611536653</v>
      </c>
      <c r="W800" s="304">
        <f t="shared" ca="1" si="352"/>
        <v>7.2394653042422448</v>
      </c>
      <c r="Y800" s="314" t="str">
        <f t="shared" ca="1" si="370"/>
        <v/>
      </c>
      <c r="Z800" s="315" t="str">
        <f t="shared" ca="1" si="371"/>
        <v/>
      </c>
      <c r="AA800" s="316" t="str">
        <f t="shared" ca="1" si="372"/>
        <v/>
      </c>
      <c r="AC800" s="310" t="e">
        <f t="shared" ca="1" si="373"/>
        <v>#N/A</v>
      </c>
      <c r="AD800" s="323" t="e">
        <f t="shared" ca="1" si="374"/>
        <v>#N/A</v>
      </c>
      <c r="AE800" s="324">
        <f t="shared" ca="1" si="353"/>
        <v>-2.5675165030018294</v>
      </c>
      <c r="AG800" s="306">
        <f t="shared" ca="1" si="375"/>
        <v>6.3089932300043641</v>
      </c>
      <c r="AH800" s="304">
        <f t="shared" ca="1" si="376"/>
        <v>-3.4732455337633246</v>
      </c>
    </row>
    <row r="801" spans="1:34" x14ac:dyDescent="0.2">
      <c r="A801" s="347">
        <f t="shared" ca="1" si="354"/>
        <v>1E-4</v>
      </c>
      <c r="B801" s="304">
        <f t="shared" ca="1" si="355"/>
        <v>12.049699999999859</v>
      </c>
      <c r="D801" s="306">
        <f t="shared" ca="1" si="356"/>
        <v>-0.26111421059698481</v>
      </c>
      <c r="E801" s="307">
        <f t="shared" ca="1" si="357"/>
        <v>-6.3464970612105489</v>
      </c>
      <c r="F801" s="304">
        <f t="shared" ca="1" si="358"/>
        <v>6.3518663067581818</v>
      </c>
      <c r="G801" s="306">
        <f t="shared" ca="1" si="359"/>
        <v>3.904236381113277</v>
      </c>
      <c r="H801" s="307">
        <f t="shared" ca="1" si="360"/>
        <v>-51.788029084431962</v>
      </c>
      <c r="I801" s="304">
        <f t="shared" ca="1" si="361"/>
        <v>51.934988381336716</v>
      </c>
      <c r="J801" s="306">
        <f t="shared" ca="1" si="362"/>
        <v>56.288824373840264</v>
      </c>
      <c r="K801" s="307">
        <f t="shared" ca="1" si="363"/>
        <v>-2.5726952741777875</v>
      </c>
      <c r="L801" s="304">
        <f t="shared" ca="1" si="348"/>
        <v>56.347586553132963</v>
      </c>
      <c r="M801" s="306">
        <f t="shared" ca="1" si="364"/>
        <v>-1.4955498840110868</v>
      </c>
      <c r="N801" s="304">
        <f t="shared" ca="1" si="365"/>
        <v>-85.688696405115067</v>
      </c>
      <c r="P801" s="310">
        <f t="shared" ca="1" si="366"/>
        <v>23</v>
      </c>
      <c r="Q801" s="304">
        <f t="shared" ca="1" si="367"/>
        <v>0</v>
      </c>
      <c r="R801" s="306">
        <f t="shared" ca="1" si="368"/>
        <v>0</v>
      </c>
      <c r="S801" s="307">
        <f t="shared" ca="1" si="369"/>
        <v>2.0843000000000003</v>
      </c>
      <c r="T801" s="304">
        <f t="shared" ca="1" si="349"/>
        <v>20.446983000000003</v>
      </c>
      <c r="U801" s="311">
        <f t="shared" ca="1" si="350"/>
        <v>0</v>
      </c>
      <c r="V801" s="306">
        <f t="shared" ca="1" si="351"/>
        <v>1.2253151957162134</v>
      </c>
      <c r="W801" s="304">
        <f t="shared" ca="1" si="352"/>
        <v>7.2396449424547313</v>
      </c>
      <c r="Y801" s="314" t="str">
        <f t="shared" ca="1" si="370"/>
        <v/>
      </c>
      <c r="Z801" s="315" t="str">
        <f t="shared" ca="1" si="371"/>
        <v/>
      </c>
      <c r="AA801" s="316" t="str">
        <f t="shared" ca="1" si="372"/>
        <v/>
      </c>
      <c r="AC801" s="310" t="e">
        <f t="shared" ca="1" si="373"/>
        <v>#N/A</v>
      </c>
      <c r="AD801" s="323" t="e">
        <f t="shared" ca="1" si="374"/>
        <v>#N/A</v>
      </c>
      <c r="AE801" s="324">
        <f t="shared" ca="1" si="353"/>
        <v>-2.5726952741777875</v>
      </c>
      <c r="AG801" s="306">
        <f t="shared" ca="1" si="375"/>
        <v>6.308908090932448</v>
      </c>
      <c r="AH801" s="304">
        <f t="shared" ca="1" si="376"/>
        <v>-3.4733317201181424</v>
      </c>
    </row>
    <row r="802" spans="1:34" x14ac:dyDescent="0.2">
      <c r="A802" s="347">
        <f t="shared" ca="1" si="354"/>
        <v>1E-4</v>
      </c>
      <c r="B802" s="304">
        <f t="shared" ca="1" si="355"/>
        <v>12.049799999999859</v>
      </c>
      <c r="D802" s="306">
        <f t="shared" ca="1" si="356"/>
        <v>-0.26111577146558973</v>
      </c>
      <c r="E802" s="307">
        <f t="shared" ca="1" si="357"/>
        <v>-6.3464107479558054</v>
      </c>
      <c r="F802" s="304">
        <f t="shared" ca="1" si="358"/>
        <v>6.3517801306308641</v>
      </c>
      <c r="G802" s="306">
        <f t="shared" ca="1" si="359"/>
        <v>3.9042102695361303</v>
      </c>
      <c r="H802" s="307">
        <f t="shared" ca="1" si="360"/>
        <v>-51.788663725506758</v>
      </c>
      <c r="I802" s="304">
        <f t="shared" ca="1" si="361"/>
        <v>51.935619263684252</v>
      </c>
      <c r="J802" s="306">
        <f t="shared" ca="1" si="362"/>
        <v>56.288824373840264</v>
      </c>
      <c r="K802" s="307">
        <f t="shared" ca="1" si="363"/>
        <v>-2.5778741088182846</v>
      </c>
      <c r="L802" s="304">
        <f t="shared" ca="1" si="348"/>
        <v>56.347823243759379</v>
      </c>
      <c r="M802" s="306">
        <f t="shared" ca="1" si="364"/>
        <v>-1.4955513039830133</v>
      </c>
      <c r="N802" s="304">
        <f t="shared" ca="1" si="365"/>
        <v>-85.688777763513485</v>
      </c>
      <c r="P802" s="310">
        <f t="shared" ca="1" si="366"/>
        <v>23</v>
      </c>
      <c r="Q802" s="304">
        <f t="shared" ca="1" si="367"/>
        <v>0</v>
      </c>
      <c r="R802" s="306">
        <f t="shared" ca="1" si="368"/>
        <v>0</v>
      </c>
      <c r="S802" s="307">
        <f t="shared" ca="1" si="369"/>
        <v>2.0843000000000003</v>
      </c>
      <c r="T802" s="304">
        <f t="shared" ca="1" si="349"/>
        <v>20.446983000000003</v>
      </c>
      <c r="U802" s="311">
        <f t="shared" ca="1" si="350"/>
        <v>0</v>
      </c>
      <c r="V802" s="306">
        <f t="shared" ca="1" si="351"/>
        <v>1.2253158302868663</v>
      </c>
      <c r="W802" s="304">
        <f t="shared" ca="1" si="352"/>
        <v>7.2398245806602635</v>
      </c>
      <c r="Y802" s="314" t="str">
        <f t="shared" ca="1" si="370"/>
        <v/>
      </c>
      <c r="Z802" s="315" t="str">
        <f t="shared" ca="1" si="371"/>
        <v/>
      </c>
      <c r="AA802" s="316" t="str">
        <f t="shared" ca="1" si="372"/>
        <v/>
      </c>
      <c r="AC802" s="310" t="e">
        <f t="shared" ca="1" si="373"/>
        <v>#N/A</v>
      </c>
      <c r="AD802" s="323" t="e">
        <f t="shared" ca="1" si="374"/>
        <v>#N/A</v>
      </c>
      <c r="AE802" s="324">
        <f t="shared" ca="1" si="353"/>
        <v>-2.5778741088182846</v>
      </c>
      <c r="AG802" s="306">
        <f t="shared" ca="1" si="375"/>
        <v>6.3088229518116492</v>
      </c>
      <c r="AH802" s="304">
        <f t="shared" ca="1" si="376"/>
        <v>-3.4734179064696686</v>
      </c>
    </row>
    <row r="803" spans="1:34" x14ac:dyDescent="0.2">
      <c r="A803" s="347">
        <f t="shared" ca="1" si="354"/>
        <v>1E-4</v>
      </c>
      <c r="B803" s="304">
        <f t="shared" ca="1" si="355"/>
        <v>12.049899999999859</v>
      </c>
      <c r="D803" s="306">
        <f t="shared" ca="1" si="356"/>
        <v>-0.26111733224172634</v>
      </c>
      <c r="E803" s="307">
        <f t="shared" ca="1" si="357"/>
        <v>-6.3463244347044609</v>
      </c>
      <c r="F803" s="304">
        <f t="shared" ca="1" si="358"/>
        <v>6.3516939545072493</v>
      </c>
      <c r="G803" s="306">
        <f t="shared" ca="1" si="359"/>
        <v>3.9041841578029062</v>
      </c>
      <c r="H803" s="307">
        <f t="shared" ca="1" si="360"/>
        <v>-51.78929835795023</v>
      </c>
      <c r="I803" s="304">
        <f t="shared" ca="1" si="361"/>
        <v>51.936250137517874</v>
      </c>
      <c r="J803" s="306">
        <f t="shared" ca="1" si="362"/>
        <v>56.288824373840264</v>
      </c>
      <c r="K803" s="307">
        <f t="shared" ca="1" si="363"/>
        <v>-2.5830530069224573</v>
      </c>
      <c r="L803" s="304">
        <f t="shared" ca="1" si="348"/>
        <v>56.34806041227688</v>
      </c>
      <c r="M803" s="306">
        <f t="shared" ca="1" si="364"/>
        <v>-1.4955527239109458</v>
      </c>
      <c r="N803" s="304">
        <f t="shared" ca="1" si="365"/>
        <v>-85.688859119391239</v>
      </c>
      <c r="P803" s="310">
        <f t="shared" ca="1" si="366"/>
        <v>23</v>
      </c>
      <c r="Q803" s="304">
        <f t="shared" ca="1" si="367"/>
        <v>0</v>
      </c>
      <c r="R803" s="306">
        <f t="shared" ca="1" si="368"/>
        <v>0</v>
      </c>
      <c r="S803" s="307">
        <f t="shared" ca="1" si="369"/>
        <v>2.0843000000000003</v>
      </c>
      <c r="T803" s="304">
        <f t="shared" ca="1" si="349"/>
        <v>20.446983000000003</v>
      </c>
      <c r="U803" s="311">
        <f t="shared" ca="1" si="350"/>
        <v>0</v>
      </c>
      <c r="V803" s="306">
        <f t="shared" ca="1" si="351"/>
        <v>1.2253164648656241</v>
      </c>
      <c r="W803" s="304">
        <f t="shared" ca="1" si="352"/>
        <v>7.2400042188587612</v>
      </c>
      <c r="Y803" s="314" t="str">
        <f t="shared" ca="1" si="370"/>
        <v/>
      </c>
      <c r="Z803" s="315" t="str">
        <f t="shared" ca="1" si="371"/>
        <v/>
      </c>
      <c r="AA803" s="316" t="str">
        <f t="shared" ca="1" si="372"/>
        <v/>
      </c>
      <c r="AC803" s="310" t="e">
        <f t="shared" ca="1" si="373"/>
        <v>#N/A</v>
      </c>
      <c r="AD803" s="323" t="e">
        <f t="shared" ca="1" si="374"/>
        <v>#N/A</v>
      </c>
      <c r="AE803" s="324">
        <f t="shared" ca="1" si="353"/>
        <v>-2.5830530069224573</v>
      </c>
      <c r="AG803" s="306">
        <f t="shared" ca="1" si="375"/>
        <v>6.3087378126420166</v>
      </c>
      <c r="AH803" s="304">
        <f t="shared" ca="1" si="376"/>
        <v>-3.4735040928178584</v>
      </c>
    </row>
    <row r="804" spans="1:34" x14ac:dyDescent="0.2">
      <c r="A804" s="347">
        <f t="shared" ca="1" si="354"/>
        <v>1E-4</v>
      </c>
      <c r="B804" s="304">
        <f t="shared" ca="1" si="355"/>
        <v>12.049999999999859</v>
      </c>
      <c r="D804" s="306">
        <f t="shared" ca="1" si="356"/>
        <v>-0.26111889292539536</v>
      </c>
      <c r="E804" s="307">
        <f t="shared" ca="1" si="357"/>
        <v>-6.3462381214565529</v>
      </c>
      <c r="F804" s="304">
        <f t="shared" ca="1" si="358"/>
        <v>6.3516077783873728</v>
      </c>
      <c r="G804" s="306">
        <f t="shared" ca="1" si="359"/>
        <v>3.9041580459136136</v>
      </c>
      <c r="H804" s="307">
        <f t="shared" ca="1" si="360"/>
        <v>-51.789932981762377</v>
      </c>
      <c r="I804" s="304">
        <f t="shared" ca="1" si="361"/>
        <v>51.936881002837573</v>
      </c>
      <c r="J804" s="306">
        <f t="shared" ca="1" si="362"/>
        <v>56.288824373840264</v>
      </c>
      <c r="K804" s="307">
        <f t="shared" ca="1" si="363"/>
        <v>-2.5882319684894428</v>
      </c>
      <c r="L804" s="304">
        <f t="shared" ca="1" si="348"/>
        <v>56.348298058696898</v>
      </c>
      <c r="M804" s="306">
        <f t="shared" ca="1" si="364"/>
        <v>-1.4955541437948867</v>
      </c>
      <c r="N804" s="304">
        <f t="shared" ca="1" si="365"/>
        <v>-85.688940472748442</v>
      </c>
      <c r="P804" s="310">
        <f t="shared" ca="1" si="366"/>
        <v>23</v>
      </c>
      <c r="Q804" s="304">
        <f t="shared" ca="1" si="367"/>
        <v>0</v>
      </c>
      <c r="R804" s="306">
        <f t="shared" ca="1" si="368"/>
        <v>0</v>
      </c>
      <c r="S804" s="307">
        <f t="shared" ca="1" si="369"/>
        <v>2.0843000000000003</v>
      </c>
      <c r="T804" s="304">
        <f t="shared" ca="1" si="349"/>
        <v>20.446983000000003</v>
      </c>
      <c r="U804" s="311">
        <f t="shared" ca="1" si="350"/>
        <v>0</v>
      </c>
      <c r="V804" s="306">
        <f t="shared" ca="1" si="351"/>
        <v>1.2253170994524871</v>
      </c>
      <c r="W804" s="304">
        <f t="shared" ca="1" si="352"/>
        <v>7.2401838570501438</v>
      </c>
      <c r="Y804" s="314" t="str">
        <f t="shared" ca="1" si="370"/>
        <v/>
      </c>
      <c r="Z804" s="315" t="str">
        <f t="shared" ca="1" si="371"/>
        <v/>
      </c>
      <c r="AA804" s="316" t="str">
        <f t="shared" ca="1" si="372"/>
        <v/>
      </c>
      <c r="AC804" s="310" t="e">
        <f t="shared" ca="1" si="373"/>
        <v>#N/A</v>
      </c>
      <c r="AD804" s="323" t="e">
        <f t="shared" ca="1" si="374"/>
        <v>#N/A</v>
      </c>
      <c r="AE804" s="324">
        <f t="shared" ca="1" si="353"/>
        <v>-2.5882319684894428</v>
      </c>
      <c r="AG804" s="306">
        <f t="shared" ca="1" si="375"/>
        <v>6.3086526734235928</v>
      </c>
      <c r="AH804" s="304">
        <f t="shared" ca="1" si="376"/>
        <v>-3.4735902791626736</v>
      </c>
    </row>
    <row r="805" spans="1:34" x14ac:dyDescent="0.2">
      <c r="A805" s="347">
        <f t="shared" ca="1" si="354"/>
        <v>1E-4</v>
      </c>
      <c r="B805" s="304">
        <f t="shared" ca="1" si="355"/>
        <v>12.050099999999858</v>
      </c>
      <c r="D805" s="306">
        <f t="shared" ca="1" si="356"/>
        <v>-0.26112045351659757</v>
      </c>
      <c r="E805" s="307">
        <f t="shared" ca="1" si="357"/>
        <v>-6.3461518082121202</v>
      </c>
      <c r="F805" s="304">
        <f t="shared" ca="1" si="358"/>
        <v>6.3515216022712764</v>
      </c>
      <c r="G805" s="306">
        <f t="shared" ca="1" si="359"/>
        <v>3.9041319338682619</v>
      </c>
      <c r="H805" s="307">
        <f t="shared" ca="1" si="360"/>
        <v>-51.790567596943198</v>
      </c>
      <c r="I805" s="304">
        <f t="shared" ca="1" si="361"/>
        <v>51.937511859643337</v>
      </c>
      <c r="J805" s="306">
        <f t="shared" ca="1" si="362"/>
        <v>56.288824373840264</v>
      </c>
      <c r="K805" s="307">
        <f t="shared" ca="1" si="363"/>
        <v>-2.5934109935183782</v>
      </c>
      <c r="L805" s="304">
        <f t="shared" ca="1" si="348"/>
        <v>56.348536183030838</v>
      </c>
      <c r="M805" s="306">
        <f t="shared" ca="1" si="364"/>
        <v>-1.4955555636348381</v>
      </c>
      <c r="N805" s="304">
        <f t="shared" ca="1" si="365"/>
        <v>-85.68902182358525</v>
      </c>
      <c r="P805" s="310">
        <f t="shared" ca="1" si="366"/>
        <v>23</v>
      </c>
      <c r="Q805" s="304">
        <f t="shared" ca="1" si="367"/>
        <v>0</v>
      </c>
      <c r="R805" s="306">
        <f t="shared" ca="1" si="368"/>
        <v>0</v>
      </c>
      <c r="S805" s="307">
        <f t="shared" ca="1" si="369"/>
        <v>2.0843000000000003</v>
      </c>
      <c r="T805" s="304">
        <f t="shared" ca="1" si="349"/>
        <v>20.446983000000003</v>
      </c>
      <c r="U805" s="311">
        <f t="shared" ca="1" si="350"/>
        <v>0</v>
      </c>
      <c r="V805" s="306">
        <f t="shared" ca="1" si="351"/>
        <v>1.2253177340474548</v>
      </c>
      <c r="W805" s="304">
        <f t="shared" ca="1" si="352"/>
        <v>7.2403634952343143</v>
      </c>
      <c r="Y805" s="314" t="str">
        <f t="shared" ca="1" si="370"/>
        <v/>
      </c>
      <c r="Z805" s="315" t="str">
        <f t="shared" ca="1" si="371"/>
        <v/>
      </c>
      <c r="AA805" s="316" t="str">
        <f t="shared" ca="1" si="372"/>
        <v/>
      </c>
      <c r="AC805" s="310" t="e">
        <f t="shared" ca="1" si="373"/>
        <v>#N/A</v>
      </c>
      <c r="AD805" s="323" t="e">
        <f t="shared" ca="1" si="374"/>
        <v>#N/A</v>
      </c>
      <c r="AE805" s="324">
        <f t="shared" ca="1" si="353"/>
        <v>-2.5934109935183782</v>
      </c>
      <c r="AG805" s="306">
        <f t="shared" ca="1" si="375"/>
        <v>6.3085675341564196</v>
      </c>
      <c r="AH805" s="304">
        <f t="shared" ca="1" si="376"/>
        <v>-3.4736764655040746</v>
      </c>
    </row>
    <row r="806" spans="1:34" x14ac:dyDescent="0.2">
      <c r="A806" s="347">
        <f t="shared" ca="1" si="354"/>
        <v>1E-4</v>
      </c>
      <c r="B806" s="304">
        <f t="shared" ca="1" si="355"/>
        <v>12.050199999999858</v>
      </c>
      <c r="D806" s="306">
        <f t="shared" ca="1" si="356"/>
        <v>-0.2611220140153333</v>
      </c>
      <c r="E806" s="307">
        <f t="shared" ca="1" si="357"/>
        <v>-6.3460654949712101</v>
      </c>
      <c r="F806" s="304">
        <f t="shared" ca="1" si="358"/>
        <v>6.3514354261590045</v>
      </c>
      <c r="G806" s="306">
        <f t="shared" ca="1" si="359"/>
        <v>3.9041058216668603</v>
      </c>
      <c r="H806" s="307">
        <f t="shared" ca="1" si="360"/>
        <v>-51.791202203492695</v>
      </c>
      <c r="I806" s="304">
        <f t="shared" ca="1" si="361"/>
        <v>51.938142707935178</v>
      </c>
      <c r="J806" s="306">
        <f t="shared" ca="1" si="362"/>
        <v>56.288824373840264</v>
      </c>
      <c r="K806" s="307">
        <f t="shared" ca="1" si="363"/>
        <v>-2.5985900820083998</v>
      </c>
      <c r="L806" s="304">
        <f t="shared" ca="1" si="348"/>
        <v>56.348774785290111</v>
      </c>
      <c r="M806" s="306">
        <f t="shared" ca="1" si="364"/>
        <v>-1.4955569834308022</v>
      </c>
      <c r="N806" s="304">
        <f t="shared" ca="1" si="365"/>
        <v>-85.689103171901763</v>
      </c>
      <c r="P806" s="310">
        <f t="shared" ca="1" si="366"/>
        <v>23</v>
      </c>
      <c r="Q806" s="304">
        <f t="shared" ca="1" si="367"/>
        <v>0</v>
      </c>
      <c r="R806" s="306">
        <f t="shared" ca="1" si="368"/>
        <v>0</v>
      </c>
      <c r="S806" s="307">
        <f t="shared" ca="1" si="369"/>
        <v>2.0843000000000003</v>
      </c>
      <c r="T806" s="304">
        <f t="shared" ca="1" si="349"/>
        <v>20.446983000000003</v>
      </c>
      <c r="U806" s="311">
        <f t="shared" ca="1" si="350"/>
        <v>0</v>
      </c>
      <c r="V806" s="306">
        <f t="shared" ca="1" si="351"/>
        <v>1.2253183686505271</v>
      </c>
      <c r="W806" s="304">
        <f t="shared" ca="1" si="352"/>
        <v>7.2405431334112</v>
      </c>
      <c r="Y806" s="314" t="str">
        <f t="shared" ca="1" si="370"/>
        <v/>
      </c>
      <c r="Z806" s="315" t="str">
        <f t="shared" ca="1" si="371"/>
        <v/>
      </c>
      <c r="AA806" s="316" t="str">
        <f t="shared" ca="1" si="372"/>
        <v/>
      </c>
      <c r="AC806" s="310" t="e">
        <f t="shared" ca="1" si="373"/>
        <v>#N/A</v>
      </c>
      <c r="AD806" s="323" t="e">
        <f t="shared" ca="1" si="374"/>
        <v>#N/A</v>
      </c>
      <c r="AE806" s="324">
        <f t="shared" ca="1" si="353"/>
        <v>-2.5985900820083998</v>
      </c>
      <c r="AG806" s="306">
        <f t="shared" ca="1" si="375"/>
        <v>6.308482394840544</v>
      </c>
      <c r="AH806" s="304">
        <f t="shared" ca="1" si="376"/>
        <v>-3.4737626518420157</v>
      </c>
    </row>
    <row r="807" spans="1:34" x14ac:dyDescent="0.2">
      <c r="A807" s="347">
        <f t="shared" ca="1" si="354"/>
        <v>1E-4</v>
      </c>
      <c r="B807" s="304">
        <f t="shared" ca="1" si="355"/>
        <v>12.050299999999858</v>
      </c>
      <c r="D807" s="306">
        <f t="shared" ca="1" si="356"/>
        <v>-0.26112357442160344</v>
      </c>
      <c r="E807" s="307">
        <f t="shared" ca="1" si="357"/>
        <v>-6.345979181733858</v>
      </c>
      <c r="F807" s="304">
        <f t="shared" ca="1" si="358"/>
        <v>6.3513492500505935</v>
      </c>
      <c r="G807" s="306">
        <f t="shared" ca="1" si="359"/>
        <v>3.9040797093094182</v>
      </c>
      <c r="H807" s="307">
        <f t="shared" ca="1" si="360"/>
        <v>-51.791836801410867</v>
      </c>
      <c r="I807" s="304">
        <f t="shared" ca="1" si="361"/>
        <v>51.938773547713069</v>
      </c>
      <c r="J807" s="306">
        <f t="shared" ca="1" si="362"/>
        <v>56.288824373840264</v>
      </c>
      <c r="K807" s="307">
        <f t="shared" ca="1" si="363"/>
        <v>-2.6037692339586451</v>
      </c>
      <c r="L807" s="304">
        <f t="shared" ca="1" si="348"/>
        <v>56.349013865486093</v>
      </c>
      <c r="M807" s="306">
        <f t="shared" ca="1" si="364"/>
        <v>-1.4955584031827809</v>
      </c>
      <c r="N807" s="304">
        <f t="shared" ca="1" si="365"/>
        <v>-85.689184517698095</v>
      </c>
      <c r="P807" s="310">
        <f t="shared" ca="1" si="366"/>
        <v>23</v>
      </c>
      <c r="Q807" s="304">
        <f t="shared" ca="1" si="367"/>
        <v>0</v>
      </c>
      <c r="R807" s="306">
        <f t="shared" ca="1" si="368"/>
        <v>0</v>
      </c>
      <c r="S807" s="307">
        <f t="shared" ca="1" si="369"/>
        <v>2.0843000000000003</v>
      </c>
      <c r="T807" s="304">
        <f t="shared" ca="1" si="349"/>
        <v>20.446983000000003</v>
      </c>
      <c r="U807" s="311">
        <f t="shared" ca="1" si="350"/>
        <v>0</v>
      </c>
      <c r="V807" s="306">
        <f t="shared" ca="1" si="351"/>
        <v>1.2253190032617041</v>
      </c>
      <c r="W807" s="304">
        <f t="shared" ca="1" si="352"/>
        <v>7.2407227715807023</v>
      </c>
      <c r="Y807" s="314" t="str">
        <f t="shared" ca="1" si="370"/>
        <v/>
      </c>
      <c r="Z807" s="315" t="str">
        <f t="shared" ca="1" si="371"/>
        <v/>
      </c>
      <c r="AA807" s="316" t="str">
        <f t="shared" ca="1" si="372"/>
        <v/>
      </c>
      <c r="AC807" s="310" t="e">
        <f t="shared" ca="1" si="373"/>
        <v>#N/A</v>
      </c>
      <c r="AD807" s="323" t="e">
        <f t="shared" ca="1" si="374"/>
        <v>#N/A</v>
      </c>
      <c r="AE807" s="324">
        <f t="shared" ca="1" si="353"/>
        <v>-2.6037692339586451</v>
      </c>
      <c r="AG807" s="306">
        <f t="shared" ca="1" si="375"/>
        <v>6.3083972554760077</v>
      </c>
      <c r="AH807" s="304">
        <f t="shared" ca="1" si="376"/>
        <v>-3.4738488381764618</v>
      </c>
    </row>
    <row r="808" spans="1:34" x14ac:dyDescent="0.2">
      <c r="A808" s="347">
        <f t="shared" ca="1" si="354"/>
        <v>1E-4</v>
      </c>
      <c r="B808" s="304">
        <f t="shared" ca="1" si="355"/>
        <v>12.050399999999858</v>
      </c>
      <c r="D808" s="306">
        <f t="shared" ca="1" si="356"/>
        <v>-0.26112513473540977</v>
      </c>
      <c r="E808" s="307">
        <f t="shared" ca="1" si="357"/>
        <v>-6.3458928685001093</v>
      </c>
      <c r="F808" s="304">
        <f t="shared" ca="1" si="358"/>
        <v>6.3512630739460896</v>
      </c>
      <c r="G808" s="306">
        <f t="shared" ca="1" si="359"/>
        <v>3.9040535967959444</v>
      </c>
      <c r="H808" s="307">
        <f t="shared" ca="1" si="360"/>
        <v>-51.792471390697713</v>
      </c>
      <c r="I808" s="304">
        <f t="shared" ca="1" si="361"/>
        <v>51.939404378977009</v>
      </c>
      <c r="J808" s="306">
        <f t="shared" ca="1" si="362"/>
        <v>56.288824373840264</v>
      </c>
      <c r="K808" s="307">
        <f t="shared" ca="1" si="363"/>
        <v>-2.6089484493682504</v>
      </c>
      <c r="L808" s="304">
        <f t="shared" ca="1" si="348"/>
        <v>56.349253423630152</v>
      </c>
      <c r="M808" s="306">
        <f t="shared" ca="1" si="364"/>
        <v>-1.4955598228907763</v>
      </c>
      <c r="N808" s="304">
        <f t="shared" ca="1" si="365"/>
        <v>-85.689265860974359</v>
      </c>
      <c r="P808" s="310">
        <f t="shared" ca="1" si="366"/>
        <v>23</v>
      </c>
      <c r="Q808" s="304">
        <f t="shared" ca="1" si="367"/>
        <v>0</v>
      </c>
      <c r="R808" s="306">
        <f t="shared" ca="1" si="368"/>
        <v>0</v>
      </c>
      <c r="S808" s="307">
        <f t="shared" ca="1" si="369"/>
        <v>2.0843000000000003</v>
      </c>
      <c r="T808" s="304">
        <f t="shared" ca="1" si="349"/>
        <v>20.446983000000003</v>
      </c>
      <c r="U808" s="311">
        <f t="shared" ca="1" si="350"/>
        <v>0</v>
      </c>
      <c r="V808" s="306">
        <f t="shared" ca="1" si="351"/>
        <v>1.2253196378809854</v>
      </c>
      <c r="W808" s="304">
        <f t="shared" ca="1" si="352"/>
        <v>7.2409024097427421</v>
      </c>
      <c r="Y808" s="314" t="str">
        <f t="shared" ca="1" si="370"/>
        <v/>
      </c>
      <c r="Z808" s="315" t="str">
        <f t="shared" ca="1" si="371"/>
        <v/>
      </c>
      <c r="AA808" s="316" t="str">
        <f t="shared" ca="1" si="372"/>
        <v/>
      </c>
      <c r="AC808" s="310" t="e">
        <f t="shared" ca="1" si="373"/>
        <v>#N/A</v>
      </c>
      <c r="AD808" s="323" t="e">
        <f t="shared" ca="1" si="374"/>
        <v>#N/A</v>
      </c>
      <c r="AE808" s="324">
        <f t="shared" ca="1" si="353"/>
        <v>-2.6089484493682504</v>
      </c>
      <c r="AG808" s="306">
        <f t="shared" ca="1" si="375"/>
        <v>6.3083121160628597</v>
      </c>
      <c r="AH808" s="304">
        <f t="shared" ca="1" si="376"/>
        <v>-3.4739350245073655</v>
      </c>
    </row>
    <row r="809" spans="1:34" x14ac:dyDescent="0.2">
      <c r="A809" s="347">
        <f t="shared" ca="1" si="354"/>
        <v>1E-4</v>
      </c>
      <c r="B809" s="304">
        <f t="shared" ca="1" si="355"/>
        <v>12.050499999999857</v>
      </c>
      <c r="D809" s="306">
        <f t="shared" ca="1" si="356"/>
        <v>-0.261126694956753</v>
      </c>
      <c r="E809" s="307">
        <f t="shared" ca="1" si="357"/>
        <v>-6.3458065552700038</v>
      </c>
      <c r="F809" s="304">
        <f t="shared" ca="1" si="358"/>
        <v>6.3511768978455319</v>
      </c>
      <c r="G809" s="306">
        <f t="shared" ca="1" si="359"/>
        <v>3.9040274841264488</v>
      </c>
      <c r="H809" s="307">
        <f t="shared" ca="1" si="360"/>
        <v>-51.793105971353242</v>
      </c>
      <c r="I809" s="304">
        <f t="shared" ca="1" si="361"/>
        <v>51.940035201727014</v>
      </c>
      <c r="J809" s="306">
        <f t="shared" ca="1" si="362"/>
        <v>56.288824373840264</v>
      </c>
      <c r="K809" s="307">
        <f t="shared" ca="1" si="363"/>
        <v>-2.6141277282363529</v>
      </c>
      <c r="L809" s="304">
        <f t="shared" ca="1" si="348"/>
        <v>56.349493459733672</v>
      </c>
      <c r="M809" s="306">
        <f t="shared" ca="1" si="364"/>
        <v>-1.4955612425547906</v>
      </c>
      <c r="N809" s="304">
        <f t="shared" ca="1" si="365"/>
        <v>-85.689347201730712</v>
      </c>
      <c r="P809" s="310">
        <f t="shared" ca="1" si="366"/>
        <v>23</v>
      </c>
      <c r="Q809" s="304">
        <f t="shared" ca="1" si="367"/>
        <v>0</v>
      </c>
      <c r="R809" s="306">
        <f t="shared" ca="1" si="368"/>
        <v>0</v>
      </c>
      <c r="S809" s="307">
        <f t="shared" ca="1" si="369"/>
        <v>2.0843000000000003</v>
      </c>
      <c r="T809" s="304">
        <f t="shared" ca="1" si="349"/>
        <v>20.446983000000003</v>
      </c>
      <c r="U809" s="311">
        <f t="shared" ca="1" si="350"/>
        <v>0</v>
      </c>
      <c r="V809" s="306">
        <f t="shared" ca="1" si="351"/>
        <v>1.2253202725083712</v>
      </c>
      <c r="W809" s="304">
        <f t="shared" ca="1" si="352"/>
        <v>7.2410820478972395</v>
      </c>
      <c r="Y809" s="314" t="str">
        <f t="shared" ca="1" si="370"/>
        <v/>
      </c>
      <c r="Z809" s="315" t="str">
        <f t="shared" ca="1" si="371"/>
        <v/>
      </c>
      <c r="AA809" s="316" t="str">
        <f t="shared" ca="1" si="372"/>
        <v/>
      </c>
      <c r="AC809" s="310" t="e">
        <f t="shared" ca="1" si="373"/>
        <v>#N/A</v>
      </c>
      <c r="AD809" s="323" t="e">
        <f t="shared" ca="1" si="374"/>
        <v>#N/A</v>
      </c>
      <c r="AE809" s="324">
        <f t="shared" ca="1" si="353"/>
        <v>-2.6141277282363529</v>
      </c>
      <c r="AG809" s="306">
        <f t="shared" ca="1" si="375"/>
        <v>6.3082269766011425</v>
      </c>
      <c r="AH809" s="304">
        <f t="shared" ca="1" si="376"/>
        <v>-3.4740212108346884</v>
      </c>
    </row>
    <row r="810" spans="1:34" x14ac:dyDescent="0.2">
      <c r="A810" s="347">
        <f t="shared" ca="1" si="354"/>
        <v>1E-4</v>
      </c>
      <c r="B810" s="304">
        <f t="shared" ca="1" si="355"/>
        <v>12.050599999999857</v>
      </c>
      <c r="D810" s="306">
        <f t="shared" ca="1" si="356"/>
        <v>-0.26112825508563398</v>
      </c>
      <c r="E810" s="307">
        <f t="shared" ca="1" si="357"/>
        <v>-6.3457202420435799</v>
      </c>
      <c r="F810" s="304">
        <f t="shared" ca="1" si="358"/>
        <v>6.3510907217489576</v>
      </c>
      <c r="G810" s="306">
        <f t="shared" ca="1" si="359"/>
        <v>3.9040013713009403</v>
      </c>
      <c r="H810" s="307">
        <f t="shared" ca="1" si="360"/>
        <v>-51.793740543377446</v>
      </c>
      <c r="I810" s="304">
        <f t="shared" ca="1" si="361"/>
        <v>51.94066601596306</v>
      </c>
      <c r="J810" s="306">
        <f t="shared" ca="1" si="362"/>
        <v>56.288824373840264</v>
      </c>
      <c r="K810" s="307">
        <f t="shared" ca="1" si="363"/>
        <v>-2.6193070705620896</v>
      </c>
      <c r="L810" s="304">
        <f t="shared" ca="1" si="348"/>
        <v>56.349733973807993</v>
      </c>
      <c r="M810" s="306">
        <f t="shared" ca="1" si="364"/>
        <v>-1.4955626621748261</v>
      </c>
      <c r="N810" s="304">
        <f t="shared" ca="1" si="365"/>
        <v>-85.689428539967267</v>
      </c>
      <c r="P810" s="310">
        <f t="shared" ca="1" si="366"/>
        <v>23</v>
      </c>
      <c r="Q810" s="304">
        <f t="shared" ca="1" si="367"/>
        <v>0</v>
      </c>
      <c r="R810" s="306">
        <f t="shared" ca="1" si="368"/>
        <v>0</v>
      </c>
      <c r="S810" s="307">
        <f t="shared" ca="1" si="369"/>
        <v>2.0843000000000003</v>
      </c>
      <c r="T810" s="304">
        <f t="shared" ca="1" si="349"/>
        <v>20.446983000000003</v>
      </c>
      <c r="U810" s="311">
        <f t="shared" ca="1" si="350"/>
        <v>0</v>
      </c>
      <c r="V810" s="306">
        <f t="shared" ca="1" si="351"/>
        <v>1.2253209071438615</v>
      </c>
      <c r="W810" s="304">
        <f t="shared" ca="1" si="352"/>
        <v>7.2412616860441039</v>
      </c>
      <c r="Y810" s="314" t="str">
        <f t="shared" ca="1" si="370"/>
        <v/>
      </c>
      <c r="Z810" s="315" t="str">
        <f t="shared" ca="1" si="371"/>
        <v/>
      </c>
      <c r="AA810" s="316" t="str">
        <f t="shared" ca="1" si="372"/>
        <v/>
      </c>
      <c r="AC810" s="310" t="e">
        <f t="shared" ca="1" si="373"/>
        <v>#N/A</v>
      </c>
      <c r="AD810" s="323" t="e">
        <f t="shared" ca="1" si="374"/>
        <v>#N/A</v>
      </c>
      <c r="AE810" s="324">
        <f t="shared" ca="1" si="353"/>
        <v>-2.6193070705620896</v>
      </c>
      <c r="AG810" s="306">
        <f t="shared" ca="1" si="375"/>
        <v>6.308141837090897</v>
      </c>
      <c r="AH810" s="304">
        <f t="shared" ca="1" si="376"/>
        <v>-3.4741073971583929</v>
      </c>
    </row>
    <row r="811" spans="1:34" x14ac:dyDescent="0.2">
      <c r="A811" s="347">
        <f t="shared" ca="1" si="354"/>
        <v>1E-4</v>
      </c>
      <c r="B811" s="304">
        <f t="shared" ca="1" si="355"/>
        <v>12.050699999999857</v>
      </c>
      <c r="D811" s="306">
        <f t="shared" ca="1" si="356"/>
        <v>-0.26112981512205324</v>
      </c>
      <c r="E811" s="307">
        <f t="shared" ca="1" si="357"/>
        <v>-6.3456339288208801</v>
      </c>
      <c r="F811" s="304">
        <f t="shared" ca="1" si="358"/>
        <v>6.3510045456564113</v>
      </c>
      <c r="G811" s="306">
        <f t="shared" ca="1" si="359"/>
        <v>3.903975258319428</v>
      </c>
      <c r="H811" s="307">
        <f t="shared" ca="1" si="360"/>
        <v>-51.794375106770325</v>
      </c>
      <c r="I811" s="304">
        <f t="shared" ca="1" si="361"/>
        <v>51.94129682168515</v>
      </c>
      <c r="J811" s="306">
        <f t="shared" ca="1" si="362"/>
        <v>56.288824373840264</v>
      </c>
      <c r="K811" s="307">
        <f t="shared" ca="1" si="363"/>
        <v>-2.6244864763445968</v>
      </c>
      <c r="L811" s="304">
        <f t="shared" ca="1" si="348"/>
        <v>56.34997496586444</v>
      </c>
      <c r="M811" s="306">
        <f t="shared" ca="1" si="364"/>
        <v>-1.4955640817508848</v>
      </c>
      <c r="N811" s="304">
        <f t="shared" ca="1" si="365"/>
        <v>-85.689509875684124</v>
      </c>
      <c r="P811" s="310">
        <f t="shared" ca="1" si="366"/>
        <v>23</v>
      </c>
      <c r="Q811" s="304">
        <f t="shared" ca="1" si="367"/>
        <v>0</v>
      </c>
      <c r="R811" s="306">
        <f t="shared" ca="1" si="368"/>
        <v>0</v>
      </c>
      <c r="S811" s="307">
        <f t="shared" ca="1" si="369"/>
        <v>2.0843000000000003</v>
      </c>
      <c r="T811" s="304">
        <f t="shared" ca="1" si="349"/>
        <v>20.446983000000003</v>
      </c>
      <c r="U811" s="311">
        <f t="shared" ca="1" si="350"/>
        <v>0</v>
      </c>
      <c r="V811" s="306">
        <f t="shared" ca="1" si="351"/>
        <v>1.2253215417874557</v>
      </c>
      <c r="W811" s="304">
        <f t="shared" ca="1" si="352"/>
        <v>7.2414413241832483</v>
      </c>
      <c r="Y811" s="314" t="str">
        <f t="shared" ca="1" si="370"/>
        <v/>
      </c>
      <c r="Z811" s="315" t="str">
        <f t="shared" ca="1" si="371"/>
        <v/>
      </c>
      <c r="AA811" s="316" t="str">
        <f t="shared" ca="1" si="372"/>
        <v/>
      </c>
      <c r="AC811" s="310" t="e">
        <f t="shared" ca="1" si="373"/>
        <v>#N/A</v>
      </c>
      <c r="AD811" s="323" t="e">
        <f t="shared" ca="1" si="374"/>
        <v>#N/A</v>
      </c>
      <c r="AE811" s="324">
        <f t="shared" ca="1" si="353"/>
        <v>-2.6244864763445968</v>
      </c>
      <c r="AG811" s="306">
        <f t="shared" ca="1" si="375"/>
        <v>6.3080566975321712</v>
      </c>
      <c r="AH811" s="304">
        <f t="shared" ca="1" si="376"/>
        <v>-3.4741935834784354</v>
      </c>
    </row>
    <row r="812" spans="1:34" x14ac:dyDescent="0.2">
      <c r="A812" s="347">
        <f t="shared" ca="1" si="354"/>
        <v>1E-4</v>
      </c>
      <c r="B812" s="304">
        <f t="shared" ca="1" si="355"/>
        <v>12.050799999999857</v>
      </c>
      <c r="D812" s="306">
        <f t="shared" ca="1" si="356"/>
        <v>-0.26113137506601197</v>
      </c>
      <c r="E812" s="307">
        <f t="shared" ca="1" si="357"/>
        <v>-6.3455476156019461</v>
      </c>
      <c r="F812" s="304">
        <f t="shared" ca="1" si="358"/>
        <v>6.3509183695679328</v>
      </c>
      <c r="G812" s="306">
        <f t="shared" ca="1" si="359"/>
        <v>3.9039491451819215</v>
      </c>
      <c r="H812" s="307">
        <f t="shared" ca="1" si="360"/>
        <v>-51.795009661531886</v>
      </c>
      <c r="I812" s="304">
        <f t="shared" ca="1" si="361"/>
        <v>51.941927618893281</v>
      </c>
      <c r="J812" s="306">
        <f t="shared" ca="1" si="362"/>
        <v>56.288824373840264</v>
      </c>
      <c r="K812" s="307">
        <f t="shared" ca="1" si="363"/>
        <v>-2.629665945583012</v>
      </c>
      <c r="L812" s="304">
        <f t="shared" ca="1" si="348"/>
        <v>56.350216435914362</v>
      </c>
      <c r="M812" s="306">
        <f t="shared" ca="1" si="364"/>
        <v>-1.4955655012829689</v>
      </c>
      <c r="N812" s="304">
        <f t="shared" ca="1" si="365"/>
        <v>-85.689591208881424</v>
      </c>
      <c r="P812" s="310">
        <f t="shared" ca="1" si="366"/>
        <v>23</v>
      </c>
      <c r="Q812" s="304">
        <f t="shared" ca="1" si="367"/>
        <v>0</v>
      </c>
      <c r="R812" s="306">
        <f t="shared" ca="1" si="368"/>
        <v>0</v>
      </c>
      <c r="S812" s="307">
        <f t="shared" ca="1" si="369"/>
        <v>2.0843000000000003</v>
      </c>
      <c r="T812" s="304">
        <f t="shared" ca="1" si="349"/>
        <v>20.446983000000003</v>
      </c>
      <c r="U812" s="311">
        <f t="shared" ca="1" si="350"/>
        <v>0</v>
      </c>
      <c r="V812" s="306">
        <f t="shared" ca="1" si="351"/>
        <v>1.2253221764391546</v>
      </c>
      <c r="W812" s="304">
        <f t="shared" ca="1" si="352"/>
        <v>7.2416209623145962</v>
      </c>
      <c r="Y812" s="314" t="str">
        <f t="shared" ca="1" si="370"/>
        <v/>
      </c>
      <c r="Z812" s="315" t="str">
        <f t="shared" ca="1" si="371"/>
        <v/>
      </c>
      <c r="AA812" s="316" t="str">
        <f t="shared" ca="1" si="372"/>
        <v/>
      </c>
      <c r="AC812" s="310" t="e">
        <f t="shared" ca="1" si="373"/>
        <v>#N/A</v>
      </c>
      <c r="AD812" s="323" t="e">
        <f t="shared" ca="1" si="374"/>
        <v>#N/A</v>
      </c>
      <c r="AE812" s="324">
        <f t="shared" ca="1" si="353"/>
        <v>-2.629665945583012</v>
      </c>
      <c r="AG812" s="306">
        <f t="shared" ca="1" si="375"/>
        <v>6.3079715579250086</v>
      </c>
      <c r="AH812" s="304">
        <f t="shared" ca="1" si="376"/>
        <v>-3.4742797697947738</v>
      </c>
    </row>
    <row r="813" spans="1:34" x14ac:dyDescent="0.2">
      <c r="A813" s="347">
        <f t="shared" ca="1" si="354"/>
        <v>1E-4</v>
      </c>
      <c r="B813" s="304">
        <f t="shared" ca="1" si="355"/>
        <v>12.050899999999857</v>
      </c>
      <c r="D813" s="306">
        <f t="shared" ca="1" si="356"/>
        <v>-0.26113293491751116</v>
      </c>
      <c r="E813" s="307">
        <f t="shared" ca="1" si="357"/>
        <v>-6.3454613023868163</v>
      </c>
      <c r="F813" s="304">
        <f t="shared" ca="1" si="358"/>
        <v>6.3508321934835612</v>
      </c>
      <c r="G813" s="306">
        <f t="shared" ca="1" si="359"/>
        <v>3.9039230318884299</v>
      </c>
      <c r="H813" s="307">
        <f t="shared" ca="1" si="360"/>
        <v>-51.795644207662122</v>
      </c>
      <c r="I813" s="304">
        <f t="shared" ca="1" si="361"/>
        <v>51.942558407587427</v>
      </c>
      <c r="J813" s="306">
        <f t="shared" ca="1" si="362"/>
        <v>56.288824373840264</v>
      </c>
      <c r="K813" s="307">
        <f t="shared" ca="1" si="363"/>
        <v>-2.6348454782764716</v>
      </c>
      <c r="L813" s="304">
        <f t="shared" ca="1" si="348"/>
        <v>56.350458383969048</v>
      </c>
      <c r="M813" s="306">
        <f t="shared" ca="1" si="364"/>
        <v>-1.4955669207710802</v>
      </c>
      <c r="N813" s="304">
        <f t="shared" ca="1" si="365"/>
        <v>-85.689672539559268</v>
      </c>
      <c r="P813" s="310">
        <f t="shared" ca="1" si="366"/>
        <v>23</v>
      </c>
      <c r="Q813" s="304">
        <f t="shared" ca="1" si="367"/>
        <v>0</v>
      </c>
      <c r="R813" s="306">
        <f t="shared" ca="1" si="368"/>
        <v>0</v>
      </c>
      <c r="S813" s="307">
        <f t="shared" ca="1" si="369"/>
        <v>2.0843000000000003</v>
      </c>
      <c r="T813" s="304">
        <f t="shared" ca="1" si="349"/>
        <v>20.446983000000003</v>
      </c>
      <c r="U813" s="311">
        <f t="shared" ca="1" si="350"/>
        <v>0</v>
      </c>
      <c r="V813" s="306">
        <f t="shared" ca="1" si="351"/>
        <v>1.2253228110989569</v>
      </c>
      <c r="W813" s="304">
        <f t="shared" ca="1" si="352"/>
        <v>7.2418006004380455</v>
      </c>
      <c r="Y813" s="314" t="str">
        <f t="shared" ca="1" si="370"/>
        <v/>
      </c>
      <c r="Z813" s="315" t="str">
        <f t="shared" ca="1" si="371"/>
        <v/>
      </c>
      <c r="AA813" s="316" t="str">
        <f t="shared" ca="1" si="372"/>
        <v/>
      </c>
      <c r="AC813" s="310" t="e">
        <f t="shared" ca="1" si="373"/>
        <v>#N/A</v>
      </c>
      <c r="AD813" s="323" t="e">
        <f t="shared" ca="1" si="374"/>
        <v>#N/A</v>
      </c>
      <c r="AE813" s="324">
        <f t="shared" ca="1" si="353"/>
        <v>-2.6348454782764716</v>
      </c>
      <c r="AG813" s="306">
        <f t="shared" ca="1" si="375"/>
        <v>6.307886418269451</v>
      </c>
      <c r="AH813" s="304">
        <f t="shared" ca="1" si="376"/>
        <v>-3.4743659561073721</v>
      </c>
    </row>
    <row r="814" spans="1:34" x14ac:dyDescent="0.2">
      <c r="A814" s="347">
        <f t="shared" ca="1" si="354"/>
        <v>1E-4</v>
      </c>
      <c r="B814" s="304">
        <f t="shared" ca="1" si="355"/>
        <v>12.050999999999856</v>
      </c>
      <c r="D814" s="306">
        <f t="shared" ca="1" si="356"/>
        <v>-0.2611344946765522</v>
      </c>
      <c r="E814" s="307">
        <f t="shared" ca="1" si="357"/>
        <v>-6.3453749891755376</v>
      </c>
      <c r="F814" s="304">
        <f t="shared" ca="1" si="358"/>
        <v>6.3507460174033437</v>
      </c>
      <c r="G814" s="306">
        <f t="shared" ca="1" si="359"/>
        <v>3.9038969184389622</v>
      </c>
      <c r="H814" s="307">
        <f t="shared" ca="1" si="360"/>
        <v>-51.79627874516104</v>
      </c>
      <c r="I814" s="304">
        <f t="shared" ca="1" si="361"/>
        <v>51.943189187767615</v>
      </c>
      <c r="J814" s="306">
        <f t="shared" ca="1" si="362"/>
        <v>56.288824373840264</v>
      </c>
      <c r="K814" s="307">
        <f t="shared" ca="1" si="363"/>
        <v>-2.6400250744241127</v>
      </c>
      <c r="L814" s="304">
        <f t="shared" ca="1" si="348"/>
        <v>56.350700810039818</v>
      </c>
      <c r="M814" s="306">
        <f t="shared" ca="1" si="364"/>
        <v>-1.4955683402152213</v>
      </c>
      <c r="N814" s="304">
        <f t="shared" ca="1" si="365"/>
        <v>-85.689753867717812</v>
      </c>
      <c r="P814" s="310">
        <f t="shared" ca="1" si="366"/>
        <v>23</v>
      </c>
      <c r="Q814" s="304">
        <f t="shared" ca="1" si="367"/>
        <v>0</v>
      </c>
      <c r="R814" s="306">
        <f t="shared" ca="1" si="368"/>
        <v>0</v>
      </c>
      <c r="S814" s="307">
        <f t="shared" ca="1" si="369"/>
        <v>2.0843000000000003</v>
      </c>
      <c r="T814" s="304">
        <f t="shared" ca="1" si="349"/>
        <v>20.446983000000003</v>
      </c>
      <c r="U814" s="311">
        <f t="shared" ca="1" si="350"/>
        <v>0</v>
      </c>
      <c r="V814" s="306">
        <f t="shared" ca="1" si="351"/>
        <v>1.2253234457668636</v>
      </c>
      <c r="W814" s="304">
        <f t="shared" ca="1" si="352"/>
        <v>7.2419802385535306</v>
      </c>
      <c r="Y814" s="314" t="str">
        <f t="shared" ca="1" si="370"/>
        <v/>
      </c>
      <c r="Z814" s="315" t="str">
        <f t="shared" ca="1" si="371"/>
        <v/>
      </c>
      <c r="AA814" s="316" t="str">
        <f t="shared" ca="1" si="372"/>
        <v/>
      </c>
      <c r="AC814" s="310" t="e">
        <f t="shared" ca="1" si="373"/>
        <v>#N/A</v>
      </c>
      <c r="AD814" s="323" t="e">
        <f t="shared" ca="1" si="374"/>
        <v>#N/A</v>
      </c>
      <c r="AE814" s="324">
        <f t="shared" ca="1" si="353"/>
        <v>-2.6400250744241127</v>
      </c>
      <c r="AG814" s="306">
        <f t="shared" ca="1" si="375"/>
        <v>6.307801278565548</v>
      </c>
      <c r="AH814" s="304">
        <f t="shared" ca="1" si="376"/>
        <v>-3.4744521424161805</v>
      </c>
    </row>
    <row r="815" spans="1:34" x14ac:dyDescent="0.2">
      <c r="A815" s="347">
        <f t="shared" ca="1" si="354"/>
        <v>1E-4</v>
      </c>
      <c r="B815" s="304">
        <f t="shared" ca="1" si="355"/>
        <v>12.051099999999856</v>
      </c>
      <c r="D815" s="306">
        <f t="shared" ca="1" si="356"/>
        <v>-0.26113605434313503</v>
      </c>
      <c r="E815" s="307">
        <f t="shared" ca="1" si="357"/>
        <v>-6.3452886759681437</v>
      </c>
      <c r="F815" s="304">
        <f t="shared" ca="1" si="358"/>
        <v>6.3506598413273139</v>
      </c>
      <c r="G815" s="306">
        <f t="shared" ca="1" si="359"/>
        <v>3.9038708048335278</v>
      </c>
      <c r="H815" s="307">
        <f t="shared" ca="1" si="360"/>
        <v>-51.79691327402864</v>
      </c>
      <c r="I815" s="304">
        <f t="shared" ca="1" si="361"/>
        <v>51.943819959433824</v>
      </c>
      <c r="J815" s="306">
        <f t="shared" ca="1" si="362"/>
        <v>56.288824373840264</v>
      </c>
      <c r="K815" s="307">
        <f t="shared" ca="1" si="363"/>
        <v>-2.6452047340250724</v>
      </c>
      <c r="L815" s="304">
        <f t="shared" ca="1" si="348"/>
        <v>56.350943714137941</v>
      </c>
      <c r="M815" s="306">
        <f t="shared" ca="1" si="364"/>
        <v>-1.4955697596153941</v>
      </c>
      <c r="N815" s="304">
        <f t="shared" ca="1" si="365"/>
        <v>-85.689835193357155</v>
      </c>
      <c r="P815" s="310">
        <f t="shared" ca="1" si="366"/>
        <v>23</v>
      </c>
      <c r="Q815" s="304">
        <f t="shared" ca="1" si="367"/>
        <v>0</v>
      </c>
      <c r="R815" s="306">
        <f t="shared" ca="1" si="368"/>
        <v>0</v>
      </c>
      <c r="S815" s="307">
        <f t="shared" ca="1" si="369"/>
        <v>2.0843000000000003</v>
      </c>
      <c r="T815" s="304">
        <f t="shared" ca="1" si="349"/>
        <v>20.446983000000003</v>
      </c>
      <c r="U815" s="311">
        <f t="shared" ca="1" si="350"/>
        <v>0</v>
      </c>
      <c r="V815" s="306">
        <f t="shared" ca="1" si="351"/>
        <v>1.2253240804428742</v>
      </c>
      <c r="W815" s="304">
        <f t="shared" ca="1" si="352"/>
        <v>7.2421598766609563</v>
      </c>
      <c r="Y815" s="314" t="str">
        <f t="shared" ca="1" si="370"/>
        <v/>
      </c>
      <c r="Z815" s="315" t="str">
        <f t="shared" ca="1" si="371"/>
        <v/>
      </c>
      <c r="AA815" s="316" t="str">
        <f t="shared" ca="1" si="372"/>
        <v/>
      </c>
      <c r="AC815" s="310" t="e">
        <f t="shared" ca="1" si="373"/>
        <v>#N/A</v>
      </c>
      <c r="AD815" s="323" t="e">
        <f t="shared" ca="1" si="374"/>
        <v>#N/A</v>
      </c>
      <c r="AE815" s="324">
        <f t="shared" ca="1" si="353"/>
        <v>-2.6452047340250724</v>
      </c>
      <c r="AG815" s="306">
        <f t="shared" ca="1" si="375"/>
        <v>6.3077161388133378</v>
      </c>
      <c r="AH815" s="304">
        <f t="shared" ca="1" si="376"/>
        <v>-3.4745383287211675</v>
      </c>
    </row>
    <row r="816" spans="1:34" x14ac:dyDescent="0.2">
      <c r="A816" s="347">
        <f t="shared" ca="1" si="354"/>
        <v>1E-4</v>
      </c>
      <c r="B816" s="304">
        <f t="shared" ca="1" si="355"/>
        <v>12.051199999999856</v>
      </c>
      <c r="D816" s="306">
        <f t="shared" ca="1" si="356"/>
        <v>-0.26113761391726142</v>
      </c>
      <c r="E816" s="307">
        <f t="shared" ca="1" si="357"/>
        <v>-6.3452023627646783</v>
      </c>
      <c r="F816" s="304">
        <f t="shared" ca="1" si="358"/>
        <v>6.3505736652555145</v>
      </c>
      <c r="G816" s="306">
        <f t="shared" ca="1" si="359"/>
        <v>3.9038446910721358</v>
      </c>
      <c r="H816" s="307">
        <f t="shared" ca="1" si="360"/>
        <v>-51.797547794264915</v>
      </c>
      <c r="I816" s="304">
        <f t="shared" ca="1" si="361"/>
        <v>51.944450722586055</v>
      </c>
      <c r="J816" s="306">
        <f t="shared" ca="1" si="362"/>
        <v>56.288824373840264</v>
      </c>
      <c r="K816" s="307">
        <f t="shared" ca="1" si="363"/>
        <v>-2.6503844570784869</v>
      </c>
      <c r="L816" s="304">
        <f t="shared" ca="1" si="348"/>
        <v>56.351187096274707</v>
      </c>
      <c r="M816" s="306">
        <f t="shared" ca="1" si="364"/>
        <v>-1.4955711789716006</v>
      </c>
      <c r="N816" s="304">
        <f t="shared" ca="1" si="365"/>
        <v>-85.68991651647741</v>
      </c>
      <c r="P816" s="310">
        <f t="shared" ca="1" si="366"/>
        <v>23</v>
      </c>
      <c r="Q816" s="304">
        <f t="shared" ca="1" si="367"/>
        <v>0</v>
      </c>
      <c r="R816" s="306">
        <f t="shared" ca="1" si="368"/>
        <v>0</v>
      </c>
      <c r="S816" s="307">
        <f t="shared" ca="1" si="369"/>
        <v>2.0843000000000003</v>
      </c>
      <c r="T816" s="304">
        <f t="shared" ca="1" si="349"/>
        <v>20.446983000000003</v>
      </c>
      <c r="U816" s="311">
        <f t="shared" ca="1" si="350"/>
        <v>0</v>
      </c>
      <c r="V816" s="306">
        <f t="shared" ca="1" si="351"/>
        <v>1.2253247151269886</v>
      </c>
      <c r="W816" s="304">
        <f t="shared" ca="1" si="352"/>
        <v>7.2423395147602401</v>
      </c>
      <c r="Y816" s="314" t="str">
        <f t="shared" ca="1" si="370"/>
        <v/>
      </c>
      <c r="Z816" s="315" t="str">
        <f t="shared" ca="1" si="371"/>
        <v/>
      </c>
      <c r="AA816" s="316" t="str">
        <f t="shared" ca="1" si="372"/>
        <v/>
      </c>
      <c r="AC816" s="310" t="e">
        <f t="shared" ca="1" si="373"/>
        <v>#N/A</v>
      </c>
      <c r="AD816" s="323" t="e">
        <f t="shared" ca="1" si="374"/>
        <v>#N/A</v>
      </c>
      <c r="AE816" s="324">
        <f t="shared" ca="1" si="353"/>
        <v>-2.6503844570784869</v>
      </c>
      <c r="AG816" s="306">
        <f t="shared" ca="1" si="375"/>
        <v>6.3076309990128703</v>
      </c>
      <c r="AH816" s="304">
        <f t="shared" ca="1" si="376"/>
        <v>-3.4746245150222883</v>
      </c>
    </row>
    <row r="817" spans="1:34" x14ac:dyDescent="0.2">
      <c r="A817" s="347">
        <f t="shared" ca="1" si="354"/>
        <v>1E-4</v>
      </c>
      <c r="B817" s="304">
        <f t="shared" ca="1" si="355"/>
        <v>12.051299999999856</v>
      </c>
      <c r="D817" s="306">
        <f t="shared" ca="1" si="356"/>
        <v>-0.26113917339893206</v>
      </c>
      <c r="E817" s="307">
        <f t="shared" ca="1" si="357"/>
        <v>-6.345116049565183</v>
      </c>
      <c r="F817" s="304">
        <f t="shared" ca="1" si="358"/>
        <v>6.3504874891879881</v>
      </c>
      <c r="G817" s="306">
        <f t="shared" ca="1" si="359"/>
        <v>3.9038185771547957</v>
      </c>
      <c r="H817" s="307">
        <f t="shared" ca="1" si="360"/>
        <v>-51.798182305869872</v>
      </c>
      <c r="I817" s="304">
        <f t="shared" ca="1" si="361"/>
        <v>51.945081477224285</v>
      </c>
      <c r="J817" s="306">
        <f t="shared" ca="1" si="362"/>
        <v>56.288824373840264</v>
      </c>
      <c r="K817" s="307">
        <f t="shared" ca="1" si="363"/>
        <v>-2.6555642435834939</v>
      </c>
      <c r="L817" s="304">
        <f t="shared" ca="1" si="348"/>
        <v>56.351430956461371</v>
      </c>
      <c r="M817" s="306">
        <f t="shared" ca="1" si="364"/>
        <v>-1.4955725982838433</v>
      </c>
      <c r="N817" s="304">
        <f t="shared" ca="1" si="365"/>
        <v>-85.689997837078721</v>
      </c>
      <c r="P817" s="310">
        <f t="shared" ca="1" si="366"/>
        <v>23</v>
      </c>
      <c r="Q817" s="304">
        <f t="shared" ca="1" si="367"/>
        <v>0</v>
      </c>
      <c r="R817" s="306">
        <f t="shared" ca="1" si="368"/>
        <v>0</v>
      </c>
      <c r="S817" s="307">
        <f t="shared" ca="1" si="369"/>
        <v>2.0843000000000003</v>
      </c>
      <c r="T817" s="304">
        <f t="shared" ca="1" si="349"/>
        <v>20.446983000000003</v>
      </c>
      <c r="U817" s="311">
        <f t="shared" ca="1" si="350"/>
        <v>0</v>
      </c>
      <c r="V817" s="306">
        <f t="shared" ca="1" si="351"/>
        <v>1.2253253498192067</v>
      </c>
      <c r="W817" s="304">
        <f t="shared" ca="1" si="352"/>
        <v>7.2425191528512896</v>
      </c>
      <c r="Y817" s="314" t="str">
        <f t="shared" ca="1" si="370"/>
        <v/>
      </c>
      <c r="Z817" s="315" t="str">
        <f t="shared" ca="1" si="371"/>
        <v/>
      </c>
      <c r="AA817" s="316" t="str">
        <f t="shared" ca="1" si="372"/>
        <v/>
      </c>
      <c r="AC817" s="310" t="e">
        <f t="shared" ca="1" si="373"/>
        <v>#N/A</v>
      </c>
      <c r="AD817" s="323" t="e">
        <f t="shared" ca="1" si="374"/>
        <v>#N/A</v>
      </c>
      <c r="AE817" s="324">
        <f t="shared" ca="1" si="353"/>
        <v>-2.6555642435834939</v>
      </c>
      <c r="AG817" s="306">
        <f t="shared" ca="1" si="375"/>
        <v>6.3075458591641826</v>
      </c>
      <c r="AH817" s="304">
        <f t="shared" ca="1" si="376"/>
        <v>-3.4747107013195024</v>
      </c>
    </row>
    <row r="818" spans="1:34" x14ac:dyDescent="0.2">
      <c r="A818" s="347">
        <f t="shared" ca="1" si="354"/>
        <v>1E-4</v>
      </c>
      <c r="B818" s="304">
        <f t="shared" ca="1" si="355"/>
        <v>12.051399999999855</v>
      </c>
      <c r="D818" s="306">
        <f t="shared" ca="1" si="356"/>
        <v>-0.2611407327881472</v>
      </c>
      <c r="E818" s="307">
        <f t="shared" ca="1" si="357"/>
        <v>-6.3450297363696997</v>
      </c>
      <c r="F818" s="304">
        <f t="shared" ca="1" si="358"/>
        <v>6.3504013131247756</v>
      </c>
      <c r="G818" s="306">
        <f t="shared" ca="1" si="359"/>
        <v>3.9037924630815168</v>
      </c>
      <c r="H818" s="307">
        <f t="shared" ca="1" si="360"/>
        <v>-51.798816808843512</v>
      </c>
      <c r="I818" s="304">
        <f t="shared" ca="1" si="361"/>
        <v>51.945712223348536</v>
      </c>
      <c r="J818" s="306">
        <f t="shared" ca="1" si="362"/>
        <v>56.288824373840264</v>
      </c>
      <c r="K818" s="307">
        <f t="shared" ca="1" si="363"/>
        <v>-2.6607440935392295</v>
      </c>
      <c r="L818" s="304">
        <f t="shared" ca="1" si="348"/>
        <v>56.351675294709189</v>
      </c>
      <c r="M818" s="306">
        <f t="shared" ca="1" si="364"/>
        <v>-1.4955740175521237</v>
      </c>
      <c r="N818" s="304">
        <f t="shared" ca="1" si="365"/>
        <v>-85.690079155161186</v>
      </c>
      <c r="P818" s="310">
        <f t="shared" ca="1" si="366"/>
        <v>23</v>
      </c>
      <c r="Q818" s="304">
        <f t="shared" ca="1" si="367"/>
        <v>0</v>
      </c>
      <c r="R818" s="306">
        <f t="shared" ca="1" si="368"/>
        <v>0</v>
      </c>
      <c r="S818" s="307">
        <f t="shared" ca="1" si="369"/>
        <v>2.0843000000000003</v>
      </c>
      <c r="T818" s="304">
        <f t="shared" ca="1" si="349"/>
        <v>20.446983000000003</v>
      </c>
      <c r="U818" s="311">
        <f t="shared" ca="1" si="350"/>
        <v>0</v>
      </c>
      <c r="V818" s="306">
        <f t="shared" ca="1" si="351"/>
        <v>1.2253259845195279</v>
      </c>
      <c r="W818" s="304">
        <f t="shared" ca="1" si="352"/>
        <v>7.2426987909340248</v>
      </c>
      <c r="Y818" s="314" t="str">
        <f t="shared" ca="1" si="370"/>
        <v/>
      </c>
      <c r="Z818" s="315" t="str">
        <f t="shared" ca="1" si="371"/>
        <v/>
      </c>
      <c r="AA818" s="316" t="str">
        <f t="shared" ca="1" si="372"/>
        <v/>
      </c>
      <c r="AC818" s="310" t="e">
        <f t="shared" ca="1" si="373"/>
        <v>#N/A</v>
      </c>
      <c r="AD818" s="323" t="e">
        <f t="shared" ca="1" si="374"/>
        <v>#N/A</v>
      </c>
      <c r="AE818" s="324">
        <f t="shared" ca="1" si="353"/>
        <v>-2.6607440935392295</v>
      </c>
      <c r="AG818" s="306">
        <f t="shared" ca="1" si="375"/>
        <v>6.3074607192673255</v>
      </c>
      <c r="AH818" s="304">
        <f t="shared" ca="1" si="376"/>
        <v>-3.4747968876127664</v>
      </c>
    </row>
    <row r="819" spans="1:34" x14ac:dyDescent="0.2">
      <c r="A819" s="347">
        <f t="shared" ca="1" si="354"/>
        <v>1E-4</v>
      </c>
      <c r="B819" s="304">
        <f t="shared" ca="1" si="355"/>
        <v>12.051499999999855</v>
      </c>
      <c r="D819" s="306">
        <f t="shared" ca="1" si="356"/>
        <v>-0.2611422920849093</v>
      </c>
      <c r="E819" s="307">
        <f t="shared" ca="1" si="357"/>
        <v>-6.3449434231782682</v>
      </c>
      <c r="F819" s="304">
        <f t="shared" ca="1" si="358"/>
        <v>6.350315137065917</v>
      </c>
      <c r="G819" s="306">
        <f t="shared" ca="1" si="359"/>
        <v>3.9037663488523084</v>
      </c>
      <c r="H819" s="307">
        <f t="shared" ca="1" si="360"/>
        <v>-51.799451303185826</v>
      </c>
      <c r="I819" s="304">
        <f t="shared" ca="1" si="361"/>
        <v>51.946342960958781</v>
      </c>
      <c r="J819" s="306">
        <f t="shared" ca="1" si="362"/>
        <v>56.288824373840264</v>
      </c>
      <c r="K819" s="307">
        <f t="shared" ca="1" si="363"/>
        <v>-2.6659240069448309</v>
      </c>
      <c r="L819" s="304">
        <f t="shared" ca="1" si="348"/>
        <v>56.351920111029393</v>
      </c>
      <c r="M819" s="306">
        <f t="shared" ca="1" si="364"/>
        <v>-1.4955754367764444</v>
      </c>
      <c r="N819" s="304">
        <f t="shared" ca="1" si="365"/>
        <v>-85.690160470724948</v>
      </c>
      <c r="P819" s="310">
        <f t="shared" ca="1" si="366"/>
        <v>23</v>
      </c>
      <c r="Q819" s="304">
        <f t="shared" ca="1" si="367"/>
        <v>0</v>
      </c>
      <c r="R819" s="306">
        <f t="shared" ca="1" si="368"/>
        <v>0</v>
      </c>
      <c r="S819" s="307">
        <f t="shared" ca="1" si="369"/>
        <v>2.0843000000000003</v>
      </c>
      <c r="T819" s="304">
        <f t="shared" ca="1" si="349"/>
        <v>20.446983000000003</v>
      </c>
      <c r="U819" s="311">
        <f t="shared" ca="1" si="350"/>
        <v>0</v>
      </c>
      <c r="V819" s="306">
        <f t="shared" ca="1" si="351"/>
        <v>1.2253266192279531</v>
      </c>
      <c r="W819" s="304">
        <f t="shared" ca="1" si="352"/>
        <v>7.2428784290083632</v>
      </c>
      <c r="Y819" s="314" t="str">
        <f t="shared" ca="1" si="370"/>
        <v/>
      </c>
      <c r="Z819" s="315" t="str">
        <f t="shared" ca="1" si="371"/>
        <v/>
      </c>
      <c r="AA819" s="316" t="str">
        <f t="shared" ca="1" si="372"/>
        <v/>
      </c>
      <c r="AC819" s="310" t="e">
        <f t="shared" ca="1" si="373"/>
        <v>#N/A</v>
      </c>
      <c r="AD819" s="323" t="e">
        <f t="shared" ca="1" si="374"/>
        <v>#N/A</v>
      </c>
      <c r="AE819" s="324">
        <f t="shared" ca="1" si="353"/>
        <v>-2.6659240069448309</v>
      </c>
      <c r="AG819" s="306">
        <f t="shared" ca="1" si="375"/>
        <v>6.3073755793223443</v>
      </c>
      <c r="AH819" s="304">
        <f t="shared" ca="1" si="376"/>
        <v>-3.4748830739020411</v>
      </c>
    </row>
    <row r="820" spans="1:34" x14ac:dyDescent="0.2">
      <c r="A820" s="347">
        <f t="shared" ca="1" si="354"/>
        <v>1E-4</v>
      </c>
      <c r="B820" s="304">
        <f t="shared" ca="1" si="355"/>
        <v>12.051599999999855</v>
      </c>
      <c r="D820" s="306">
        <f t="shared" ca="1" si="356"/>
        <v>-0.26114385128921819</v>
      </c>
      <c r="E820" s="307">
        <f t="shared" ca="1" si="357"/>
        <v>-6.3448571099909294</v>
      </c>
      <c r="F820" s="304">
        <f t="shared" ca="1" si="358"/>
        <v>6.350228961011454</v>
      </c>
      <c r="G820" s="306">
        <f t="shared" ca="1" si="359"/>
        <v>3.9037402344671794</v>
      </c>
      <c r="H820" s="307">
        <f t="shared" ca="1" si="360"/>
        <v>-51.800085788896823</v>
      </c>
      <c r="I820" s="304">
        <f t="shared" ca="1" si="361"/>
        <v>51.946973690055017</v>
      </c>
      <c r="J820" s="306">
        <f t="shared" ca="1" si="362"/>
        <v>56.288824373840264</v>
      </c>
      <c r="K820" s="307">
        <f t="shared" ca="1" si="363"/>
        <v>-2.6711039837994348</v>
      </c>
      <c r="L820" s="304">
        <f t="shared" ca="1" si="348"/>
        <v>56.352165405433205</v>
      </c>
      <c r="M820" s="306">
        <f t="shared" ca="1" si="364"/>
        <v>-1.4955768559568077</v>
      </c>
      <c r="N820" s="304">
        <f t="shared" ca="1" si="365"/>
        <v>-85.690241783770134</v>
      </c>
      <c r="P820" s="310">
        <f t="shared" ca="1" si="366"/>
        <v>23</v>
      </c>
      <c r="Q820" s="304">
        <f t="shared" ca="1" si="367"/>
        <v>0</v>
      </c>
      <c r="R820" s="306">
        <f t="shared" ca="1" si="368"/>
        <v>0</v>
      </c>
      <c r="S820" s="307">
        <f t="shared" ca="1" si="369"/>
        <v>2.0843000000000003</v>
      </c>
      <c r="T820" s="304">
        <f t="shared" ca="1" si="349"/>
        <v>20.446983000000003</v>
      </c>
      <c r="U820" s="311">
        <f t="shared" ca="1" si="350"/>
        <v>0</v>
      </c>
      <c r="V820" s="306">
        <f t="shared" ca="1" si="351"/>
        <v>1.2253272539444815</v>
      </c>
      <c r="W820" s="304">
        <f t="shared" ca="1" si="352"/>
        <v>7.2430580670742133</v>
      </c>
      <c r="Y820" s="314" t="str">
        <f t="shared" ca="1" si="370"/>
        <v/>
      </c>
      <c r="Z820" s="315" t="str">
        <f t="shared" ca="1" si="371"/>
        <v/>
      </c>
      <c r="AA820" s="316" t="str">
        <f t="shared" ca="1" si="372"/>
        <v/>
      </c>
      <c r="AC820" s="310" t="e">
        <f t="shared" ca="1" si="373"/>
        <v>#N/A</v>
      </c>
      <c r="AD820" s="323" t="e">
        <f t="shared" ca="1" si="374"/>
        <v>#N/A</v>
      </c>
      <c r="AE820" s="324">
        <f t="shared" ca="1" si="353"/>
        <v>-2.6711039837994348</v>
      </c>
      <c r="AG820" s="306">
        <f t="shared" ca="1" si="375"/>
        <v>6.307290439329277</v>
      </c>
      <c r="AH820" s="304">
        <f t="shared" ca="1" si="376"/>
        <v>-3.474969260187287</v>
      </c>
    </row>
    <row r="821" spans="1:34" x14ac:dyDescent="0.2">
      <c r="A821" s="347">
        <f t="shared" ca="1" si="354"/>
        <v>1E-4</v>
      </c>
      <c r="B821" s="304">
        <f t="shared" ca="1" si="355"/>
        <v>12.051699999999855</v>
      </c>
      <c r="D821" s="306">
        <f t="shared" ca="1" si="356"/>
        <v>-0.26114541040107431</v>
      </c>
      <c r="E821" s="307">
        <f t="shared" ca="1" si="357"/>
        <v>-6.344770796807726</v>
      </c>
      <c r="F821" s="304">
        <f t="shared" ca="1" si="358"/>
        <v>6.3501427849614291</v>
      </c>
      <c r="G821" s="306">
        <f t="shared" ca="1" si="359"/>
        <v>3.9037141199261391</v>
      </c>
      <c r="H821" s="307">
        <f t="shared" ca="1" si="360"/>
        <v>-51.800720265976501</v>
      </c>
      <c r="I821" s="304">
        <f t="shared" ca="1" si="361"/>
        <v>51.947604410637261</v>
      </c>
      <c r="J821" s="306">
        <f t="shared" ca="1" si="362"/>
        <v>56.288824373840264</v>
      </c>
      <c r="K821" s="307">
        <f t="shared" ca="1" si="363"/>
        <v>-2.6762840241021784</v>
      </c>
      <c r="L821" s="304">
        <f t="shared" ca="1" si="348"/>
        <v>56.352411177931849</v>
      </c>
      <c r="M821" s="306">
        <f t="shared" ca="1" si="364"/>
        <v>-1.4955782750932152</v>
      </c>
      <c r="N821" s="304">
        <f t="shared" ca="1" si="365"/>
        <v>-85.690323094296829</v>
      </c>
      <c r="P821" s="310">
        <f t="shared" ca="1" si="366"/>
        <v>23</v>
      </c>
      <c r="Q821" s="304">
        <f t="shared" ca="1" si="367"/>
        <v>0</v>
      </c>
      <c r="R821" s="306">
        <f t="shared" ca="1" si="368"/>
        <v>0</v>
      </c>
      <c r="S821" s="307">
        <f t="shared" ca="1" si="369"/>
        <v>2.0843000000000003</v>
      </c>
      <c r="T821" s="304">
        <f t="shared" ca="1" si="349"/>
        <v>20.446983000000003</v>
      </c>
      <c r="U821" s="311">
        <f t="shared" ca="1" si="350"/>
        <v>0</v>
      </c>
      <c r="V821" s="306">
        <f t="shared" ca="1" si="351"/>
        <v>1.225327888669113</v>
      </c>
      <c r="W821" s="304">
        <f t="shared" ca="1" si="352"/>
        <v>7.2432377051314942</v>
      </c>
      <c r="Y821" s="314" t="str">
        <f t="shared" ca="1" si="370"/>
        <v/>
      </c>
      <c r="Z821" s="315" t="str">
        <f t="shared" ca="1" si="371"/>
        <v/>
      </c>
      <c r="AA821" s="316" t="str">
        <f t="shared" ca="1" si="372"/>
        <v/>
      </c>
      <c r="AC821" s="310" t="e">
        <f t="shared" ca="1" si="373"/>
        <v>#N/A</v>
      </c>
      <c r="AD821" s="323" t="e">
        <f t="shared" ca="1" si="374"/>
        <v>#N/A</v>
      </c>
      <c r="AE821" s="324">
        <f t="shared" ca="1" si="353"/>
        <v>-2.6762840241021784</v>
      </c>
      <c r="AG821" s="306">
        <f t="shared" ca="1" si="375"/>
        <v>6.3072052992881735</v>
      </c>
      <c r="AH821" s="304">
        <f t="shared" ca="1" si="376"/>
        <v>-3.4750554464684607</v>
      </c>
    </row>
    <row r="822" spans="1:34" x14ac:dyDescent="0.2">
      <c r="A822" s="347">
        <f t="shared" ca="1" si="354"/>
        <v>1E-4</v>
      </c>
      <c r="B822" s="304">
        <f t="shared" ca="1" si="355"/>
        <v>12.051799999999854</v>
      </c>
      <c r="D822" s="306">
        <f t="shared" ca="1" si="356"/>
        <v>-0.26114696942047994</v>
      </c>
      <c r="E822" s="307">
        <f t="shared" ca="1" si="357"/>
        <v>-6.3446844836286971</v>
      </c>
      <c r="F822" s="304">
        <f t="shared" ca="1" si="358"/>
        <v>6.3500566089158799</v>
      </c>
      <c r="G822" s="306">
        <f t="shared" ca="1" si="359"/>
        <v>3.9036880052291969</v>
      </c>
      <c r="H822" s="307">
        <f t="shared" ca="1" si="360"/>
        <v>-51.801354734424862</v>
      </c>
      <c r="I822" s="304">
        <f t="shared" ca="1" si="361"/>
        <v>51.948235122705483</v>
      </c>
      <c r="J822" s="306">
        <f t="shared" ca="1" si="362"/>
        <v>56.288824373840264</v>
      </c>
      <c r="K822" s="307">
        <f t="shared" ca="1" si="363"/>
        <v>-2.6814641278521982</v>
      </c>
      <c r="L822" s="304">
        <f t="shared" ca="1" si="348"/>
        <v>56.352657428536517</v>
      </c>
      <c r="M822" s="306">
        <f t="shared" ca="1" si="364"/>
        <v>-1.4955796941856694</v>
      </c>
      <c r="N822" s="304">
        <f t="shared" ca="1" si="365"/>
        <v>-85.690404402305205</v>
      </c>
      <c r="P822" s="310">
        <f t="shared" ca="1" si="366"/>
        <v>23</v>
      </c>
      <c r="Q822" s="304">
        <f t="shared" ca="1" si="367"/>
        <v>0</v>
      </c>
      <c r="R822" s="306">
        <f t="shared" ca="1" si="368"/>
        <v>0</v>
      </c>
      <c r="S822" s="307">
        <f t="shared" ca="1" si="369"/>
        <v>2.0843000000000003</v>
      </c>
      <c r="T822" s="304">
        <f t="shared" ca="1" si="349"/>
        <v>20.446983000000003</v>
      </c>
      <c r="U822" s="311">
        <f t="shared" ca="1" si="350"/>
        <v>0</v>
      </c>
      <c r="V822" s="306">
        <f t="shared" ca="1" si="351"/>
        <v>1.2253285234018478</v>
      </c>
      <c r="W822" s="304">
        <f t="shared" ca="1" si="352"/>
        <v>7.2434173431801208</v>
      </c>
      <c r="Y822" s="314" t="str">
        <f t="shared" ca="1" si="370"/>
        <v/>
      </c>
      <c r="Z822" s="315" t="str">
        <f t="shared" ca="1" si="371"/>
        <v/>
      </c>
      <c r="AA822" s="316" t="str">
        <f t="shared" ca="1" si="372"/>
        <v/>
      </c>
      <c r="AC822" s="310" t="e">
        <f t="shared" ca="1" si="373"/>
        <v>#N/A</v>
      </c>
      <c r="AD822" s="323" t="e">
        <f t="shared" ca="1" si="374"/>
        <v>#N/A</v>
      </c>
      <c r="AE822" s="324">
        <f t="shared" ca="1" si="353"/>
        <v>-2.6814641278521982</v>
      </c>
      <c r="AG822" s="306">
        <f t="shared" ca="1" si="375"/>
        <v>6.3071201591990746</v>
      </c>
      <c r="AH822" s="304">
        <f t="shared" ca="1" si="376"/>
        <v>-3.4751416327455229</v>
      </c>
    </row>
    <row r="823" spans="1:34" x14ac:dyDescent="0.2">
      <c r="A823" s="347">
        <f t="shared" ca="1" si="354"/>
        <v>1E-4</v>
      </c>
      <c r="B823" s="304">
        <f t="shared" ca="1" si="355"/>
        <v>12.051899999999854</v>
      </c>
      <c r="D823" s="306">
        <f t="shared" ca="1" si="356"/>
        <v>-0.26114852834743496</v>
      </c>
      <c r="E823" s="307">
        <f t="shared" ca="1" si="357"/>
        <v>-6.3445981704538825</v>
      </c>
      <c r="F823" s="304">
        <f t="shared" ca="1" si="358"/>
        <v>6.3499704328748479</v>
      </c>
      <c r="G823" s="306">
        <f t="shared" ca="1" si="359"/>
        <v>3.903661890376362</v>
      </c>
      <c r="H823" s="307">
        <f t="shared" ca="1" si="360"/>
        <v>-51.801989194241905</v>
      </c>
      <c r="I823" s="304">
        <f t="shared" ca="1" si="361"/>
        <v>51.948865826259691</v>
      </c>
      <c r="J823" s="306">
        <f t="shared" ca="1" si="362"/>
        <v>56.288824373840264</v>
      </c>
      <c r="K823" s="307">
        <f t="shared" ca="1" si="363"/>
        <v>-2.6866442950486316</v>
      </c>
      <c r="L823" s="304">
        <f t="shared" ca="1" si="348"/>
        <v>56.352904157258401</v>
      </c>
      <c r="M823" s="306">
        <f t="shared" ca="1" si="364"/>
        <v>-1.4955811132341721</v>
      </c>
      <c r="N823" s="304">
        <f t="shared" ca="1" si="365"/>
        <v>-85.690485707795332</v>
      </c>
      <c r="P823" s="310">
        <f t="shared" ca="1" si="366"/>
        <v>23</v>
      </c>
      <c r="Q823" s="304">
        <f t="shared" ca="1" si="367"/>
        <v>0</v>
      </c>
      <c r="R823" s="306">
        <f t="shared" ca="1" si="368"/>
        <v>0</v>
      </c>
      <c r="S823" s="307">
        <f t="shared" ca="1" si="369"/>
        <v>2.0843000000000003</v>
      </c>
      <c r="T823" s="304">
        <f t="shared" ca="1" si="349"/>
        <v>20.446983000000003</v>
      </c>
      <c r="U823" s="311">
        <f t="shared" ca="1" si="350"/>
        <v>0</v>
      </c>
      <c r="V823" s="306">
        <f t="shared" ca="1" si="351"/>
        <v>1.2253291581426859</v>
      </c>
      <c r="W823" s="304">
        <f t="shared" ca="1" si="352"/>
        <v>7.2435969812200058</v>
      </c>
      <c r="Y823" s="314" t="str">
        <f t="shared" ca="1" si="370"/>
        <v/>
      </c>
      <c r="Z823" s="315" t="str">
        <f t="shared" ca="1" si="371"/>
        <v/>
      </c>
      <c r="AA823" s="316" t="str">
        <f t="shared" ca="1" si="372"/>
        <v/>
      </c>
      <c r="AC823" s="310" t="e">
        <f t="shared" ca="1" si="373"/>
        <v>#N/A</v>
      </c>
      <c r="AD823" s="323" t="e">
        <f t="shared" ca="1" si="374"/>
        <v>#N/A</v>
      </c>
      <c r="AE823" s="324">
        <f t="shared" ca="1" si="353"/>
        <v>-2.6866442950486316</v>
      </c>
      <c r="AG823" s="306">
        <f t="shared" ca="1" si="375"/>
        <v>6.3070350190620266</v>
      </c>
      <c r="AH823" s="304">
        <f t="shared" ca="1" si="376"/>
        <v>-3.4752278190184329</v>
      </c>
    </row>
    <row r="824" spans="1:34" x14ac:dyDescent="0.2">
      <c r="A824" s="347">
        <f t="shared" ca="1" si="354"/>
        <v>1E-4</v>
      </c>
      <c r="B824" s="304">
        <f t="shared" ca="1" si="355"/>
        <v>12.051999999999854</v>
      </c>
      <c r="D824" s="306">
        <f t="shared" ca="1" si="356"/>
        <v>-0.26115008718194138</v>
      </c>
      <c r="E824" s="307">
        <f t="shared" ca="1" si="357"/>
        <v>-6.3445118572833259</v>
      </c>
      <c r="F824" s="304">
        <f t="shared" ca="1" si="358"/>
        <v>6.3498842568383758</v>
      </c>
      <c r="G824" s="306">
        <f t="shared" ca="1" si="359"/>
        <v>3.9036357753676438</v>
      </c>
      <c r="H824" s="307">
        <f t="shared" ca="1" si="360"/>
        <v>-51.80262364542763</v>
      </c>
      <c r="I824" s="304">
        <f t="shared" ca="1" si="361"/>
        <v>51.949496521299878</v>
      </c>
      <c r="J824" s="306">
        <f t="shared" ca="1" si="362"/>
        <v>56.288824373840264</v>
      </c>
      <c r="K824" s="307">
        <f t="shared" ca="1" si="363"/>
        <v>-2.691824525690615</v>
      </c>
      <c r="L824" s="304">
        <f t="shared" ca="1" si="348"/>
        <v>56.353151364108676</v>
      </c>
      <c r="M824" s="306">
        <f t="shared" ca="1" si="364"/>
        <v>-1.4955825322387257</v>
      </c>
      <c r="N824" s="304">
        <f t="shared" ca="1" si="365"/>
        <v>-85.690567010767367</v>
      </c>
      <c r="P824" s="310">
        <f t="shared" ca="1" si="366"/>
        <v>23</v>
      </c>
      <c r="Q824" s="304">
        <f t="shared" ca="1" si="367"/>
        <v>0</v>
      </c>
      <c r="R824" s="306">
        <f t="shared" ca="1" si="368"/>
        <v>0</v>
      </c>
      <c r="S824" s="307">
        <f t="shared" ca="1" si="369"/>
        <v>2.0843000000000003</v>
      </c>
      <c r="T824" s="304">
        <f t="shared" ca="1" si="349"/>
        <v>20.446983000000003</v>
      </c>
      <c r="U824" s="311">
        <f t="shared" ca="1" si="350"/>
        <v>0</v>
      </c>
      <c r="V824" s="306">
        <f t="shared" ca="1" si="351"/>
        <v>1.2253297928916267</v>
      </c>
      <c r="W824" s="304">
        <f t="shared" ca="1" si="352"/>
        <v>7.2437766192510615</v>
      </c>
      <c r="Y824" s="314" t="str">
        <f t="shared" ca="1" si="370"/>
        <v/>
      </c>
      <c r="Z824" s="315" t="str">
        <f t="shared" ca="1" si="371"/>
        <v/>
      </c>
      <c r="AA824" s="316" t="str">
        <f t="shared" ca="1" si="372"/>
        <v/>
      </c>
      <c r="AC824" s="310" t="e">
        <f t="shared" ca="1" si="373"/>
        <v>#N/A</v>
      </c>
      <c r="AD824" s="323" t="e">
        <f t="shared" ca="1" si="374"/>
        <v>#N/A</v>
      </c>
      <c r="AE824" s="324">
        <f t="shared" ca="1" si="353"/>
        <v>-2.691824525690615</v>
      </c>
      <c r="AG824" s="306">
        <f t="shared" ca="1" si="375"/>
        <v>6.3069498788770719</v>
      </c>
      <c r="AH824" s="304">
        <f t="shared" ca="1" si="376"/>
        <v>-3.475314005287149</v>
      </c>
    </row>
    <row r="825" spans="1:34" x14ac:dyDescent="0.2">
      <c r="A825" s="347">
        <f t="shared" ca="1" si="354"/>
        <v>1E-4</v>
      </c>
      <c r="B825" s="304">
        <f t="shared" ca="1" si="355"/>
        <v>12.052099999999854</v>
      </c>
      <c r="D825" s="306">
        <f t="shared" ca="1" si="356"/>
        <v>-0.26115164592399892</v>
      </c>
      <c r="E825" s="307">
        <f t="shared" ca="1" si="357"/>
        <v>-6.3444255441170672</v>
      </c>
      <c r="F825" s="304">
        <f t="shared" ca="1" si="358"/>
        <v>6.3497980808065035</v>
      </c>
      <c r="G825" s="306">
        <f t="shared" ca="1" si="359"/>
        <v>3.9036096602030512</v>
      </c>
      <c r="H825" s="307">
        <f t="shared" ca="1" si="360"/>
        <v>-51.803258087982044</v>
      </c>
      <c r="I825" s="304">
        <f t="shared" ca="1" si="361"/>
        <v>51.950127207826043</v>
      </c>
      <c r="J825" s="306">
        <f t="shared" ca="1" si="362"/>
        <v>56.288824373840264</v>
      </c>
      <c r="K825" s="307">
        <f t="shared" ca="1" si="363"/>
        <v>-2.6970048197772853</v>
      </c>
      <c r="L825" s="304">
        <f t="shared" ca="1" si="348"/>
        <v>56.353399049098499</v>
      </c>
      <c r="M825" s="306">
        <f t="shared" ca="1" si="364"/>
        <v>-1.4955839511993325</v>
      </c>
      <c r="N825" s="304">
        <f t="shared" ca="1" si="365"/>
        <v>-85.690648311221423</v>
      </c>
      <c r="P825" s="310">
        <f t="shared" ca="1" si="366"/>
        <v>23</v>
      </c>
      <c r="Q825" s="304">
        <f t="shared" ca="1" si="367"/>
        <v>0</v>
      </c>
      <c r="R825" s="306">
        <f t="shared" ca="1" si="368"/>
        <v>0</v>
      </c>
      <c r="S825" s="307">
        <f t="shared" ca="1" si="369"/>
        <v>2.0843000000000003</v>
      </c>
      <c r="T825" s="304">
        <f t="shared" ca="1" si="349"/>
        <v>20.446983000000003</v>
      </c>
      <c r="U825" s="311">
        <f t="shared" ca="1" si="350"/>
        <v>0</v>
      </c>
      <c r="V825" s="306">
        <f t="shared" ca="1" si="351"/>
        <v>1.2253304276486707</v>
      </c>
      <c r="W825" s="304">
        <f t="shared" ca="1" si="352"/>
        <v>7.2439562572732115</v>
      </c>
      <c r="Y825" s="314" t="str">
        <f t="shared" ca="1" si="370"/>
        <v/>
      </c>
      <c r="Z825" s="315" t="str">
        <f t="shared" ca="1" si="371"/>
        <v/>
      </c>
      <c r="AA825" s="316" t="str">
        <f t="shared" ca="1" si="372"/>
        <v/>
      </c>
      <c r="AC825" s="310" t="e">
        <f t="shared" ca="1" si="373"/>
        <v>#N/A</v>
      </c>
      <c r="AD825" s="323" t="e">
        <f t="shared" ca="1" si="374"/>
        <v>#N/A</v>
      </c>
      <c r="AE825" s="324">
        <f t="shared" ca="1" si="353"/>
        <v>-2.6970048197772853</v>
      </c>
      <c r="AG825" s="306">
        <f t="shared" ca="1" si="375"/>
        <v>6.3068647386442587</v>
      </c>
      <c r="AH825" s="304">
        <f t="shared" ca="1" si="376"/>
        <v>-3.4754001915516293</v>
      </c>
    </row>
    <row r="826" spans="1:34" x14ac:dyDescent="0.2">
      <c r="A826" s="347">
        <f t="shared" ca="1" si="354"/>
        <v>1E-4</v>
      </c>
      <c r="B826" s="304">
        <f t="shared" ca="1" si="355"/>
        <v>12.052199999999853</v>
      </c>
      <c r="D826" s="306">
        <f t="shared" ca="1" si="356"/>
        <v>-0.26115320457360858</v>
      </c>
      <c r="E826" s="307">
        <f t="shared" ca="1" si="357"/>
        <v>-6.3443392309551463</v>
      </c>
      <c r="F826" s="304">
        <f t="shared" ca="1" si="358"/>
        <v>6.3497119047792712</v>
      </c>
      <c r="G826" s="306">
        <f t="shared" ca="1" si="359"/>
        <v>3.903583544882594</v>
      </c>
      <c r="H826" s="307">
        <f t="shared" ca="1" si="360"/>
        <v>-51.803892521905141</v>
      </c>
      <c r="I826" s="304">
        <f t="shared" ca="1" si="361"/>
        <v>51.950757885838179</v>
      </c>
      <c r="J826" s="306">
        <f t="shared" ca="1" si="362"/>
        <v>56.288824373840264</v>
      </c>
      <c r="K826" s="307">
        <f t="shared" ca="1" si="363"/>
        <v>-2.7021851773077796</v>
      </c>
      <c r="L826" s="304">
        <f t="shared" ca="1" si="348"/>
        <v>56.353647212239032</v>
      </c>
      <c r="M826" s="306">
        <f t="shared" ca="1" si="364"/>
        <v>-1.4955853701159942</v>
      </c>
      <c r="N826" s="304">
        <f t="shared" ca="1" si="365"/>
        <v>-85.690729609157628</v>
      </c>
      <c r="P826" s="310">
        <f t="shared" ca="1" si="366"/>
        <v>23</v>
      </c>
      <c r="Q826" s="304">
        <f t="shared" ca="1" si="367"/>
        <v>0</v>
      </c>
      <c r="R826" s="306">
        <f t="shared" ca="1" si="368"/>
        <v>0</v>
      </c>
      <c r="S826" s="307">
        <f t="shared" ca="1" si="369"/>
        <v>2.0843000000000003</v>
      </c>
      <c r="T826" s="304">
        <f t="shared" ca="1" si="349"/>
        <v>20.446983000000003</v>
      </c>
      <c r="U826" s="311">
        <f t="shared" ca="1" si="350"/>
        <v>0</v>
      </c>
      <c r="V826" s="306">
        <f t="shared" ca="1" si="351"/>
        <v>1.2253310624138174</v>
      </c>
      <c r="W826" s="304">
        <f t="shared" ca="1" si="352"/>
        <v>7.2441358952863641</v>
      </c>
      <c r="Y826" s="314" t="str">
        <f t="shared" ca="1" si="370"/>
        <v/>
      </c>
      <c r="Z826" s="315" t="str">
        <f t="shared" ca="1" si="371"/>
        <v/>
      </c>
      <c r="AA826" s="316" t="str">
        <f t="shared" ca="1" si="372"/>
        <v/>
      </c>
      <c r="AC826" s="310" t="e">
        <f t="shared" ca="1" si="373"/>
        <v>#N/A</v>
      </c>
      <c r="AD826" s="323" t="e">
        <f t="shared" ca="1" si="374"/>
        <v>#N/A</v>
      </c>
      <c r="AE826" s="324">
        <f t="shared" ca="1" si="353"/>
        <v>-2.7021851773077796</v>
      </c>
      <c r="AG826" s="306">
        <f t="shared" ca="1" si="375"/>
        <v>6.3067795983636259</v>
      </c>
      <c r="AH826" s="304">
        <f t="shared" ca="1" si="376"/>
        <v>-3.4754863778118366</v>
      </c>
    </row>
    <row r="827" spans="1:34" x14ac:dyDescent="0.2">
      <c r="A827" s="347">
        <f t="shared" ca="1" si="354"/>
        <v>1E-4</v>
      </c>
      <c r="B827" s="304">
        <f t="shared" ca="1" si="355"/>
        <v>12.052299999999853</v>
      </c>
      <c r="D827" s="306">
        <f t="shared" ca="1" si="356"/>
        <v>-0.26115476313077218</v>
      </c>
      <c r="E827" s="307">
        <f t="shared" ca="1" si="357"/>
        <v>-6.3442529177976041</v>
      </c>
      <c r="F827" s="304">
        <f t="shared" ca="1" si="358"/>
        <v>6.3496257287567195</v>
      </c>
      <c r="G827" s="306">
        <f t="shared" ca="1" si="359"/>
        <v>3.9035574294062809</v>
      </c>
      <c r="H827" s="307">
        <f t="shared" ca="1" si="360"/>
        <v>-51.804526947196919</v>
      </c>
      <c r="I827" s="304">
        <f t="shared" ca="1" si="361"/>
        <v>51.951388555336273</v>
      </c>
      <c r="J827" s="306">
        <f t="shared" ca="1" si="362"/>
        <v>56.288824373840264</v>
      </c>
      <c r="K827" s="307">
        <f t="shared" ca="1" si="363"/>
        <v>-2.7073655982812346</v>
      </c>
      <c r="L827" s="304">
        <f t="shared" ca="1" si="348"/>
        <v>56.353895853541395</v>
      </c>
      <c r="M827" s="306">
        <f t="shared" ca="1" si="364"/>
        <v>-1.4955867889887131</v>
      </c>
      <c r="N827" s="304">
        <f t="shared" ca="1" si="365"/>
        <v>-85.690810904576082</v>
      </c>
      <c r="P827" s="310">
        <f t="shared" ca="1" si="366"/>
        <v>23</v>
      </c>
      <c r="Q827" s="304">
        <f t="shared" ca="1" si="367"/>
        <v>0</v>
      </c>
      <c r="R827" s="306">
        <f t="shared" ca="1" si="368"/>
        <v>0</v>
      </c>
      <c r="S827" s="307">
        <f t="shared" ca="1" si="369"/>
        <v>2.0843000000000003</v>
      </c>
      <c r="T827" s="304">
        <f t="shared" ca="1" si="349"/>
        <v>20.446983000000003</v>
      </c>
      <c r="U827" s="311">
        <f t="shared" ca="1" si="350"/>
        <v>0</v>
      </c>
      <c r="V827" s="306">
        <f t="shared" ca="1" si="351"/>
        <v>1.2253316971870674</v>
      </c>
      <c r="W827" s="304">
        <f t="shared" ca="1" si="352"/>
        <v>7.2443155332904352</v>
      </c>
      <c r="Y827" s="314" t="str">
        <f t="shared" ca="1" si="370"/>
        <v/>
      </c>
      <c r="Z827" s="315" t="str">
        <f t="shared" ca="1" si="371"/>
        <v/>
      </c>
      <c r="AA827" s="316" t="str">
        <f t="shared" ca="1" si="372"/>
        <v/>
      </c>
      <c r="AC827" s="310" t="e">
        <f t="shared" ca="1" si="373"/>
        <v>#N/A</v>
      </c>
      <c r="AD827" s="323" t="e">
        <f t="shared" ca="1" si="374"/>
        <v>#N/A</v>
      </c>
      <c r="AE827" s="324">
        <f t="shared" ca="1" si="353"/>
        <v>-2.7073655982812346</v>
      </c>
      <c r="AG827" s="306">
        <f t="shared" ca="1" si="375"/>
        <v>6.3066944580352207</v>
      </c>
      <c r="AH827" s="304">
        <f t="shared" ca="1" si="376"/>
        <v>-3.4755725640677269</v>
      </c>
    </row>
    <row r="828" spans="1:34" x14ac:dyDescent="0.2">
      <c r="A828" s="347">
        <f t="shared" ca="1" si="354"/>
        <v>1E-4</v>
      </c>
      <c r="B828" s="304">
        <f t="shared" ca="1" si="355"/>
        <v>12.052399999999853</v>
      </c>
      <c r="D828" s="306">
        <f t="shared" ca="1" si="356"/>
        <v>-0.2611563215954904</v>
      </c>
      <c r="E828" s="307">
        <f t="shared" ca="1" si="357"/>
        <v>-6.3441666046444833</v>
      </c>
      <c r="F828" s="304">
        <f t="shared" ca="1" si="358"/>
        <v>6.3495395527388911</v>
      </c>
      <c r="G828" s="306">
        <f t="shared" ca="1" si="359"/>
        <v>3.9035313137741214</v>
      </c>
      <c r="H828" s="307">
        <f t="shared" ca="1" si="360"/>
        <v>-51.805161363857387</v>
      </c>
      <c r="I828" s="304">
        <f t="shared" ca="1" si="361"/>
        <v>51.95201921632033</v>
      </c>
      <c r="J828" s="306">
        <f t="shared" ca="1" si="362"/>
        <v>56.288824373840264</v>
      </c>
      <c r="K828" s="307">
        <f t="shared" ca="1" si="363"/>
        <v>-2.7125460826967873</v>
      </c>
      <c r="L828" s="304">
        <f t="shared" ca="1" si="348"/>
        <v>56.354144973016737</v>
      </c>
      <c r="M828" s="306">
        <f t="shared" ca="1" si="364"/>
        <v>-1.4955882078174911</v>
      </c>
      <c r="N828" s="304">
        <f t="shared" ca="1" si="365"/>
        <v>-85.690892197476913</v>
      </c>
      <c r="P828" s="310">
        <f t="shared" ca="1" si="366"/>
        <v>23</v>
      </c>
      <c r="Q828" s="304">
        <f t="shared" ca="1" si="367"/>
        <v>0</v>
      </c>
      <c r="R828" s="306">
        <f t="shared" ca="1" si="368"/>
        <v>0</v>
      </c>
      <c r="S828" s="307">
        <f t="shared" ca="1" si="369"/>
        <v>2.0843000000000003</v>
      </c>
      <c r="T828" s="304">
        <f t="shared" ca="1" si="349"/>
        <v>20.446983000000003</v>
      </c>
      <c r="U828" s="311">
        <f t="shared" ca="1" si="350"/>
        <v>0</v>
      </c>
      <c r="V828" s="306">
        <f t="shared" ca="1" si="351"/>
        <v>1.2253323319684195</v>
      </c>
      <c r="W828" s="304">
        <f t="shared" ca="1" si="352"/>
        <v>7.2444951712853394</v>
      </c>
      <c r="Y828" s="314" t="str">
        <f t="shared" ca="1" si="370"/>
        <v/>
      </c>
      <c r="Z828" s="315" t="str">
        <f t="shared" ca="1" si="371"/>
        <v/>
      </c>
      <c r="AA828" s="316" t="str">
        <f t="shared" ca="1" si="372"/>
        <v/>
      </c>
      <c r="AC828" s="310" t="e">
        <f t="shared" ca="1" si="373"/>
        <v>#N/A</v>
      </c>
      <c r="AD828" s="323" t="e">
        <f t="shared" ca="1" si="374"/>
        <v>#N/A</v>
      </c>
      <c r="AE828" s="324">
        <f t="shared" ca="1" si="353"/>
        <v>-2.7125460826967873</v>
      </c>
      <c r="AG828" s="306">
        <f t="shared" ca="1" si="375"/>
        <v>6.3066093176590865</v>
      </c>
      <c r="AH828" s="304">
        <f t="shared" ca="1" si="376"/>
        <v>-3.4756587503192602</v>
      </c>
    </row>
    <row r="829" spans="1:34" x14ac:dyDescent="0.2">
      <c r="A829" s="347">
        <f t="shared" ca="1" si="354"/>
        <v>1E-4</v>
      </c>
      <c r="B829" s="304">
        <f t="shared" ca="1" si="355"/>
        <v>12.052499999999853</v>
      </c>
      <c r="D829" s="306">
        <f t="shared" ca="1" si="356"/>
        <v>-0.26115787996776468</v>
      </c>
      <c r="E829" s="307">
        <f t="shared" ca="1" si="357"/>
        <v>-6.344080291495823</v>
      </c>
      <c r="F829" s="304">
        <f t="shared" ca="1" si="358"/>
        <v>6.3494533767258252</v>
      </c>
      <c r="G829" s="306">
        <f t="shared" ca="1" si="359"/>
        <v>3.9035051979861248</v>
      </c>
      <c r="H829" s="307">
        <f t="shared" ca="1" si="360"/>
        <v>-51.805795771886537</v>
      </c>
      <c r="I829" s="304">
        <f t="shared" ca="1" si="361"/>
        <v>51.952649868790346</v>
      </c>
      <c r="J829" s="306">
        <f t="shared" ca="1" si="362"/>
        <v>56.288824373840264</v>
      </c>
      <c r="K829" s="307">
        <f t="shared" ca="1" si="363"/>
        <v>-2.7177266305535746</v>
      </c>
      <c r="L829" s="304">
        <f t="shared" ca="1" si="348"/>
        <v>56.354394570676149</v>
      </c>
      <c r="M829" s="306">
        <f t="shared" ca="1" si="364"/>
        <v>-1.495589626602331</v>
      </c>
      <c r="N829" s="304">
        <f t="shared" ca="1" si="365"/>
        <v>-85.690973487860276</v>
      </c>
      <c r="P829" s="310">
        <f t="shared" ca="1" si="366"/>
        <v>23</v>
      </c>
      <c r="Q829" s="304">
        <f t="shared" ca="1" si="367"/>
        <v>0</v>
      </c>
      <c r="R829" s="306">
        <f t="shared" ca="1" si="368"/>
        <v>0</v>
      </c>
      <c r="S829" s="307">
        <f t="shared" ca="1" si="369"/>
        <v>2.0843000000000003</v>
      </c>
      <c r="T829" s="304">
        <f t="shared" ca="1" si="349"/>
        <v>20.446983000000003</v>
      </c>
      <c r="U829" s="311">
        <f t="shared" ca="1" si="350"/>
        <v>0</v>
      </c>
      <c r="V829" s="306">
        <f t="shared" ca="1" si="351"/>
        <v>1.2253329667578743</v>
      </c>
      <c r="W829" s="304">
        <f t="shared" ca="1" si="352"/>
        <v>7.2446748092709923</v>
      </c>
      <c r="Y829" s="314" t="str">
        <f t="shared" ca="1" si="370"/>
        <v/>
      </c>
      <c r="Z829" s="315" t="str">
        <f t="shared" ca="1" si="371"/>
        <v/>
      </c>
      <c r="AA829" s="316" t="str">
        <f t="shared" ca="1" si="372"/>
        <v/>
      </c>
      <c r="AC829" s="310" t="e">
        <f t="shared" ca="1" si="373"/>
        <v>#N/A</v>
      </c>
      <c r="AD829" s="323" t="e">
        <f t="shared" ca="1" si="374"/>
        <v>#N/A</v>
      </c>
      <c r="AE829" s="324">
        <f t="shared" ca="1" si="353"/>
        <v>-2.7177266305535746</v>
      </c>
      <c r="AG829" s="306">
        <f t="shared" ca="1" si="375"/>
        <v>6.3065241772352705</v>
      </c>
      <c r="AH829" s="304">
        <f t="shared" ca="1" si="376"/>
        <v>-3.4757449365663957</v>
      </c>
    </row>
    <row r="830" spans="1:34" x14ac:dyDescent="0.2">
      <c r="A830" s="347">
        <f t="shared" ca="1" si="354"/>
        <v>1E-4</v>
      </c>
      <c r="B830" s="304">
        <f t="shared" ca="1" si="355"/>
        <v>12.052599999999853</v>
      </c>
      <c r="D830" s="306">
        <f t="shared" ca="1" si="356"/>
        <v>-0.26115943824759408</v>
      </c>
      <c r="E830" s="307">
        <f t="shared" ca="1" si="357"/>
        <v>-6.3439939783516657</v>
      </c>
      <c r="F830" s="304">
        <f t="shared" ca="1" si="358"/>
        <v>6.3493672007175643</v>
      </c>
      <c r="G830" s="306">
        <f t="shared" ca="1" si="359"/>
        <v>3.9034790820423</v>
      </c>
      <c r="H830" s="307">
        <f t="shared" ca="1" si="360"/>
        <v>-51.806430171284369</v>
      </c>
      <c r="I830" s="304">
        <f t="shared" ca="1" si="361"/>
        <v>51.953280512746304</v>
      </c>
      <c r="J830" s="306">
        <f t="shared" ca="1" si="362"/>
        <v>56.288824373840264</v>
      </c>
      <c r="K830" s="307">
        <f t="shared" ca="1" si="363"/>
        <v>-2.722907241850733</v>
      </c>
      <c r="L830" s="304">
        <f t="shared" ca="1" si="348"/>
        <v>56.354644646530751</v>
      </c>
      <c r="M830" s="306">
        <f t="shared" ca="1" si="364"/>
        <v>-1.4955910453432342</v>
      </c>
      <c r="N830" s="304">
        <f t="shared" ca="1" si="365"/>
        <v>-85.691054775726258</v>
      </c>
      <c r="P830" s="310">
        <f t="shared" ca="1" si="366"/>
        <v>23</v>
      </c>
      <c r="Q830" s="304">
        <f t="shared" ca="1" si="367"/>
        <v>0</v>
      </c>
      <c r="R830" s="306">
        <f t="shared" ca="1" si="368"/>
        <v>0</v>
      </c>
      <c r="S830" s="307">
        <f t="shared" ca="1" si="369"/>
        <v>2.0843000000000003</v>
      </c>
      <c r="T830" s="304">
        <f t="shared" ca="1" si="349"/>
        <v>20.446983000000003</v>
      </c>
      <c r="U830" s="311">
        <f t="shared" ca="1" si="350"/>
        <v>0</v>
      </c>
      <c r="V830" s="306">
        <f t="shared" ca="1" si="351"/>
        <v>1.2253336015554315</v>
      </c>
      <c r="W830" s="304">
        <f t="shared" ca="1" si="352"/>
        <v>7.2448544472473051</v>
      </c>
      <c r="Y830" s="314" t="str">
        <f t="shared" ca="1" si="370"/>
        <v/>
      </c>
      <c r="Z830" s="315" t="str">
        <f t="shared" ca="1" si="371"/>
        <v/>
      </c>
      <c r="AA830" s="316" t="str">
        <f t="shared" ca="1" si="372"/>
        <v/>
      </c>
      <c r="AC830" s="310" t="e">
        <f t="shared" ca="1" si="373"/>
        <v>#N/A</v>
      </c>
      <c r="AD830" s="323" t="e">
        <f t="shared" ca="1" si="374"/>
        <v>#N/A</v>
      </c>
      <c r="AE830" s="324">
        <f t="shared" ca="1" si="353"/>
        <v>-2.722907241850733</v>
      </c>
      <c r="AG830" s="306">
        <f t="shared" ca="1" si="375"/>
        <v>6.3064390367638126</v>
      </c>
      <c r="AH830" s="304">
        <f t="shared" ca="1" si="376"/>
        <v>-3.4758311228090926</v>
      </c>
    </row>
    <row r="831" spans="1:34" x14ac:dyDescent="0.2">
      <c r="A831" s="347">
        <f t="shared" ca="1" si="354"/>
        <v>1E-4</v>
      </c>
      <c r="B831" s="304">
        <f t="shared" ca="1" si="355"/>
        <v>12.052699999999852</v>
      </c>
      <c r="D831" s="306">
        <f t="shared" ca="1" si="356"/>
        <v>-0.26116099643498125</v>
      </c>
      <c r="E831" s="307">
        <f t="shared" ca="1" si="357"/>
        <v>-6.3439076652120523</v>
      </c>
      <c r="F831" s="304">
        <f t="shared" ca="1" si="358"/>
        <v>6.3492810247141485</v>
      </c>
      <c r="G831" s="306">
        <f t="shared" ca="1" si="359"/>
        <v>3.9034529659426567</v>
      </c>
      <c r="H831" s="307">
        <f t="shared" ca="1" si="360"/>
        <v>-51.80706456205089</v>
      </c>
      <c r="I831" s="304">
        <f t="shared" ca="1" si="361"/>
        <v>51.953911148188212</v>
      </c>
      <c r="J831" s="306">
        <f t="shared" ca="1" si="362"/>
        <v>56.288824373840264</v>
      </c>
      <c r="K831" s="307">
        <f t="shared" ca="1" si="363"/>
        <v>-2.7280879165873997</v>
      </c>
      <c r="L831" s="304">
        <f t="shared" ca="1" si="348"/>
        <v>56.354895200591621</v>
      </c>
      <c r="M831" s="306">
        <f t="shared" ca="1" si="364"/>
        <v>-1.495592464040203</v>
      </c>
      <c r="N831" s="304">
        <f t="shared" ca="1" si="365"/>
        <v>-85.691136061074971</v>
      </c>
      <c r="P831" s="310">
        <f t="shared" ca="1" si="366"/>
        <v>23</v>
      </c>
      <c r="Q831" s="304">
        <f t="shared" ca="1" si="367"/>
        <v>0</v>
      </c>
      <c r="R831" s="306">
        <f t="shared" ca="1" si="368"/>
        <v>0</v>
      </c>
      <c r="S831" s="307">
        <f t="shared" ca="1" si="369"/>
        <v>2.0843000000000003</v>
      </c>
      <c r="T831" s="304">
        <f t="shared" ca="1" si="349"/>
        <v>20.446983000000003</v>
      </c>
      <c r="U831" s="311">
        <f t="shared" ca="1" si="350"/>
        <v>0</v>
      </c>
      <c r="V831" s="306">
        <f t="shared" ca="1" si="351"/>
        <v>1.2253342363610911</v>
      </c>
      <c r="W831" s="304">
        <f t="shared" ca="1" si="352"/>
        <v>7.245034085214197</v>
      </c>
      <c r="Y831" s="314" t="str">
        <f t="shared" ca="1" si="370"/>
        <v/>
      </c>
      <c r="Z831" s="315" t="str">
        <f t="shared" ca="1" si="371"/>
        <v/>
      </c>
      <c r="AA831" s="316" t="str">
        <f t="shared" ca="1" si="372"/>
        <v/>
      </c>
      <c r="AC831" s="310" t="e">
        <f t="shared" ca="1" si="373"/>
        <v>#N/A</v>
      </c>
      <c r="AD831" s="323" t="e">
        <f t="shared" ca="1" si="374"/>
        <v>#N/A</v>
      </c>
      <c r="AE831" s="324">
        <f t="shared" ca="1" si="353"/>
        <v>-2.7280879165873997</v>
      </c>
      <c r="AG831" s="306">
        <f t="shared" ca="1" si="375"/>
        <v>6.3063538962447598</v>
      </c>
      <c r="AH831" s="304">
        <f t="shared" ca="1" si="376"/>
        <v>-3.4759173090473081</v>
      </c>
    </row>
    <row r="832" spans="1:34" x14ac:dyDescent="0.2">
      <c r="A832" s="347">
        <f t="shared" ca="1" si="354"/>
        <v>1E-4</v>
      </c>
      <c r="B832" s="304">
        <f t="shared" ca="1" si="355"/>
        <v>12.052799999999852</v>
      </c>
      <c r="D832" s="306">
        <f t="shared" ca="1" si="356"/>
        <v>-0.26116255452992698</v>
      </c>
      <c r="E832" s="307">
        <f t="shared" ca="1" si="357"/>
        <v>-6.3438213520770237</v>
      </c>
      <c r="F832" s="304">
        <f t="shared" ca="1" si="358"/>
        <v>6.3491948487156185</v>
      </c>
      <c r="G832" s="306">
        <f t="shared" ca="1" si="359"/>
        <v>3.9034268496872038</v>
      </c>
      <c r="H832" s="307">
        <f t="shared" ca="1" si="360"/>
        <v>-51.8076989441861</v>
      </c>
      <c r="I832" s="304">
        <f t="shared" ca="1" si="361"/>
        <v>51.954541775116063</v>
      </c>
      <c r="J832" s="306">
        <f t="shared" ca="1" si="362"/>
        <v>56.288824373840264</v>
      </c>
      <c r="K832" s="307">
        <f t="shared" ca="1" si="363"/>
        <v>-2.7332686547627114</v>
      </c>
      <c r="L832" s="304">
        <f t="shared" ca="1" si="348"/>
        <v>56.355146232869828</v>
      </c>
      <c r="M832" s="306">
        <f t="shared" ca="1" si="364"/>
        <v>-1.4955938826932398</v>
      </c>
      <c r="N832" s="304">
        <f t="shared" ca="1" si="365"/>
        <v>-85.691217343906573</v>
      </c>
      <c r="P832" s="310">
        <f t="shared" ca="1" si="366"/>
        <v>23</v>
      </c>
      <c r="Q832" s="304">
        <f t="shared" ca="1" si="367"/>
        <v>0</v>
      </c>
      <c r="R832" s="306">
        <f t="shared" ca="1" si="368"/>
        <v>0</v>
      </c>
      <c r="S832" s="307">
        <f t="shared" ca="1" si="369"/>
        <v>2.0843000000000003</v>
      </c>
      <c r="T832" s="304">
        <f t="shared" ca="1" si="349"/>
        <v>20.446983000000003</v>
      </c>
      <c r="U832" s="311">
        <f t="shared" ca="1" si="350"/>
        <v>0</v>
      </c>
      <c r="V832" s="306">
        <f t="shared" ca="1" si="351"/>
        <v>1.2253348711748528</v>
      </c>
      <c r="W832" s="304">
        <f t="shared" ca="1" si="352"/>
        <v>7.245213723171581</v>
      </c>
      <c r="Y832" s="314" t="str">
        <f t="shared" ca="1" si="370"/>
        <v/>
      </c>
      <c r="Z832" s="315" t="str">
        <f t="shared" ca="1" si="371"/>
        <v/>
      </c>
      <c r="AA832" s="316" t="str">
        <f t="shared" ca="1" si="372"/>
        <v/>
      </c>
      <c r="AC832" s="310" t="e">
        <f t="shared" ca="1" si="373"/>
        <v>#N/A</v>
      </c>
      <c r="AD832" s="323" t="e">
        <f t="shared" ca="1" si="374"/>
        <v>#N/A</v>
      </c>
      <c r="AE832" s="324">
        <f t="shared" ca="1" si="353"/>
        <v>-2.7332686547627114</v>
      </c>
      <c r="AG832" s="306">
        <f t="shared" ca="1" si="375"/>
        <v>6.306268755678154</v>
      </c>
      <c r="AH832" s="304">
        <f t="shared" ca="1" si="376"/>
        <v>-3.4760034952810037</v>
      </c>
    </row>
    <row r="833" spans="1:34" x14ac:dyDescent="0.2">
      <c r="A833" s="347">
        <f t="shared" ca="1" si="354"/>
        <v>1E-4</v>
      </c>
      <c r="B833" s="304">
        <f t="shared" ca="1" si="355"/>
        <v>12.052899999999852</v>
      </c>
      <c r="D833" s="306">
        <f t="shared" ca="1" si="356"/>
        <v>-0.26116411253243116</v>
      </c>
      <c r="E833" s="307">
        <f t="shared" ca="1" si="357"/>
        <v>-6.3437350389466189</v>
      </c>
      <c r="F833" s="304">
        <f t="shared" ca="1" si="358"/>
        <v>6.3491086727220152</v>
      </c>
      <c r="G833" s="306">
        <f t="shared" ca="1" si="359"/>
        <v>3.9034007332759506</v>
      </c>
      <c r="H833" s="307">
        <f t="shared" ca="1" si="360"/>
        <v>-51.808333317689993</v>
      </c>
      <c r="I833" s="304">
        <f t="shared" ca="1" si="361"/>
        <v>51.95517239352985</v>
      </c>
      <c r="J833" s="306">
        <f t="shared" ca="1" si="362"/>
        <v>56.288824373840264</v>
      </c>
      <c r="K833" s="307">
        <f t="shared" ca="1" si="363"/>
        <v>-2.7384494563758053</v>
      </c>
      <c r="L833" s="304">
        <f t="shared" ca="1" si="348"/>
        <v>56.355397743376443</v>
      </c>
      <c r="M833" s="306">
        <f t="shared" ca="1" si="364"/>
        <v>-1.4955953013023464</v>
      </c>
      <c r="N833" s="304">
        <f t="shared" ca="1" si="365"/>
        <v>-85.691298624221162</v>
      </c>
      <c r="P833" s="310">
        <f t="shared" ca="1" si="366"/>
        <v>23</v>
      </c>
      <c r="Q833" s="304">
        <f t="shared" ca="1" si="367"/>
        <v>0</v>
      </c>
      <c r="R833" s="306">
        <f t="shared" ca="1" si="368"/>
        <v>0</v>
      </c>
      <c r="S833" s="307">
        <f t="shared" ca="1" si="369"/>
        <v>2.0843000000000003</v>
      </c>
      <c r="T833" s="304">
        <f t="shared" ca="1" si="349"/>
        <v>20.446983000000003</v>
      </c>
      <c r="U833" s="311">
        <f t="shared" ca="1" si="350"/>
        <v>0</v>
      </c>
      <c r="V833" s="306">
        <f t="shared" ca="1" si="351"/>
        <v>1.225335505996717</v>
      </c>
      <c r="W833" s="304">
        <f t="shared" ca="1" si="352"/>
        <v>7.2453933611193726</v>
      </c>
      <c r="Y833" s="314" t="str">
        <f t="shared" ca="1" si="370"/>
        <v/>
      </c>
      <c r="Z833" s="315" t="str">
        <f t="shared" ca="1" si="371"/>
        <v/>
      </c>
      <c r="AA833" s="316" t="str">
        <f t="shared" ca="1" si="372"/>
        <v/>
      </c>
      <c r="AC833" s="310" t="e">
        <f t="shared" ca="1" si="373"/>
        <v>#N/A</v>
      </c>
      <c r="AD833" s="323" t="e">
        <f t="shared" ca="1" si="374"/>
        <v>#N/A</v>
      </c>
      <c r="AE833" s="324">
        <f t="shared" ca="1" si="353"/>
        <v>-2.7384494563758053</v>
      </c>
      <c r="AG833" s="306">
        <f t="shared" ca="1" si="375"/>
        <v>6.3061836150640431</v>
      </c>
      <c r="AH833" s="304">
        <f t="shared" ca="1" si="376"/>
        <v>-3.4760896815101376</v>
      </c>
    </row>
    <row r="834" spans="1:34" x14ac:dyDescent="0.2">
      <c r="A834" s="347">
        <f t="shared" ca="1" si="354"/>
        <v>1E-4</v>
      </c>
      <c r="B834" s="304">
        <f t="shared" ca="1" si="355"/>
        <v>12.052999999999852</v>
      </c>
      <c r="D834" s="306">
        <f t="shared" ca="1" si="356"/>
        <v>-0.26116567044249595</v>
      </c>
      <c r="E834" s="307">
        <f t="shared" ca="1" si="357"/>
        <v>-6.3436487258208807</v>
      </c>
      <c r="F834" s="304">
        <f t="shared" ca="1" si="358"/>
        <v>6.3490224967333795</v>
      </c>
      <c r="G834" s="306">
        <f t="shared" ca="1" si="359"/>
        <v>3.9033746167089065</v>
      </c>
      <c r="H834" s="307">
        <f t="shared" ca="1" si="360"/>
        <v>-51.808967682562574</v>
      </c>
      <c r="I834" s="304">
        <f t="shared" ca="1" si="361"/>
        <v>51.955803003429565</v>
      </c>
      <c r="J834" s="306">
        <f t="shared" ca="1" si="362"/>
        <v>56.288824373840264</v>
      </c>
      <c r="K834" s="307">
        <f t="shared" ca="1" si="363"/>
        <v>-2.743630321425818</v>
      </c>
      <c r="L834" s="304">
        <f t="shared" ca="1" si="348"/>
        <v>56.355649732122515</v>
      </c>
      <c r="M834" s="306">
        <f t="shared" ca="1" si="364"/>
        <v>-1.4955967198675253</v>
      </c>
      <c r="N834" s="304">
        <f t="shared" ca="1" si="365"/>
        <v>-85.69137990201888</v>
      </c>
      <c r="P834" s="310">
        <f t="shared" ca="1" si="366"/>
        <v>23</v>
      </c>
      <c r="Q834" s="304">
        <f t="shared" ca="1" si="367"/>
        <v>0</v>
      </c>
      <c r="R834" s="306">
        <f t="shared" ca="1" si="368"/>
        <v>0</v>
      </c>
      <c r="S834" s="307">
        <f t="shared" ca="1" si="369"/>
        <v>2.0843000000000003</v>
      </c>
      <c r="T834" s="304">
        <f t="shared" ca="1" si="349"/>
        <v>20.446983000000003</v>
      </c>
      <c r="U834" s="311">
        <f t="shared" ca="1" si="350"/>
        <v>0</v>
      </c>
      <c r="V834" s="306">
        <f t="shared" ca="1" si="351"/>
        <v>1.225336140826683</v>
      </c>
      <c r="W834" s="304">
        <f t="shared" ca="1" si="352"/>
        <v>7.2455729990574849</v>
      </c>
      <c r="Y834" s="314" t="str">
        <f t="shared" ca="1" si="370"/>
        <v/>
      </c>
      <c r="Z834" s="315" t="str">
        <f t="shared" ca="1" si="371"/>
        <v/>
      </c>
      <c r="AA834" s="316" t="str">
        <f t="shared" ca="1" si="372"/>
        <v/>
      </c>
      <c r="AC834" s="310" t="e">
        <f t="shared" ca="1" si="373"/>
        <v>#N/A</v>
      </c>
      <c r="AD834" s="323" t="e">
        <f t="shared" ca="1" si="374"/>
        <v>#N/A</v>
      </c>
      <c r="AE834" s="324">
        <f t="shared" ca="1" si="353"/>
        <v>-2.743630321425818</v>
      </c>
      <c r="AG834" s="306">
        <f t="shared" ca="1" si="375"/>
        <v>6.3060984744024697</v>
      </c>
      <c r="AH834" s="304">
        <f t="shared" ca="1" si="376"/>
        <v>-3.4761758677346695</v>
      </c>
    </row>
    <row r="835" spans="1:34" x14ac:dyDescent="0.2">
      <c r="A835" s="347">
        <f t="shared" ca="1" si="354"/>
        <v>1E-4</v>
      </c>
      <c r="B835" s="304">
        <f t="shared" ca="1" si="355"/>
        <v>12.053099999999851</v>
      </c>
      <c r="D835" s="306">
        <f t="shared" ca="1" si="356"/>
        <v>-0.26116722826012095</v>
      </c>
      <c r="E835" s="307">
        <f t="shared" ca="1" si="357"/>
        <v>-6.3435624126998507</v>
      </c>
      <c r="F835" s="304">
        <f t="shared" ca="1" si="358"/>
        <v>6.348936320749754</v>
      </c>
      <c r="G835" s="306">
        <f t="shared" ca="1" si="359"/>
        <v>3.9033484999860804</v>
      </c>
      <c r="H835" s="307">
        <f t="shared" ca="1" si="360"/>
        <v>-51.809602038803845</v>
      </c>
      <c r="I835" s="304">
        <f t="shared" ca="1" si="361"/>
        <v>51.95643360481521</v>
      </c>
      <c r="J835" s="306">
        <f t="shared" ca="1" si="362"/>
        <v>56.288824373840264</v>
      </c>
      <c r="K835" s="307">
        <f t="shared" ca="1" si="363"/>
        <v>-2.7488112499118862</v>
      </c>
      <c r="L835" s="304">
        <f t="shared" ca="1" si="348"/>
        <v>56.355902199119093</v>
      </c>
      <c r="M835" s="306">
        <f t="shared" ca="1" si="364"/>
        <v>-1.4955981383887782</v>
      </c>
      <c r="N835" s="304">
        <f t="shared" ca="1" si="365"/>
        <v>-85.691461177299814</v>
      </c>
      <c r="P835" s="310">
        <f t="shared" ca="1" si="366"/>
        <v>23</v>
      </c>
      <c r="Q835" s="304">
        <f t="shared" ca="1" si="367"/>
        <v>0</v>
      </c>
      <c r="R835" s="306">
        <f t="shared" ca="1" si="368"/>
        <v>0</v>
      </c>
      <c r="S835" s="307">
        <f t="shared" ca="1" si="369"/>
        <v>2.0843000000000003</v>
      </c>
      <c r="T835" s="304">
        <f t="shared" ca="1" si="349"/>
        <v>20.446983000000003</v>
      </c>
      <c r="U835" s="311">
        <f t="shared" ca="1" si="350"/>
        <v>0</v>
      </c>
      <c r="V835" s="306">
        <f t="shared" ca="1" si="351"/>
        <v>1.2253367756647511</v>
      </c>
      <c r="W835" s="304">
        <f t="shared" ca="1" si="352"/>
        <v>7.2457526369858343</v>
      </c>
      <c r="Y835" s="314" t="str">
        <f t="shared" ca="1" si="370"/>
        <v/>
      </c>
      <c r="Z835" s="315" t="str">
        <f t="shared" ca="1" si="371"/>
        <v/>
      </c>
      <c r="AA835" s="316" t="str">
        <f t="shared" ca="1" si="372"/>
        <v/>
      </c>
      <c r="AC835" s="310" t="e">
        <f t="shared" ca="1" si="373"/>
        <v>#N/A</v>
      </c>
      <c r="AD835" s="323" t="e">
        <f t="shared" ca="1" si="374"/>
        <v>#N/A</v>
      </c>
      <c r="AE835" s="324">
        <f t="shared" ca="1" si="353"/>
        <v>-2.7488112499118862</v>
      </c>
      <c r="AG835" s="306">
        <f t="shared" ca="1" si="375"/>
        <v>6.3060133336934774</v>
      </c>
      <c r="AH835" s="304">
        <f t="shared" ca="1" si="376"/>
        <v>-3.4762620539545575</v>
      </c>
    </row>
    <row r="836" spans="1:34" x14ac:dyDescent="0.2">
      <c r="A836" s="347">
        <f t="shared" ca="1" si="354"/>
        <v>1E-4</v>
      </c>
      <c r="B836" s="304">
        <f t="shared" ca="1" si="355"/>
        <v>12.053199999999851</v>
      </c>
      <c r="D836" s="306">
        <f t="shared" ca="1" si="356"/>
        <v>-0.26116878598530846</v>
      </c>
      <c r="E836" s="307">
        <f t="shared" ca="1" si="357"/>
        <v>-6.343476099583568</v>
      </c>
      <c r="F836" s="304">
        <f t="shared" ca="1" si="358"/>
        <v>6.3488501447711769</v>
      </c>
      <c r="G836" s="306">
        <f t="shared" ca="1" si="359"/>
        <v>3.9033223831074819</v>
      </c>
      <c r="H836" s="307">
        <f t="shared" ca="1" si="360"/>
        <v>-51.810236386413806</v>
      </c>
      <c r="I836" s="304">
        <f t="shared" ca="1" si="361"/>
        <v>51.957064197686776</v>
      </c>
      <c r="J836" s="306">
        <f t="shared" ca="1" si="362"/>
        <v>56.288824373840264</v>
      </c>
      <c r="K836" s="307">
        <f t="shared" ca="1" si="363"/>
        <v>-2.7539922418331471</v>
      </c>
      <c r="L836" s="304">
        <f t="shared" ref="L836:L899" ca="1" si="377">SQRT(pos_x^2+pos_z^2)</f>
        <v>56.356155144377183</v>
      </c>
      <c r="M836" s="306">
        <f t="shared" ca="1" si="364"/>
        <v>-1.4955995568661073</v>
      </c>
      <c r="N836" s="304">
        <f t="shared" ca="1" si="365"/>
        <v>-85.691542450064119</v>
      </c>
      <c r="P836" s="310">
        <f t="shared" ca="1" si="366"/>
        <v>23</v>
      </c>
      <c r="Q836" s="304">
        <f t="shared" ca="1" si="367"/>
        <v>0</v>
      </c>
      <c r="R836" s="306">
        <f t="shared" ca="1" si="368"/>
        <v>0</v>
      </c>
      <c r="S836" s="307">
        <f t="shared" ca="1" si="369"/>
        <v>2.0843000000000003</v>
      </c>
      <c r="T836" s="304">
        <f t="shared" ref="T836:T899" ca="1" si="378">m*g</f>
        <v>20.446983000000003</v>
      </c>
      <c r="U836" s="311">
        <f t="shared" ref="U836:U899" ca="1" si="379">IF(pos_xz&lt;L_rampe,Poids*COS(Beta),0)</f>
        <v>0</v>
      </c>
      <c r="V836" s="306">
        <f t="shared" ref="V836:V899" ca="1" si="380">Rho_moyen*(20000-Alt_rampe-pos_z)/(20000+Alt_rampe+pos_z)</f>
        <v>1.2253374105109212</v>
      </c>
      <c r="W836" s="304">
        <f t="shared" ref="W836:W899" ca="1" si="381">1/2*Rho*Sref*Cx*vit_xz^2</f>
        <v>7.2459322749043347</v>
      </c>
      <c r="Y836" s="314" t="str">
        <f t="shared" ca="1" si="370"/>
        <v/>
      </c>
      <c r="Z836" s="315" t="str">
        <f t="shared" ca="1" si="371"/>
        <v/>
      </c>
      <c r="AA836" s="316" t="str">
        <f t="shared" ca="1" si="372"/>
        <v/>
      </c>
      <c r="AC836" s="310" t="e">
        <f t="shared" ca="1" si="373"/>
        <v>#N/A</v>
      </c>
      <c r="AD836" s="323" t="e">
        <f t="shared" ca="1" si="374"/>
        <v>#N/A</v>
      </c>
      <c r="AE836" s="324">
        <f t="shared" ref="AE836:AE899" ca="1" si="382">IF(t&lt;T_para, pos_z, NA())</f>
        <v>-2.7539922418331471</v>
      </c>
      <c r="AG836" s="306">
        <f t="shared" ca="1" si="375"/>
        <v>6.3059281929371114</v>
      </c>
      <c r="AH836" s="304">
        <f t="shared" ca="1" si="376"/>
        <v>-3.4763482401697612</v>
      </c>
    </row>
    <row r="837" spans="1:34" x14ac:dyDescent="0.2">
      <c r="A837" s="347">
        <f t="shared" ref="A837:A900" ca="1" si="383">IF(B836+0.01&lt;=T_ini+ROUNDUP(Temps_fin_propu,0), 0.01, IF(K836&gt;0, 0.1, 0.0001))</f>
        <v>1E-4</v>
      </c>
      <c r="B837" s="304">
        <f t="shared" ref="B837:B900" ca="1" si="384">B836+pas</f>
        <v>12.053299999999851</v>
      </c>
      <c r="D837" s="306">
        <f t="shared" ref="D837:D900" ca="1" si="385">IF(AND(L836&lt;L_rampe,Poussee&lt;Poids*SIN(M836)),0,(-W836+Poussee)/m*COS(M836)-U836/m*SIN(M836))</f>
        <v>-0.26117034361805913</v>
      </c>
      <c r="E837" s="307">
        <f t="shared" ref="E837:E900" ca="1" si="386">IF(AND(L836&lt;L_rampe,Poussee&lt;Poids*SIN(M836)),0,(-W836+Poussee)/m*SIN(M836)+U836/m*COS(M836)-Poids/m)</f>
        <v>-6.3433897864720752</v>
      </c>
      <c r="F837" s="304">
        <f t="shared" ref="F837:F900" ca="1" si="387">SQRT(acc_x^2+acc_z^2)</f>
        <v>6.3487639687976918</v>
      </c>
      <c r="G837" s="306">
        <f t="shared" ref="G837:G900" ca="1" si="388">G836+acc_x*pas</f>
        <v>3.9032962660731201</v>
      </c>
      <c r="H837" s="307">
        <f t="shared" ref="H837:H900" ca="1" si="389">H836+acc_z*pas</f>
        <v>-51.810870725392455</v>
      </c>
      <c r="I837" s="304">
        <f t="shared" ref="I837:I900" ca="1" si="390">SQRT(vit_x^2+vit_z^2)</f>
        <v>51.957694782044257</v>
      </c>
      <c r="J837" s="306">
        <f t="shared" ref="J837:J900" ca="1" si="391">J836+0.5*(vit_x+G836)*pas*(K836&gt;=0)</f>
        <v>56.288824373840264</v>
      </c>
      <c r="K837" s="307">
        <f t="shared" ref="K837:K900" ca="1" si="392">K836+0.5*(vit_z+H836)*pas</f>
        <v>-2.7591732971887373</v>
      </c>
      <c r="L837" s="304">
        <f t="shared" ca="1" si="377"/>
        <v>56.356408567907813</v>
      </c>
      <c r="M837" s="306">
        <f t="shared" ref="M837:M900" ca="1" si="393">IF(AND(L836&gt;L_rampe,G837&gt;0),ATAN2(G837,H837),$M$4)</f>
        <v>-1.495600975299515</v>
      </c>
      <c r="N837" s="304">
        <f t="shared" ref="N837:N900" ca="1" si="394">DEGREES(Beta)</f>
        <v>-85.691623720311895</v>
      </c>
      <c r="P837" s="310">
        <f t="shared" ref="P837:P900" ca="1" si="395">MATCH(t-pas/2-T_ini,CdP_t)</f>
        <v>23</v>
      </c>
      <c r="Q837" s="304">
        <f t="shared" ref="Q837:Q900" ca="1" si="396">(INDEX(CdP,2,i_P+1)-INDEX(CdP,2,i_P+0))/(INDEX(CdP,1,i_P+1)-INDEX(CdP,1,i_P+0))*(t-pas/2-T_ini-INDEX(CdP,1,i_P+0))+INDEX(CdP,2,i_P+0)</f>
        <v>0</v>
      </c>
      <c r="R837" s="306">
        <f t="shared" ref="R837:R900" ca="1" si="397">Poussee/(g*ISP)</f>
        <v>0</v>
      </c>
      <c r="S837" s="307">
        <f t="shared" ref="S837:S900" ca="1" si="398">S836-Débit*pas</f>
        <v>2.0843000000000003</v>
      </c>
      <c r="T837" s="304">
        <f t="shared" ca="1" si="378"/>
        <v>20.446983000000003</v>
      </c>
      <c r="U837" s="311">
        <f t="shared" ca="1" si="379"/>
        <v>0</v>
      </c>
      <c r="V837" s="306">
        <f t="shared" ca="1" si="380"/>
        <v>1.225338045365193</v>
      </c>
      <c r="W837" s="304">
        <f t="shared" ca="1" si="381"/>
        <v>7.2461119128129017</v>
      </c>
      <c r="Y837" s="314" t="str">
        <f t="shared" ref="Y837:Y900" ca="1" si="399">IF(AND(pos_z&lt;=0,K836&gt;0),"Impact balistique","") &amp; IF(AND(H838&lt;0,vit_z&gt;=0),"Apogée","") &amp; IF(AND(Poussee=0,Q836&gt;0),"Fin de propulsion","") &amp; IF(AND(L838&gt;L_rampe,pos_xz&lt;=L_rampe),"Sortie de rampe","")</f>
        <v/>
      </c>
      <c r="Z837" s="315" t="str">
        <f t="shared" ref="Z837:Z900" ca="1" si="400">IF(ABS(t-T_para)&lt;pas/2,"Para","")</f>
        <v/>
      </c>
      <c r="AA837" s="316" t="str">
        <f t="shared" ref="AA837:AA900" ca="1" si="401">IF(ABS(t-T_satellite)&lt;pas/2,"Satellite","")</f>
        <v/>
      </c>
      <c r="AC837" s="310" t="e">
        <f t="shared" ref="AC837:AC900" ca="1" si="402">IF(ABS(t-ROUND(t,0))&lt;0.001,t,NA())</f>
        <v>#N/A</v>
      </c>
      <c r="AD837" s="323" t="e">
        <f t="shared" ref="AD837:AD900" ca="1" si="403">IF(ABS(t-ROUND(t,0))&lt;0.001,pos_x,NA())</f>
        <v>#N/A</v>
      </c>
      <c r="AE837" s="324">
        <f t="shared" ca="1" si="382"/>
        <v>-2.7591732971887373</v>
      </c>
      <c r="AG837" s="306">
        <f t="shared" ref="AG837:AG900" ca="1" si="404">IF(AND(L836&lt;L_rampe,Poussee&lt;Poids*SIN(M836)),0,(-W836+Poussee)/m-Poids*SIN(M836)/m)</f>
        <v>6.3058430521334143</v>
      </c>
      <c r="AH837" s="304">
        <f t="shared" ref="AH837:AH900" ca="1" si="405">IF(AND(L836&lt;L_rampe,Poussee&lt;Poids*SIN(M836)), g*SIN(M836), (-W836+Poussee)/m)</f>
        <v>-3.4764344263802398</v>
      </c>
    </row>
    <row r="838" spans="1:34" x14ac:dyDescent="0.2">
      <c r="A838" s="347">
        <f t="shared" ca="1" si="383"/>
        <v>1E-4</v>
      </c>
      <c r="B838" s="304">
        <f t="shared" ca="1" si="384"/>
        <v>12.053399999999851</v>
      </c>
      <c r="D838" s="306">
        <f t="shared" ca="1" si="385"/>
        <v>-0.26117190115837341</v>
      </c>
      <c r="E838" s="307">
        <f t="shared" ca="1" si="386"/>
        <v>-6.3433034733654114</v>
      </c>
      <c r="F838" s="304">
        <f t="shared" ca="1" si="387"/>
        <v>6.3486777928293368</v>
      </c>
      <c r="G838" s="306">
        <f t="shared" ca="1" si="388"/>
        <v>3.9032701488830042</v>
      </c>
      <c r="H838" s="307">
        <f t="shared" ca="1" si="389"/>
        <v>-51.811505055739794</v>
      </c>
      <c r="I838" s="304">
        <f t="shared" ca="1" si="390"/>
        <v>51.958325357887659</v>
      </c>
      <c r="J838" s="306">
        <f t="shared" ca="1" si="391"/>
        <v>56.288824373840264</v>
      </c>
      <c r="K838" s="307">
        <f t="shared" ca="1" si="392"/>
        <v>-2.764354415977794</v>
      </c>
      <c r="L838" s="304">
        <f t="shared" ca="1" si="377"/>
        <v>56.356662469721982</v>
      </c>
      <c r="M838" s="306">
        <f t="shared" ca="1" si="393"/>
        <v>-1.4956023936890033</v>
      </c>
      <c r="N838" s="304">
        <f t="shared" ca="1" si="394"/>
        <v>-85.69170498804327</v>
      </c>
      <c r="P838" s="310">
        <f t="shared" ca="1" si="395"/>
        <v>23</v>
      </c>
      <c r="Q838" s="304">
        <f t="shared" ca="1" si="396"/>
        <v>0</v>
      </c>
      <c r="R838" s="306">
        <f t="shared" ca="1" si="397"/>
        <v>0</v>
      </c>
      <c r="S838" s="307">
        <f t="shared" ca="1" si="398"/>
        <v>2.0843000000000003</v>
      </c>
      <c r="T838" s="304">
        <f t="shared" ca="1" si="378"/>
        <v>20.446983000000003</v>
      </c>
      <c r="U838" s="311">
        <f t="shared" ca="1" si="379"/>
        <v>0</v>
      </c>
      <c r="V838" s="306">
        <f t="shared" ca="1" si="380"/>
        <v>1.2253386802275663</v>
      </c>
      <c r="W838" s="304">
        <f t="shared" ca="1" si="381"/>
        <v>7.24629155071145</v>
      </c>
      <c r="Y838" s="314" t="str">
        <f t="shared" ca="1" si="399"/>
        <v/>
      </c>
      <c r="Z838" s="315" t="str">
        <f t="shared" ca="1" si="400"/>
        <v/>
      </c>
      <c r="AA838" s="316" t="str">
        <f t="shared" ca="1" si="401"/>
        <v/>
      </c>
      <c r="AC838" s="310" t="e">
        <f t="shared" ca="1" si="402"/>
        <v>#N/A</v>
      </c>
      <c r="AD838" s="323" t="e">
        <f t="shared" ca="1" si="403"/>
        <v>#N/A</v>
      </c>
      <c r="AE838" s="324">
        <f t="shared" ca="1" si="382"/>
        <v>-2.764354415977794</v>
      </c>
      <c r="AG838" s="306">
        <f t="shared" ca="1" si="404"/>
        <v>6.3057579112824325</v>
      </c>
      <c r="AH838" s="304">
        <f t="shared" ca="1" si="405"/>
        <v>-3.4765206125859525</v>
      </c>
    </row>
    <row r="839" spans="1:34" x14ac:dyDescent="0.2">
      <c r="A839" s="347">
        <f t="shared" ca="1" si="383"/>
        <v>1E-4</v>
      </c>
      <c r="B839" s="304">
        <f t="shared" ca="1" si="384"/>
        <v>12.05349999999985</v>
      </c>
      <c r="D839" s="306">
        <f t="shared" ca="1" si="385"/>
        <v>-0.26117345860625196</v>
      </c>
      <c r="E839" s="307">
        <f t="shared" ca="1" si="386"/>
        <v>-6.3432171602636185</v>
      </c>
      <c r="F839" s="304">
        <f t="shared" ca="1" si="387"/>
        <v>6.3485916168661536</v>
      </c>
      <c r="G839" s="306">
        <f t="shared" ca="1" si="388"/>
        <v>3.9032440315371435</v>
      </c>
      <c r="H839" s="307">
        <f t="shared" ca="1" si="389"/>
        <v>-51.812139377455821</v>
      </c>
      <c r="I839" s="304">
        <f t="shared" ca="1" si="390"/>
        <v>51.958955925216955</v>
      </c>
      <c r="J839" s="306">
        <f t="shared" ca="1" si="391"/>
        <v>56.288824373840264</v>
      </c>
      <c r="K839" s="307">
        <f t="shared" ca="1" si="392"/>
        <v>-2.7695355981994538</v>
      </c>
      <c r="L839" s="304">
        <f t="shared" ca="1" si="377"/>
        <v>56.356916849830668</v>
      </c>
      <c r="M839" s="306">
        <f t="shared" ca="1" si="393"/>
        <v>-1.4956038120345743</v>
      </c>
      <c r="N839" s="304">
        <f t="shared" ca="1" si="394"/>
        <v>-85.691786253258385</v>
      </c>
      <c r="P839" s="310">
        <f t="shared" ca="1" si="395"/>
        <v>23</v>
      </c>
      <c r="Q839" s="304">
        <f t="shared" ca="1" si="396"/>
        <v>0</v>
      </c>
      <c r="R839" s="306">
        <f t="shared" ca="1" si="397"/>
        <v>0</v>
      </c>
      <c r="S839" s="307">
        <f t="shared" ca="1" si="398"/>
        <v>2.0843000000000003</v>
      </c>
      <c r="T839" s="304">
        <f t="shared" ca="1" si="378"/>
        <v>20.446983000000003</v>
      </c>
      <c r="U839" s="311">
        <f t="shared" ca="1" si="379"/>
        <v>0</v>
      </c>
      <c r="V839" s="306">
        <f t="shared" ca="1" si="380"/>
        <v>1.2253393150980416</v>
      </c>
      <c r="W839" s="304">
        <f t="shared" ca="1" si="381"/>
        <v>7.2464711885998909</v>
      </c>
      <c r="Y839" s="314" t="str">
        <f t="shared" ca="1" si="399"/>
        <v/>
      </c>
      <c r="Z839" s="315" t="str">
        <f t="shared" ca="1" si="400"/>
        <v/>
      </c>
      <c r="AA839" s="316" t="str">
        <f t="shared" ca="1" si="401"/>
        <v/>
      </c>
      <c r="AC839" s="310" t="e">
        <f t="shared" ca="1" si="402"/>
        <v>#N/A</v>
      </c>
      <c r="AD839" s="323" t="e">
        <f t="shared" ca="1" si="403"/>
        <v>#N/A</v>
      </c>
      <c r="AE839" s="324">
        <f t="shared" ca="1" si="382"/>
        <v>-2.7695355981994538</v>
      </c>
      <c r="AG839" s="306">
        <f t="shared" ca="1" si="404"/>
        <v>6.3056727703842084</v>
      </c>
      <c r="AH839" s="304">
        <f t="shared" ca="1" si="405"/>
        <v>-3.4766067987868583</v>
      </c>
    </row>
    <row r="840" spans="1:34" x14ac:dyDescent="0.2">
      <c r="A840" s="347">
        <f t="shared" ca="1" si="383"/>
        <v>1E-4</v>
      </c>
      <c r="B840" s="304">
        <f t="shared" ca="1" si="384"/>
        <v>12.05359999999985</v>
      </c>
      <c r="D840" s="306">
        <f t="shared" ca="1" si="385"/>
        <v>-0.26117501596169607</v>
      </c>
      <c r="E840" s="307">
        <f t="shared" ca="1" si="386"/>
        <v>-6.3431308471667389</v>
      </c>
      <c r="F840" s="304">
        <f t="shared" ca="1" si="387"/>
        <v>6.3485054409081849</v>
      </c>
      <c r="G840" s="306">
        <f t="shared" ca="1" si="388"/>
        <v>3.9032179140355474</v>
      </c>
      <c r="H840" s="307">
        <f t="shared" ca="1" si="389"/>
        <v>-51.812773690540538</v>
      </c>
      <c r="I840" s="304">
        <f t="shared" ca="1" si="390"/>
        <v>51.959586484032165</v>
      </c>
      <c r="J840" s="306">
        <f t="shared" ca="1" si="391"/>
        <v>56.288824373840264</v>
      </c>
      <c r="K840" s="307">
        <f t="shared" ca="1" si="392"/>
        <v>-2.7747168438528536</v>
      </c>
      <c r="L840" s="304">
        <f t="shared" ca="1" si="377"/>
        <v>56.357171708244863</v>
      </c>
      <c r="M840" s="306">
        <f t="shared" ca="1" si="393"/>
        <v>-1.4956052303362299</v>
      </c>
      <c r="N840" s="304">
        <f t="shared" ca="1" si="394"/>
        <v>-85.691867515957327</v>
      </c>
      <c r="P840" s="310">
        <f t="shared" ca="1" si="395"/>
        <v>23</v>
      </c>
      <c r="Q840" s="304">
        <f t="shared" ca="1" si="396"/>
        <v>0</v>
      </c>
      <c r="R840" s="306">
        <f t="shared" ca="1" si="397"/>
        <v>0</v>
      </c>
      <c r="S840" s="307">
        <f t="shared" ca="1" si="398"/>
        <v>2.0843000000000003</v>
      </c>
      <c r="T840" s="304">
        <f t="shared" ca="1" si="378"/>
        <v>20.446983000000003</v>
      </c>
      <c r="U840" s="311">
        <f t="shared" ca="1" si="379"/>
        <v>0</v>
      </c>
      <c r="V840" s="306">
        <f t="shared" ca="1" si="380"/>
        <v>1.2253399499766187</v>
      </c>
      <c r="W840" s="304">
        <f t="shared" ca="1" si="381"/>
        <v>7.2466508264781488</v>
      </c>
      <c r="Y840" s="314" t="str">
        <f t="shared" ca="1" si="399"/>
        <v/>
      </c>
      <c r="Z840" s="315" t="str">
        <f t="shared" ca="1" si="400"/>
        <v/>
      </c>
      <c r="AA840" s="316" t="str">
        <f t="shared" ca="1" si="401"/>
        <v/>
      </c>
      <c r="AC840" s="310" t="e">
        <f t="shared" ca="1" si="402"/>
        <v>#N/A</v>
      </c>
      <c r="AD840" s="323" t="e">
        <f t="shared" ca="1" si="403"/>
        <v>#N/A</v>
      </c>
      <c r="AE840" s="324">
        <f t="shared" ca="1" si="382"/>
        <v>-2.7747168438528536</v>
      </c>
      <c r="AG840" s="306">
        <f t="shared" ca="1" si="404"/>
        <v>6.30558762943879</v>
      </c>
      <c r="AH840" s="304">
        <f t="shared" ca="1" si="405"/>
        <v>-3.4766929849829151</v>
      </c>
    </row>
    <row r="841" spans="1:34" x14ac:dyDescent="0.2">
      <c r="A841" s="347">
        <f t="shared" ca="1" si="383"/>
        <v>1E-4</v>
      </c>
      <c r="B841" s="304">
        <f t="shared" ca="1" si="384"/>
        <v>12.05369999999985</v>
      </c>
      <c r="D841" s="306">
        <f t="shared" ca="1" si="385"/>
        <v>-0.26117657322470739</v>
      </c>
      <c r="E841" s="307">
        <f t="shared" ca="1" si="386"/>
        <v>-6.3430445340748083</v>
      </c>
      <c r="F841" s="304">
        <f t="shared" ca="1" si="387"/>
        <v>6.3484192649554663</v>
      </c>
      <c r="G841" s="306">
        <f t="shared" ca="1" si="388"/>
        <v>3.9031917963782248</v>
      </c>
      <c r="H841" s="307">
        <f t="shared" ca="1" si="389"/>
        <v>-51.813407994993945</v>
      </c>
      <c r="I841" s="304">
        <f t="shared" ca="1" si="390"/>
        <v>51.960217034333262</v>
      </c>
      <c r="J841" s="306">
        <f t="shared" ca="1" si="391"/>
        <v>56.288824373840264</v>
      </c>
      <c r="K841" s="307">
        <f t="shared" ca="1" si="392"/>
        <v>-2.7798981529371303</v>
      </c>
      <c r="L841" s="304">
        <f t="shared" ca="1" si="377"/>
        <v>56.357427044975509</v>
      </c>
      <c r="M841" s="306">
        <f t="shared" ca="1" si="393"/>
        <v>-1.4956066485939725</v>
      </c>
      <c r="N841" s="304">
        <f t="shared" ca="1" si="394"/>
        <v>-85.691948776140237</v>
      </c>
      <c r="P841" s="310">
        <f t="shared" ca="1" si="395"/>
        <v>23</v>
      </c>
      <c r="Q841" s="304">
        <f t="shared" ca="1" si="396"/>
        <v>0</v>
      </c>
      <c r="R841" s="306">
        <f t="shared" ca="1" si="397"/>
        <v>0</v>
      </c>
      <c r="S841" s="307">
        <f t="shared" ca="1" si="398"/>
        <v>2.0843000000000003</v>
      </c>
      <c r="T841" s="304">
        <f t="shared" ca="1" si="378"/>
        <v>20.446983000000003</v>
      </c>
      <c r="U841" s="311">
        <f t="shared" ca="1" si="379"/>
        <v>0</v>
      </c>
      <c r="V841" s="306">
        <f t="shared" ca="1" si="380"/>
        <v>1.2253405848632966</v>
      </c>
      <c r="W841" s="304">
        <f t="shared" ca="1" si="381"/>
        <v>7.2468304643461225</v>
      </c>
      <c r="Y841" s="314" t="str">
        <f t="shared" ca="1" si="399"/>
        <v/>
      </c>
      <c r="Z841" s="315" t="str">
        <f t="shared" ca="1" si="400"/>
        <v/>
      </c>
      <c r="AA841" s="316" t="str">
        <f t="shared" ca="1" si="401"/>
        <v/>
      </c>
      <c r="AC841" s="310" t="e">
        <f t="shared" ca="1" si="402"/>
        <v>#N/A</v>
      </c>
      <c r="AD841" s="323" t="e">
        <f t="shared" ca="1" si="403"/>
        <v>#N/A</v>
      </c>
      <c r="AE841" s="324">
        <f t="shared" ca="1" si="382"/>
        <v>-2.7798981529371303</v>
      </c>
      <c r="AG841" s="306">
        <f t="shared" ca="1" si="404"/>
        <v>6.3055024884462147</v>
      </c>
      <c r="AH841" s="304">
        <f t="shared" ca="1" si="405"/>
        <v>-3.4767791711740861</v>
      </c>
    </row>
    <row r="842" spans="1:34" x14ac:dyDescent="0.2">
      <c r="A842" s="347">
        <f t="shared" ca="1" si="383"/>
        <v>1E-4</v>
      </c>
      <c r="B842" s="304">
        <f t="shared" ca="1" si="384"/>
        <v>12.05379999999985</v>
      </c>
      <c r="D842" s="306">
        <f t="shared" ca="1" si="385"/>
        <v>-0.26117813039528598</v>
      </c>
      <c r="E842" s="307">
        <f t="shared" ca="1" si="386"/>
        <v>-6.3429582209878763</v>
      </c>
      <c r="F842" s="304">
        <f t="shared" ca="1" si="387"/>
        <v>6.3483330890080474</v>
      </c>
      <c r="G842" s="306">
        <f t="shared" ca="1" si="388"/>
        <v>3.9031656785651854</v>
      </c>
      <c r="H842" s="307">
        <f t="shared" ca="1" si="389"/>
        <v>-51.81404229081604</v>
      </c>
      <c r="I842" s="304">
        <f t="shared" ca="1" si="390"/>
        <v>51.960847576120258</v>
      </c>
      <c r="J842" s="306">
        <f t="shared" ca="1" si="391"/>
        <v>56.288824373840264</v>
      </c>
      <c r="K842" s="307">
        <f t="shared" ca="1" si="392"/>
        <v>-2.7850795254514207</v>
      </c>
      <c r="L842" s="304">
        <f t="shared" ca="1" si="377"/>
        <v>56.357682860033577</v>
      </c>
      <c r="M842" s="306">
        <f t="shared" ca="1" si="393"/>
        <v>-1.4956080668078042</v>
      </c>
      <c r="N842" s="304">
        <f t="shared" ca="1" si="394"/>
        <v>-85.692030033807242</v>
      </c>
      <c r="P842" s="310">
        <f t="shared" ca="1" si="395"/>
        <v>23</v>
      </c>
      <c r="Q842" s="304">
        <f t="shared" ca="1" si="396"/>
        <v>0</v>
      </c>
      <c r="R842" s="306">
        <f t="shared" ca="1" si="397"/>
        <v>0</v>
      </c>
      <c r="S842" s="307">
        <f t="shared" ca="1" si="398"/>
        <v>2.0843000000000003</v>
      </c>
      <c r="T842" s="304">
        <f t="shared" ca="1" si="378"/>
        <v>20.446983000000003</v>
      </c>
      <c r="U842" s="311">
        <f t="shared" ca="1" si="379"/>
        <v>0</v>
      </c>
      <c r="V842" s="306">
        <f t="shared" ca="1" si="380"/>
        <v>1.2253412197580762</v>
      </c>
      <c r="W842" s="304">
        <f t="shared" ca="1" si="381"/>
        <v>7.2470101022037428</v>
      </c>
      <c r="Y842" s="314" t="str">
        <f t="shared" ca="1" si="399"/>
        <v/>
      </c>
      <c r="Z842" s="315" t="str">
        <f t="shared" ca="1" si="400"/>
        <v/>
      </c>
      <c r="AA842" s="316" t="str">
        <f t="shared" ca="1" si="401"/>
        <v/>
      </c>
      <c r="AC842" s="310" t="e">
        <f t="shared" ca="1" si="402"/>
        <v>#N/A</v>
      </c>
      <c r="AD842" s="323" t="e">
        <f t="shared" ca="1" si="403"/>
        <v>#N/A</v>
      </c>
      <c r="AE842" s="324">
        <f t="shared" ca="1" si="382"/>
        <v>-2.7850795254514207</v>
      </c>
      <c r="AG842" s="306">
        <f t="shared" ca="1" si="404"/>
        <v>6.3054173474065358</v>
      </c>
      <c r="AH842" s="304">
        <f t="shared" ca="1" si="405"/>
        <v>-3.4768653573603232</v>
      </c>
    </row>
    <row r="843" spans="1:34" x14ac:dyDescent="0.2">
      <c r="A843" s="347">
        <f t="shared" ca="1" si="383"/>
        <v>1E-4</v>
      </c>
      <c r="B843" s="304">
        <f t="shared" ca="1" si="384"/>
        <v>12.05389999999985</v>
      </c>
      <c r="D843" s="306">
        <f t="shared" ca="1" si="385"/>
        <v>-0.26117968747343295</v>
      </c>
      <c r="E843" s="307">
        <f t="shared" ca="1" si="386"/>
        <v>-6.3428719079059768</v>
      </c>
      <c r="F843" s="304">
        <f t="shared" ca="1" si="387"/>
        <v>6.3482469130659629</v>
      </c>
      <c r="G843" s="306">
        <f t="shared" ca="1" si="388"/>
        <v>3.9031395605964381</v>
      </c>
      <c r="H843" s="307">
        <f t="shared" ca="1" si="389"/>
        <v>-51.814676578006832</v>
      </c>
      <c r="I843" s="304">
        <f t="shared" ca="1" si="390"/>
        <v>51.961478109393141</v>
      </c>
      <c r="J843" s="306">
        <f t="shared" ca="1" si="391"/>
        <v>56.288824373840264</v>
      </c>
      <c r="K843" s="307">
        <f t="shared" ca="1" si="392"/>
        <v>-2.7902609613948619</v>
      </c>
      <c r="L843" s="304">
        <f t="shared" ca="1" si="377"/>
        <v>56.357939153429996</v>
      </c>
      <c r="M843" s="306">
        <f t="shared" ca="1" si="393"/>
        <v>-1.4956094849777271</v>
      </c>
      <c r="N843" s="304">
        <f t="shared" ca="1" si="394"/>
        <v>-85.692111288958458</v>
      </c>
      <c r="P843" s="310">
        <f t="shared" ca="1" si="395"/>
        <v>23</v>
      </c>
      <c r="Q843" s="304">
        <f t="shared" ca="1" si="396"/>
        <v>0</v>
      </c>
      <c r="R843" s="306">
        <f t="shared" ca="1" si="397"/>
        <v>0</v>
      </c>
      <c r="S843" s="307">
        <f t="shared" ca="1" si="398"/>
        <v>2.0843000000000003</v>
      </c>
      <c r="T843" s="304">
        <f t="shared" ca="1" si="378"/>
        <v>20.446983000000003</v>
      </c>
      <c r="U843" s="311">
        <f t="shared" ca="1" si="379"/>
        <v>0</v>
      </c>
      <c r="V843" s="306">
        <f t="shared" ca="1" si="380"/>
        <v>1.2253418546609567</v>
      </c>
      <c r="W843" s="304">
        <f t="shared" ca="1" si="381"/>
        <v>7.2471897400509144</v>
      </c>
      <c r="Y843" s="314" t="str">
        <f t="shared" ca="1" si="399"/>
        <v/>
      </c>
      <c r="Z843" s="315" t="str">
        <f t="shared" ca="1" si="400"/>
        <v/>
      </c>
      <c r="AA843" s="316" t="str">
        <f t="shared" ca="1" si="401"/>
        <v/>
      </c>
      <c r="AC843" s="310" t="e">
        <f t="shared" ca="1" si="402"/>
        <v>#N/A</v>
      </c>
      <c r="AD843" s="323" t="e">
        <f t="shared" ca="1" si="403"/>
        <v>#N/A</v>
      </c>
      <c r="AE843" s="324">
        <f t="shared" ca="1" si="382"/>
        <v>-2.7902609613948619</v>
      </c>
      <c r="AG843" s="306">
        <f t="shared" ca="1" si="404"/>
        <v>6.3053322063197887</v>
      </c>
      <c r="AH843" s="304">
        <f t="shared" ca="1" si="405"/>
        <v>-3.4769515435415927</v>
      </c>
    </row>
    <row r="844" spans="1:34" x14ac:dyDescent="0.2">
      <c r="A844" s="347">
        <f t="shared" ca="1" si="383"/>
        <v>1E-4</v>
      </c>
      <c r="B844" s="304">
        <f t="shared" ca="1" si="384"/>
        <v>12.053999999999849</v>
      </c>
      <c r="D844" s="306">
        <f t="shared" ca="1" si="385"/>
        <v>-0.26118124445914942</v>
      </c>
      <c r="E844" s="307">
        <f t="shared" ca="1" si="386"/>
        <v>-6.342785594829154</v>
      </c>
      <c r="F844" s="304">
        <f t="shared" ca="1" si="387"/>
        <v>6.3481607371292554</v>
      </c>
      <c r="G844" s="306">
        <f t="shared" ca="1" si="388"/>
        <v>3.9031134424719922</v>
      </c>
      <c r="H844" s="307">
        <f t="shared" ca="1" si="389"/>
        <v>-51.815310856566313</v>
      </c>
      <c r="I844" s="304">
        <f t="shared" ca="1" si="390"/>
        <v>51.96210863415191</v>
      </c>
      <c r="J844" s="306">
        <f t="shared" ca="1" si="391"/>
        <v>56.288824373840264</v>
      </c>
      <c r="K844" s="307">
        <f t="shared" ca="1" si="392"/>
        <v>-2.7954424607665906</v>
      </c>
      <c r="L844" s="304">
        <f t="shared" ca="1" si="377"/>
        <v>56.3581959251757</v>
      </c>
      <c r="M844" s="306">
        <f t="shared" ca="1" si="393"/>
        <v>-1.495610903103743</v>
      </c>
      <c r="N844" s="304">
        <f t="shared" ca="1" si="394"/>
        <v>-85.692192541593997</v>
      </c>
      <c r="P844" s="310">
        <f t="shared" ca="1" si="395"/>
        <v>23</v>
      </c>
      <c r="Q844" s="304">
        <f t="shared" ca="1" si="396"/>
        <v>0</v>
      </c>
      <c r="R844" s="306">
        <f t="shared" ca="1" si="397"/>
        <v>0</v>
      </c>
      <c r="S844" s="307">
        <f t="shared" ca="1" si="398"/>
        <v>2.0843000000000003</v>
      </c>
      <c r="T844" s="304">
        <f t="shared" ca="1" si="378"/>
        <v>20.446983000000003</v>
      </c>
      <c r="U844" s="311">
        <f t="shared" ca="1" si="379"/>
        <v>0</v>
      </c>
      <c r="V844" s="306">
        <f t="shared" ca="1" si="380"/>
        <v>1.2253424895719387</v>
      </c>
      <c r="W844" s="304">
        <f t="shared" ca="1" si="381"/>
        <v>7.2473693778875559</v>
      </c>
      <c r="Y844" s="314" t="str">
        <f t="shared" ca="1" si="399"/>
        <v/>
      </c>
      <c r="Z844" s="315" t="str">
        <f t="shared" ca="1" si="400"/>
        <v/>
      </c>
      <c r="AA844" s="316" t="str">
        <f t="shared" ca="1" si="401"/>
        <v/>
      </c>
      <c r="AC844" s="310" t="e">
        <f t="shared" ca="1" si="402"/>
        <v>#N/A</v>
      </c>
      <c r="AD844" s="323" t="e">
        <f t="shared" ca="1" si="403"/>
        <v>#N/A</v>
      </c>
      <c r="AE844" s="324">
        <f t="shared" ca="1" si="382"/>
        <v>-2.7954424607665906</v>
      </c>
      <c r="AG844" s="306">
        <f t="shared" ca="1" si="404"/>
        <v>6.3052470651860233</v>
      </c>
      <c r="AH844" s="304">
        <f t="shared" ca="1" si="405"/>
        <v>-3.4770377297178494</v>
      </c>
    </row>
    <row r="845" spans="1:34" x14ac:dyDescent="0.2">
      <c r="A845" s="347">
        <f t="shared" ca="1" si="383"/>
        <v>1E-4</v>
      </c>
      <c r="B845" s="304">
        <f t="shared" ca="1" si="384"/>
        <v>12.054099999999849</v>
      </c>
      <c r="D845" s="306">
        <f t="shared" ca="1" si="385"/>
        <v>-0.26118280135243671</v>
      </c>
      <c r="E845" s="307">
        <f t="shared" ca="1" si="386"/>
        <v>-6.3426992817574481</v>
      </c>
      <c r="F845" s="304">
        <f t="shared" ca="1" si="387"/>
        <v>6.3480745611979668</v>
      </c>
      <c r="G845" s="306">
        <f t="shared" ca="1" si="388"/>
        <v>3.9030873241918571</v>
      </c>
      <c r="H845" s="307">
        <f t="shared" ca="1" si="389"/>
        <v>-51.815945126494491</v>
      </c>
      <c r="I845" s="304">
        <f t="shared" ca="1" si="390"/>
        <v>51.962739150396558</v>
      </c>
      <c r="J845" s="306">
        <f t="shared" ca="1" si="391"/>
        <v>56.288824373840264</v>
      </c>
      <c r="K845" s="307">
        <f t="shared" ca="1" si="392"/>
        <v>-2.8006240235657436</v>
      </c>
      <c r="L845" s="304">
        <f t="shared" ca="1" si="377"/>
        <v>56.358453175281589</v>
      </c>
      <c r="M845" s="306">
        <f t="shared" ca="1" si="393"/>
        <v>-1.4956123211858545</v>
      </c>
      <c r="N845" s="304">
        <f t="shared" ca="1" si="394"/>
        <v>-85.692273791713987</v>
      </c>
      <c r="P845" s="310">
        <f t="shared" ca="1" si="395"/>
        <v>23</v>
      </c>
      <c r="Q845" s="304">
        <f t="shared" ca="1" si="396"/>
        <v>0</v>
      </c>
      <c r="R845" s="306">
        <f t="shared" ca="1" si="397"/>
        <v>0</v>
      </c>
      <c r="S845" s="307">
        <f t="shared" ca="1" si="398"/>
        <v>2.0843000000000003</v>
      </c>
      <c r="T845" s="304">
        <f t="shared" ca="1" si="378"/>
        <v>20.446983000000003</v>
      </c>
      <c r="U845" s="311">
        <f t="shared" ca="1" si="379"/>
        <v>0</v>
      </c>
      <c r="V845" s="306">
        <f t="shared" ca="1" si="380"/>
        <v>1.2253431244910216</v>
      </c>
      <c r="W845" s="304">
        <f t="shared" ca="1" si="381"/>
        <v>7.2475490157135836</v>
      </c>
      <c r="Y845" s="314" t="str">
        <f t="shared" ca="1" si="399"/>
        <v/>
      </c>
      <c r="Z845" s="315" t="str">
        <f t="shared" ca="1" si="400"/>
        <v/>
      </c>
      <c r="AA845" s="316" t="str">
        <f t="shared" ca="1" si="401"/>
        <v/>
      </c>
      <c r="AC845" s="310" t="e">
        <f t="shared" ca="1" si="402"/>
        <v>#N/A</v>
      </c>
      <c r="AD845" s="323" t="e">
        <f t="shared" ca="1" si="403"/>
        <v>#N/A</v>
      </c>
      <c r="AE845" s="324">
        <f t="shared" ca="1" si="382"/>
        <v>-2.8006240235657436</v>
      </c>
      <c r="AG845" s="306">
        <f t="shared" ca="1" si="404"/>
        <v>6.3051619240052847</v>
      </c>
      <c r="AH845" s="304">
        <f t="shared" ca="1" si="405"/>
        <v>-3.4771239158890537</v>
      </c>
    </row>
    <row r="846" spans="1:34" x14ac:dyDescent="0.2">
      <c r="A846" s="347">
        <f t="shared" ca="1" si="383"/>
        <v>1E-4</v>
      </c>
      <c r="B846" s="304">
        <f t="shared" ca="1" si="384"/>
        <v>12.054199999999849</v>
      </c>
      <c r="D846" s="306">
        <f t="shared" ca="1" si="385"/>
        <v>-0.26118435815329483</v>
      </c>
      <c r="E846" s="307">
        <f t="shared" ca="1" si="386"/>
        <v>-6.3426129686908981</v>
      </c>
      <c r="F846" s="304">
        <f t="shared" ca="1" si="387"/>
        <v>6.3479883852721342</v>
      </c>
      <c r="G846" s="306">
        <f t="shared" ca="1" si="388"/>
        <v>3.9030612057560417</v>
      </c>
      <c r="H846" s="307">
        <f t="shared" ca="1" si="389"/>
        <v>-51.816579387791357</v>
      </c>
      <c r="I846" s="304">
        <f t="shared" ca="1" si="390"/>
        <v>51.963369658127078</v>
      </c>
      <c r="J846" s="306">
        <f t="shared" ca="1" si="391"/>
        <v>56.288824373840264</v>
      </c>
      <c r="K846" s="307">
        <f t="shared" ca="1" si="392"/>
        <v>-2.8058056497914579</v>
      </c>
      <c r="L846" s="304">
        <f t="shared" ca="1" si="377"/>
        <v>56.358710903758578</v>
      </c>
      <c r="M846" s="306">
        <f t="shared" ca="1" si="393"/>
        <v>-1.4956137392240636</v>
      </c>
      <c r="N846" s="304">
        <f t="shared" ca="1" si="394"/>
        <v>-85.692355039318556</v>
      </c>
      <c r="P846" s="310">
        <f t="shared" ca="1" si="395"/>
        <v>23</v>
      </c>
      <c r="Q846" s="304">
        <f t="shared" ca="1" si="396"/>
        <v>0</v>
      </c>
      <c r="R846" s="306">
        <f t="shared" ca="1" si="397"/>
        <v>0</v>
      </c>
      <c r="S846" s="307">
        <f t="shared" ca="1" si="398"/>
        <v>2.0843000000000003</v>
      </c>
      <c r="T846" s="304">
        <f t="shared" ca="1" si="378"/>
        <v>20.446983000000003</v>
      </c>
      <c r="U846" s="311">
        <f t="shared" ca="1" si="379"/>
        <v>0</v>
      </c>
      <c r="V846" s="306">
        <f t="shared" ca="1" si="380"/>
        <v>1.2253437594182053</v>
      </c>
      <c r="W846" s="304">
        <f t="shared" ca="1" si="381"/>
        <v>7.2477286535289078</v>
      </c>
      <c r="Y846" s="314" t="str">
        <f t="shared" ca="1" si="399"/>
        <v/>
      </c>
      <c r="Z846" s="315" t="str">
        <f t="shared" ca="1" si="400"/>
        <v/>
      </c>
      <c r="AA846" s="316" t="str">
        <f t="shared" ca="1" si="401"/>
        <v/>
      </c>
      <c r="AC846" s="310" t="e">
        <f t="shared" ca="1" si="402"/>
        <v>#N/A</v>
      </c>
      <c r="AD846" s="323" t="e">
        <f t="shared" ca="1" si="403"/>
        <v>#N/A</v>
      </c>
      <c r="AE846" s="324">
        <f t="shared" ca="1" si="382"/>
        <v>-2.8058056497914579</v>
      </c>
      <c r="AG846" s="306">
        <f t="shared" ca="1" si="404"/>
        <v>6.3050767827776131</v>
      </c>
      <c r="AH846" s="304">
        <f t="shared" ca="1" si="405"/>
        <v>-3.477210102055166</v>
      </c>
    </row>
    <row r="847" spans="1:34" x14ac:dyDescent="0.2">
      <c r="A847" s="347">
        <f t="shared" ca="1" si="383"/>
        <v>1E-4</v>
      </c>
      <c r="B847" s="304">
        <f t="shared" ca="1" si="384"/>
        <v>12.054299999999849</v>
      </c>
      <c r="D847" s="306">
        <f t="shared" ca="1" si="385"/>
        <v>-0.26118591486172493</v>
      </c>
      <c r="E847" s="307">
        <f t="shared" ca="1" si="386"/>
        <v>-6.3425266556295483</v>
      </c>
      <c r="F847" s="304">
        <f t="shared" ca="1" si="387"/>
        <v>6.3479022093518029</v>
      </c>
      <c r="G847" s="306">
        <f t="shared" ca="1" si="388"/>
        <v>3.9030350871645556</v>
      </c>
      <c r="H847" s="307">
        <f t="shared" ca="1" si="389"/>
        <v>-51.81721364045692</v>
      </c>
      <c r="I847" s="304">
        <f t="shared" ca="1" si="390"/>
        <v>51.96400015734347</v>
      </c>
      <c r="J847" s="306">
        <f t="shared" ca="1" si="391"/>
        <v>56.288824373840264</v>
      </c>
      <c r="K847" s="307">
        <f t="shared" ca="1" si="392"/>
        <v>-2.8109873394428702</v>
      </c>
      <c r="L847" s="304">
        <f t="shared" ca="1" si="377"/>
        <v>56.358969110617544</v>
      </c>
      <c r="M847" s="306">
        <f t="shared" ca="1" si="393"/>
        <v>-1.4956151572183725</v>
      </c>
      <c r="N847" s="304">
        <f t="shared" ca="1" si="394"/>
        <v>-85.692436284407819</v>
      </c>
      <c r="P847" s="310">
        <f t="shared" ca="1" si="395"/>
        <v>23</v>
      </c>
      <c r="Q847" s="304">
        <f t="shared" ca="1" si="396"/>
        <v>0</v>
      </c>
      <c r="R847" s="306">
        <f t="shared" ca="1" si="397"/>
        <v>0</v>
      </c>
      <c r="S847" s="307">
        <f t="shared" ca="1" si="398"/>
        <v>2.0843000000000003</v>
      </c>
      <c r="T847" s="304">
        <f t="shared" ca="1" si="378"/>
        <v>20.446983000000003</v>
      </c>
      <c r="U847" s="311">
        <f t="shared" ca="1" si="379"/>
        <v>0</v>
      </c>
      <c r="V847" s="306">
        <f t="shared" ca="1" si="380"/>
        <v>1.2253443943534903</v>
      </c>
      <c r="W847" s="304">
        <f t="shared" ca="1" si="381"/>
        <v>7.2479082913334487</v>
      </c>
      <c r="Y847" s="314" t="str">
        <f t="shared" ca="1" si="399"/>
        <v/>
      </c>
      <c r="Z847" s="315" t="str">
        <f t="shared" ca="1" si="400"/>
        <v/>
      </c>
      <c r="AA847" s="316" t="str">
        <f t="shared" ca="1" si="401"/>
        <v/>
      </c>
      <c r="AC847" s="310" t="e">
        <f t="shared" ca="1" si="402"/>
        <v>#N/A</v>
      </c>
      <c r="AD847" s="323" t="e">
        <f t="shared" ca="1" si="403"/>
        <v>#N/A</v>
      </c>
      <c r="AE847" s="324">
        <f t="shared" ca="1" si="382"/>
        <v>-2.8109873394428702</v>
      </c>
      <c r="AG847" s="306">
        <f t="shared" ca="1" si="404"/>
        <v>6.3049916415030527</v>
      </c>
      <c r="AH847" s="304">
        <f t="shared" ca="1" si="405"/>
        <v>-3.4772962882161429</v>
      </c>
    </row>
    <row r="848" spans="1:34" x14ac:dyDescent="0.2">
      <c r="A848" s="347">
        <f t="shared" ca="1" si="383"/>
        <v>1E-4</v>
      </c>
      <c r="B848" s="304">
        <f t="shared" ca="1" si="384"/>
        <v>12.054399999999848</v>
      </c>
      <c r="D848" s="306">
        <f t="shared" ca="1" si="385"/>
        <v>-0.26118747147772786</v>
      </c>
      <c r="E848" s="307">
        <f t="shared" ca="1" si="386"/>
        <v>-6.3424403425734361</v>
      </c>
      <c r="F848" s="304">
        <f t="shared" ca="1" si="387"/>
        <v>6.3478160334370095</v>
      </c>
      <c r="G848" s="306">
        <f t="shared" ca="1" si="388"/>
        <v>3.9030089684174079</v>
      </c>
      <c r="H848" s="307">
        <f t="shared" ca="1" si="389"/>
        <v>-51.817847884491179</v>
      </c>
      <c r="I848" s="304">
        <f t="shared" ca="1" si="390"/>
        <v>51.964630648045727</v>
      </c>
      <c r="J848" s="306">
        <f t="shared" ca="1" si="391"/>
        <v>56.288824373840264</v>
      </c>
      <c r="K848" s="307">
        <f t="shared" ca="1" si="392"/>
        <v>-2.8161690925191176</v>
      </c>
      <c r="L848" s="304">
        <f t="shared" ca="1" si="377"/>
        <v>56.359227795869359</v>
      </c>
      <c r="M848" s="306">
        <f t="shared" ca="1" si="393"/>
        <v>-1.4956165751687829</v>
      </c>
      <c r="N848" s="304">
        <f t="shared" ca="1" si="394"/>
        <v>-85.692517526981902</v>
      </c>
      <c r="P848" s="310">
        <f t="shared" ca="1" si="395"/>
        <v>23</v>
      </c>
      <c r="Q848" s="304">
        <f t="shared" ca="1" si="396"/>
        <v>0</v>
      </c>
      <c r="R848" s="306">
        <f t="shared" ca="1" si="397"/>
        <v>0</v>
      </c>
      <c r="S848" s="307">
        <f t="shared" ca="1" si="398"/>
        <v>2.0843000000000003</v>
      </c>
      <c r="T848" s="304">
        <f t="shared" ca="1" si="378"/>
        <v>20.446983000000003</v>
      </c>
      <c r="U848" s="311">
        <f t="shared" ca="1" si="379"/>
        <v>0</v>
      </c>
      <c r="V848" s="306">
        <f t="shared" ca="1" si="380"/>
        <v>1.2253450292968757</v>
      </c>
      <c r="W848" s="304">
        <f t="shared" ca="1" si="381"/>
        <v>7.2480879291271165</v>
      </c>
      <c r="Y848" s="314" t="str">
        <f t="shared" ca="1" si="399"/>
        <v/>
      </c>
      <c r="Z848" s="315" t="str">
        <f t="shared" ca="1" si="400"/>
        <v/>
      </c>
      <c r="AA848" s="316" t="str">
        <f t="shared" ca="1" si="401"/>
        <v/>
      </c>
      <c r="AC848" s="310" t="e">
        <f t="shared" ca="1" si="402"/>
        <v>#N/A</v>
      </c>
      <c r="AD848" s="323" t="e">
        <f t="shared" ca="1" si="403"/>
        <v>#N/A</v>
      </c>
      <c r="AE848" s="324">
        <f t="shared" ca="1" si="382"/>
        <v>-2.8161690925191176</v>
      </c>
      <c r="AG848" s="306">
        <f t="shared" ca="1" si="404"/>
        <v>6.3049065001816498</v>
      </c>
      <c r="AH848" s="304">
        <f t="shared" ca="1" si="405"/>
        <v>-3.4773824743719461</v>
      </c>
    </row>
    <row r="849" spans="1:34" x14ac:dyDescent="0.2">
      <c r="A849" s="347">
        <f t="shared" ca="1" si="383"/>
        <v>1E-4</v>
      </c>
      <c r="B849" s="304">
        <f t="shared" ca="1" si="384"/>
        <v>12.054499999999848</v>
      </c>
      <c r="D849" s="306">
        <f t="shared" ca="1" si="385"/>
        <v>-0.2611890280013055</v>
      </c>
      <c r="E849" s="307">
        <f t="shared" ca="1" si="386"/>
        <v>-6.3423540295226051</v>
      </c>
      <c r="F849" s="304">
        <f t="shared" ca="1" si="387"/>
        <v>6.3477298575277992</v>
      </c>
      <c r="G849" s="306">
        <f t="shared" ca="1" si="388"/>
        <v>3.9029828495146077</v>
      </c>
      <c r="H849" s="307">
        <f t="shared" ca="1" si="389"/>
        <v>-51.818482119894135</v>
      </c>
      <c r="I849" s="304">
        <f t="shared" ca="1" si="390"/>
        <v>51.965261130233856</v>
      </c>
      <c r="J849" s="306">
        <f t="shared" ca="1" si="391"/>
        <v>56.288824373840264</v>
      </c>
      <c r="K849" s="307">
        <f t="shared" ca="1" si="392"/>
        <v>-2.8213509090193369</v>
      </c>
      <c r="L849" s="304">
        <f t="shared" ca="1" si="377"/>
        <v>56.359486959524908</v>
      </c>
      <c r="M849" s="306">
        <f t="shared" ca="1" si="393"/>
        <v>-1.4956179930752973</v>
      </c>
      <c r="N849" s="304">
        <f t="shared" ca="1" si="394"/>
        <v>-85.69259876704092</v>
      </c>
      <c r="P849" s="310">
        <f t="shared" ca="1" si="395"/>
        <v>23</v>
      </c>
      <c r="Q849" s="304">
        <f t="shared" ca="1" si="396"/>
        <v>0</v>
      </c>
      <c r="R849" s="306">
        <f t="shared" ca="1" si="397"/>
        <v>0</v>
      </c>
      <c r="S849" s="307">
        <f t="shared" ca="1" si="398"/>
        <v>2.0843000000000003</v>
      </c>
      <c r="T849" s="304">
        <f t="shared" ca="1" si="378"/>
        <v>20.446983000000003</v>
      </c>
      <c r="U849" s="311">
        <f t="shared" ca="1" si="379"/>
        <v>0</v>
      </c>
      <c r="V849" s="306">
        <f t="shared" ca="1" si="380"/>
        <v>1.225345664248362</v>
      </c>
      <c r="W849" s="304">
        <f t="shared" ca="1" si="381"/>
        <v>7.2482675669098322</v>
      </c>
      <c r="Y849" s="314" t="str">
        <f t="shared" ca="1" si="399"/>
        <v/>
      </c>
      <c r="Z849" s="315" t="str">
        <f t="shared" ca="1" si="400"/>
        <v/>
      </c>
      <c r="AA849" s="316" t="str">
        <f t="shared" ca="1" si="401"/>
        <v/>
      </c>
      <c r="AC849" s="310" t="e">
        <f t="shared" ca="1" si="402"/>
        <v>#N/A</v>
      </c>
      <c r="AD849" s="323" t="e">
        <f t="shared" ca="1" si="403"/>
        <v>#N/A</v>
      </c>
      <c r="AE849" s="324">
        <f t="shared" ca="1" si="382"/>
        <v>-2.8213509090193369</v>
      </c>
      <c r="AG849" s="306">
        <f t="shared" ca="1" si="404"/>
        <v>6.3048213588134505</v>
      </c>
      <c r="AH849" s="304">
        <f t="shared" ca="1" si="405"/>
        <v>-3.4774686605225331</v>
      </c>
    </row>
    <row r="850" spans="1:34" x14ac:dyDescent="0.2">
      <c r="A850" s="347">
        <f t="shared" ca="1" si="383"/>
        <v>1E-4</v>
      </c>
      <c r="B850" s="304">
        <f t="shared" ca="1" si="384"/>
        <v>12.054599999999848</v>
      </c>
      <c r="D850" s="306">
        <f t="shared" ca="1" si="385"/>
        <v>-0.26119058443245791</v>
      </c>
      <c r="E850" s="307">
        <f t="shared" ca="1" si="386"/>
        <v>-6.3422677164770942</v>
      </c>
      <c r="F850" s="304">
        <f t="shared" ca="1" si="387"/>
        <v>6.3476436816242092</v>
      </c>
      <c r="G850" s="306">
        <f t="shared" ca="1" si="388"/>
        <v>3.9029567304561645</v>
      </c>
      <c r="H850" s="307">
        <f t="shared" ca="1" si="389"/>
        <v>-51.81911634666578</v>
      </c>
      <c r="I850" s="304">
        <f t="shared" ca="1" si="390"/>
        <v>51.965891603907821</v>
      </c>
      <c r="J850" s="306">
        <f t="shared" ca="1" si="391"/>
        <v>56.288824373840264</v>
      </c>
      <c r="K850" s="307">
        <f t="shared" ca="1" si="392"/>
        <v>-2.8265327889426648</v>
      </c>
      <c r="L850" s="304">
        <f t="shared" ca="1" si="377"/>
        <v>56.359746601595027</v>
      </c>
      <c r="M850" s="306">
        <f t="shared" ca="1" si="393"/>
        <v>-1.4956194109379177</v>
      </c>
      <c r="N850" s="304">
        <f t="shared" ca="1" si="394"/>
        <v>-85.692680004585</v>
      </c>
      <c r="P850" s="310">
        <f t="shared" ca="1" si="395"/>
        <v>23</v>
      </c>
      <c r="Q850" s="304">
        <f t="shared" ca="1" si="396"/>
        <v>0</v>
      </c>
      <c r="R850" s="306">
        <f t="shared" ca="1" si="397"/>
        <v>0</v>
      </c>
      <c r="S850" s="307">
        <f t="shared" ca="1" si="398"/>
        <v>2.0843000000000003</v>
      </c>
      <c r="T850" s="304">
        <f t="shared" ca="1" si="378"/>
        <v>20.446983000000003</v>
      </c>
      <c r="U850" s="311">
        <f t="shared" ca="1" si="379"/>
        <v>0</v>
      </c>
      <c r="V850" s="306">
        <f t="shared" ca="1" si="380"/>
        <v>1.2253462992079487</v>
      </c>
      <c r="W850" s="304">
        <f t="shared" ca="1" si="381"/>
        <v>7.2484472046814989</v>
      </c>
      <c r="Y850" s="314" t="str">
        <f t="shared" ca="1" si="399"/>
        <v/>
      </c>
      <c r="Z850" s="315" t="str">
        <f t="shared" ca="1" si="400"/>
        <v/>
      </c>
      <c r="AA850" s="316" t="str">
        <f t="shared" ca="1" si="401"/>
        <v/>
      </c>
      <c r="AC850" s="310" t="e">
        <f t="shared" ca="1" si="402"/>
        <v>#N/A</v>
      </c>
      <c r="AD850" s="323" t="e">
        <f t="shared" ca="1" si="403"/>
        <v>#N/A</v>
      </c>
      <c r="AE850" s="324">
        <f t="shared" ca="1" si="382"/>
        <v>-2.8265327889426648</v>
      </c>
      <c r="AG850" s="306">
        <f t="shared" ca="1" si="404"/>
        <v>6.3047362173984931</v>
      </c>
      <c r="AH850" s="304">
        <f t="shared" ca="1" si="405"/>
        <v>-3.4775548466678652</v>
      </c>
    </row>
    <row r="851" spans="1:34" x14ac:dyDescent="0.2">
      <c r="A851" s="347">
        <f t="shared" ca="1" si="383"/>
        <v>1E-4</v>
      </c>
      <c r="B851" s="304">
        <f t="shared" ca="1" si="384"/>
        <v>12.054699999999848</v>
      </c>
      <c r="D851" s="306">
        <f t="shared" ca="1" si="385"/>
        <v>-0.26119214077118608</v>
      </c>
      <c r="E851" s="307">
        <f t="shared" ca="1" si="386"/>
        <v>-6.3421814034369479</v>
      </c>
      <c r="F851" s="304">
        <f t="shared" ca="1" si="387"/>
        <v>6.3475575057262841</v>
      </c>
      <c r="G851" s="306">
        <f t="shared" ca="1" si="388"/>
        <v>3.9029306112420876</v>
      </c>
      <c r="H851" s="307">
        <f t="shared" ca="1" si="389"/>
        <v>-51.819750564806121</v>
      </c>
      <c r="I851" s="304">
        <f t="shared" ca="1" si="390"/>
        <v>51.966522069067651</v>
      </c>
      <c r="J851" s="306">
        <f t="shared" ca="1" si="391"/>
        <v>56.288824373840264</v>
      </c>
      <c r="K851" s="307">
        <f t="shared" ca="1" si="392"/>
        <v>-2.8317147322882383</v>
      </c>
      <c r="L851" s="304">
        <f t="shared" ca="1" si="377"/>
        <v>56.360006722090553</v>
      </c>
      <c r="M851" s="306">
        <f t="shared" ca="1" si="393"/>
        <v>-1.4956208287566461</v>
      </c>
      <c r="N851" s="304">
        <f t="shared" ca="1" si="394"/>
        <v>-85.692761239614256</v>
      </c>
      <c r="P851" s="310">
        <f t="shared" ca="1" si="395"/>
        <v>23</v>
      </c>
      <c r="Q851" s="304">
        <f t="shared" ca="1" si="396"/>
        <v>0</v>
      </c>
      <c r="R851" s="306">
        <f t="shared" ca="1" si="397"/>
        <v>0</v>
      </c>
      <c r="S851" s="307">
        <f t="shared" ca="1" si="398"/>
        <v>2.0843000000000003</v>
      </c>
      <c r="T851" s="304">
        <f t="shared" ca="1" si="378"/>
        <v>20.446983000000003</v>
      </c>
      <c r="U851" s="311">
        <f t="shared" ca="1" si="379"/>
        <v>0</v>
      </c>
      <c r="V851" s="306">
        <f t="shared" ca="1" si="380"/>
        <v>1.2253469341756362</v>
      </c>
      <c r="W851" s="304">
        <f t="shared" ca="1" si="381"/>
        <v>7.2486268424420439</v>
      </c>
      <c r="Y851" s="314" t="str">
        <f t="shared" ca="1" si="399"/>
        <v/>
      </c>
      <c r="Z851" s="315" t="str">
        <f t="shared" ca="1" si="400"/>
        <v/>
      </c>
      <c r="AA851" s="316" t="str">
        <f t="shared" ca="1" si="401"/>
        <v/>
      </c>
      <c r="AC851" s="310" t="e">
        <f t="shared" ca="1" si="402"/>
        <v>#N/A</v>
      </c>
      <c r="AD851" s="323" t="e">
        <f t="shared" ca="1" si="403"/>
        <v>#N/A</v>
      </c>
      <c r="AE851" s="324">
        <f t="shared" ca="1" si="382"/>
        <v>-2.8317147322882383</v>
      </c>
      <c r="AG851" s="306">
        <f t="shared" ca="1" si="404"/>
        <v>6.3046510759368291</v>
      </c>
      <c r="AH851" s="304">
        <f t="shared" ca="1" si="405"/>
        <v>-3.4776410328078962</v>
      </c>
    </row>
    <row r="852" spans="1:34" x14ac:dyDescent="0.2">
      <c r="A852" s="347">
        <f t="shared" ca="1" si="383"/>
        <v>1E-4</v>
      </c>
      <c r="B852" s="304">
        <f t="shared" ca="1" si="384"/>
        <v>12.054799999999847</v>
      </c>
      <c r="D852" s="306">
        <f t="shared" ca="1" si="385"/>
        <v>-0.26119369701749173</v>
      </c>
      <c r="E852" s="307">
        <f t="shared" ca="1" si="386"/>
        <v>-6.3420950904022035</v>
      </c>
      <c r="F852" s="304">
        <f t="shared" ca="1" si="387"/>
        <v>6.3474713298340628</v>
      </c>
      <c r="G852" s="306">
        <f t="shared" ca="1" si="388"/>
        <v>3.9029044918723859</v>
      </c>
      <c r="H852" s="307">
        <f t="shared" ca="1" si="389"/>
        <v>-51.820384774315158</v>
      </c>
      <c r="I852" s="304">
        <f t="shared" ca="1" si="390"/>
        <v>51.967152525713317</v>
      </c>
      <c r="J852" s="306">
        <f t="shared" ca="1" si="391"/>
        <v>56.288824373840264</v>
      </c>
      <c r="K852" s="307">
        <f t="shared" ca="1" si="392"/>
        <v>-2.8368967390551942</v>
      </c>
      <c r="L852" s="304">
        <f t="shared" ca="1" si="377"/>
        <v>56.360267321022313</v>
      </c>
      <c r="M852" s="306">
        <f t="shared" ca="1" si="393"/>
        <v>-1.495622246531485</v>
      </c>
      <c r="N852" s="304">
        <f t="shared" ca="1" si="394"/>
        <v>-85.692842472128817</v>
      </c>
      <c r="P852" s="310">
        <f t="shared" ca="1" si="395"/>
        <v>23</v>
      </c>
      <c r="Q852" s="304">
        <f t="shared" ca="1" si="396"/>
        <v>0</v>
      </c>
      <c r="R852" s="306">
        <f t="shared" ca="1" si="397"/>
        <v>0</v>
      </c>
      <c r="S852" s="307">
        <f t="shared" ca="1" si="398"/>
        <v>2.0843000000000003</v>
      </c>
      <c r="T852" s="304">
        <f t="shared" ca="1" si="378"/>
        <v>20.446983000000003</v>
      </c>
      <c r="U852" s="311">
        <f t="shared" ca="1" si="379"/>
        <v>0</v>
      </c>
      <c r="V852" s="306">
        <f t="shared" ca="1" si="380"/>
        <v>1.225347569151424</v>
      </c>
      <c r="W852" s="304">
        <f t="shared" ca="1" si="381"/>
        <v>7.248806480191373</v>
      </c>
      <c r="Y852" s="314" t="str">
        <f t="shared" ca="1" si="399"/>
        <v/>
      </c>
      <c r="Z852" s="315" t="str">
        <f t="shared" ca="1" si="400"/>
        <v/>
      </c>
      <c r="AA852" s="316" t="str">
        <f t="shared" ca="1" si="401"/>
        <v/>
      </c>
      <c r="AC852" s="310" t="e">
        <f t="shared" ca="1" si="402"/>
        <v>#N/A</v>
      </c>
      <c r="AD852" s="323" t="e">
        <f t="shared" ca="1" si="403"/>
        <v>#N/A</v>
      </c>
      <c r="AE852" s="324">
        <f t="shared" ca="1" si="382"/>
        <v>-2.8368967390551942</v>
      </c>
      <c r="AG852" s="306">
        <f t="shared" ca="1" si="404"/>
        <v>6.3045659344284974</v>
      </c>
      <c r="AH852" s="304">
        <f t="shared" ca="1" si="405"/>
        <v>-3.4777272189425914</v>
      </c>
    </row>
    <row r="853" spans="1:34" x14ac:dyDescent="0.2">
      <c r="A853" s="347">
        <f t="shared" ca="1" si="383"/>
        <v>1E-4</v>
      </c>
      <c r="B853" s="304">
        <f t="shared" ca="1" si="384"/>
        <v>12.054899999999847</v>
      </c>
      <c r="D853" s="306">
        <f t="shared" ca="1" si="385"/>
        <v>-0.26119525317137449</v>
      </c>
      <c r="E853" s="307">
        <f t="shared" ca="1" si="386"/>
        <v>-6.3420087773729037</v>
      </c>
      <c r="F853" s="304">
        <f t="shared" ca="1" si="387"/>
        <v>6.3473851539475854</v>
      </c>
      <c r="G853" s="306">
        <f t="shared" ca="1" si="388"/>
        <v>3.9028783723470686</v>
      </c>
      <c r="H853" s="307">
        <f t="shared" ca="1" si="389"/>
        <v>-51.821018975192892</v>
      </c>
      <c r="I853" s="304">
        <f t="shared" ca="1" si="390"/>
        <v>51.967782973844827</v>
      </c>
      <c r="J853" s="306">
        <f t="shared" ca="1" si="391"/>
        <v>56.288824373840264</v>
      </c>
      <c r="K853" s="307">
        <f t="shared" ca="1" si="392"/>
        <v>-2.8420788092426696</v>
      </c>
      <c r="L853" s="304">
        <f t="shared" ca="1" si="377"/>
        <v>56.360528398401129</v>
      </c>
      <c r="M853" s="306">
        <f t="shared" ca="1" si="393"/>
        <v>-1.4956236642624361</v>
      </c>
      <c r="N853" s="304">
        <f t="shared" ca="1" si="394"/>
        <v>-85.692923702128795</v>
      </c>
      <c r="P853" s="310">
        <f t="shared" ca="1" si="395"/>
        <v>23</v>
      </c>
      <c r="Q853" s="304">
        <f t="shared" ca="1" si="396"/>
        <v>0</v>
      </c>
      <c r="R853" s="306">
        <f t="shared" ca="1" si="397"/>
        <v>0</v>
      </c>
      <c r="S853" s="307">
        <f t="shared" ca="1" si="398"/>
        <v>2.0843000000000003</v>
      </c>
      <c r="T853" s="304">
        <f t="shared" ca="1" si="378"/>
        <v>20.446983000000003</v>
      </c>
      <c r="U853" s="311">
        <f t="shared" ca="1" si="379"/>
        <v>0</v>
      </c>
      <c r="V853" s="306">
        <f t="shared" ca="1" si="380"/>
        <v>1.2253482041353123</v>
      </c>
      <c r="W853" s="304">
        <f t="shared" ca="1" si="381"/>
        <v>7.2489861179294088</v>
      </c>
      <c r="Y853" s="314" t="str">
        <f t="shared" ca="1" si="399"/>
        <v/>
      </c>
      <c r="Z853" s="315" t="str">
        <f t="shared" ca="1" si="400"/>
        <v/>
      </c>
      <c r="AA853" s="316" t="str">
        <f t="shared" ca="1" si="401"/>
        <v/>
      </c>
      <c r="AC853" s="310" t="e">
        <f t="shared" ca="1" si="402"/>
        <v>#N/A</v>
      </c>
      <c r="AD853" s="323" t="e">
        <f t="shared" ca="1" si="403"/>
        <v>#N/A</v>
      </c>
      <c r="AE853" s="324">
        <f t="shared" ca="1" si="382"/>
        <v>-2.8420788092426696</v>
      </c>
      <c r="AG853" s="306">
        <f t="shared" ca="1" si="404"/>
        <v>6.3044807928735471</v>
      </c>
      <c r="AH853" s="304">
        <f t="shared" ca="1" si="405"/>
        <v>-3.4778134050719052</v>
      </c>
    </row>
    <row r="854" spans="1:34" x14ac:dyDescent="0.2">
      <c r="A854" s="347">
        <f t="shared" ca="1" si="383"/>
        <v>1E-4</v>
      </c>
      <c r="B854" s="304">
        <f t="shared" ca="1" si="384"/>
        <v>12.054999999999847</v>
      </c>
      <c r="D854" s="306">
        <f t="shared" ca="1" si="385"/>
        <v>-0.26119680923283667</v>
      </c>
      <c r="E854" s="307">
        <f t="shared" ca="1" si="386"/>
        <v>-6.3419224643490884</v>
      </c>
      <c r="F854" s="304">
        <f t="shared" ca="1" si="387"/>
        <v>6.3472989780668936</v>
      </c>
      <c r="G854" s="306">
        <f t="shared" ca="1" si="388"/>
        <v>3.9028522526661451</v>
      </c>
      <c r="H854" s="307">
        <f t="shared" ca="1" si="389"/>
        <v>-51.821653167439329</v>
      </c>
      <c r="I854" s="304">
        <f t="shared" ca="1" si="390"/>
        <v>51.96841341346218</v>
      </c>
      <c r="J854" s="306">
        <f t="shared" ca="1" si="391"/>
        <v>56.288824373840264</v>
      </c>
      <c r="K854" s="307">
        <f t="shared" ca="1" si="392"/>
        <v>-2.8472609428498012</v>
      </c>
      <c r="L854" s="304">
        <f t="shared" ca="1" si="377"/>
        <v>56.360789954237795</v>
      </c>
      <c r="M854" s="306">
        <f t="shared" ca="1" si="393"/>
        <v>-1.4956250819495018</v>
      </c>
      <c r="N854" s="304">
        <f t="shared" ca="1" si="394"/>
        <v>-85.693004929614332</v>
      </c>
      <c r="P854" s="310">
        <f t="shared" ca="1" si="395"/>
        <v>23</v>
      </c>
      <c r="Q854" s="304">
        <f t="shared" ca="1" si="396"/>
        <v>0</v>
      </c>
      <c r="R854" s="306">
        <f t="shared" ca="1" si="397"/>
        <v>0</v>
      </c>
      <c r="S854" s="307">
        <f t="shared" ca="1" si="398"/>
        <v>2.0843000000000003</v>
      </c>
      <c r="T854" s="304">
        <f t="shared" ca="1" si="378"/>
        <v>20.446983000000003</v>
      </c>
      <c r="U854" s="311">
        <f t="shared" ca="1" si="379"/>
        <v>0</v>
      </c>
      <c r="V854" s="306">
        <f t="shared" ca="1" si="380"/>
        <v>1.2253488391273004</v>
      </c>
      <c r="W854" s="304">
        <f t="shared" ca="1" si="381"/>
        <v>7.2491657556560609</v>
      </c>
      <c r="Y854" s="314" t="str">
        <f t="shared" ca="1" si="399"/>
        <v/>
      </c>
      <c r="Z854" s="315" t="str">
        <f t="shared" ca="1" si="400"/>
        <v/>
      </c>
      <c r="AA854" s="316" t="str">
        <f t="shared" ca="1" si="401"/>
        <v/>
      </c>
      <c r="AC854" s="310" t="e">
        <f t="shared" ca="1" si="402"/>
        <v>#N/A</v>
      </c>
      <c r="AD854" s="323" t="e">
        <f t="shared" ca="1" si="403"/>
        <v>#N/A</v>
      </c>
      <c r="AE854" s="324">
        <f t="shared" ca="1" si="382"/>
        <v>-2.8472609428498012</v>
      </c>
      <c r="AG854" s="306">
        <f t="shared" ca="1" si="404"/>
        <v>6.3043956512720154</v>
      </c>
      <c r="AH854" s="304">
        <f t="shared" ca="1" si="405"/>
        <v>-3.4778995911958011</v>
      </c>
    </row>
    <row r="855" spans="1:34" x14ac:dyDescent="0.2">
      <c r="A855" s="347">
        <f t="shared" ca="1" si="383"/>
        <v>1E-4</v>
      </c>
      <c r="B855" s="304">
        <f t="shared" ca="1" si="384"/>
        <v>12.055099999999847</v>
      </c>
      <c r="D855" s="306">
        <f t="shared" ca="1" si="385"/>
        <v>-0.26119836520187784</v>
      </c>
      <c r="E855" s="307">
        <f t="shared" ca="1" si="386"/>
        <v>-6.3418361513307993</v>
      </c>
      <c r="F855" s="304">
        <f t="shared" ca="1" si="387"/>
        <v>6.3472128021920282</v>
      </c>
      <c r="G855" s="306">
        <f t="shared" ca="1" si="388"/>
        <v>3.9028261328296248</v>
      </c>
      <c r="H855" s="307">
        <f t="shared" ca="1" si="389"/>
        <v>-51.822287351054463</v>
      </c>
      <c r="I855" s="304">
        <f t="shared" ca="1" si="390"/>
        <v>51.969043844565363</v>
      </c>
      <c r="J855" s="306">
        <f t="shared" ca="1" si="391"/>
        <v>56.288824373840264</v>
      </c>
      <c r="K855" s="307">
        <f t="shared" ca="1" si="392"/>
        <v>-2.8524431398757257</v>
      </c>
      <c r="L855" s="304">
        <f t="shared" ca="1" si="377"/>
        <v>56.361051988543096</v>
      </c>
      <c r="M855" s="306">
        <f t="shared" ca="1" si="393"/>
        <v>-1.495626499592684</v>
      </c>
      <c r="N855" s="304">
        <f t="shared" ca="1" si="394"/>
        <v>-85.693086154585529</v>
      </c>
      <c r="P855" s="310">
        <f t="shared" ca="1" si="395"/>
        <v>23</v>
      </c>
      <c r="Q855" s="304">
        <f t="shared" ca="1" si="396"/>
        <v>0</v>
      </c>
      <c r="R855" s="306">
        <f t="shared" ca="1" si="397"/>
        <v>0</v>
      </c>
      <c r="S855" s="307">
        <f t="shared" ca="1" si="398"/>
        <v>2.0843000000000003</v>
      </c>
      <c r="T855" s="304">
        <f t="shared" ca="1" si="378"/>
        <v>20.446983000000003</v>
      </c>
      <c r="U855" s="311">
        <f t="shared" ca="1" si="379"/>
        <v>0</v>
      </c>
      <c r="V855" s="306">
        <f t="shared" ca="1" si="380"/>
        <v>1.2253494741273889</v>
      </c>
      <c r="W855" s="304">
        <f t="shared" ca="1" si="381"/>
        <v>7.2493453933712448</v>
      </c>
      <c r="Y855" s="314" t="str">
        <f t="shared" ca="1" si="399"/>
        <v/>
      </c>
      <c r="Z855" s="315" t="str">
        <f t="shared" ca="1" si="400"/>
        <v/>
      </c>
      <c r="AA855" s="316" t="str">
        <f t="shared" ca="1" si="401"/>
        <v/>
      </c>
      <c r="AC855" s="310" t="e">
        <f t="shared" ca="1" si="402"/>
        <v>#N/A</v>
      </c>
      <c r="AD855" s="323" t="e">
        <f t="shared" ca="1" si="403"/>
        <v>#N/A</v>
      </c>
      <c r="AE855" s="324">
        <f t="shared" ca="1" si="382"/>
        <v>-2.8524431398757257</v>
      </c>
      <c r="AG855" s="306">
        <f t="shared" ca="1" si="404"/>
        <v>6.3043105096239547</v>
      </c>
      <c r="AH855" s="304">
        <f t="shared" ca="1" si="405"/>
        <v>-3.4779857773142351</v>
      </c>
    </row>
    <row r="856" spans="1:34" x14ac:dyDescent="0.2">
      <c r="A856" s="347">
        <f t="shared" ca="1" si="383"/>
        <v>1E-4</v>
      </c>
      <c r="B856" s="304">
        <f t="shared" ca="1" si="384"/>
        <v>12.055199999999846</v>
      </c>
      <c r="D856" s="306">
        <f t="shared" ca="1" si="385"/>
        <v>-0.26119992107850026</v>
      </c>
      <c r="E856" s="307">
        <f t="shared" ca="1" si="386"/>
        <v>-6.3417498383180764</v>
      </c>
      <c r="F856" s="304">
        <f t="shared" ca="1" si="387"/>
        <v>6.3471266263230302</v>
      </c>
      <c r="G856" s="306">
        <f t="shared" ca="1" si="388"/>
        <v>3.9028000128375169</v>
      </c>
      <c r="H856" s="307">
        <f t="shared" ca="1" si="389"/>
        <v>-51.822921526038293</v>
      </c>
      <c r="I856" s="304">
        <f t="shared" ca="1" si="390"/>
        <v>51.969674267154382</v>
      </c>
      <c r="J856" s="306">
        <f t="shared" ca="1" si="391"/>
        <v>56.288824373840264</v>
      </c>
      <c r="K856" s="307">
        <f t="shared" ca="1" si="392"/>
        <v>-2.8576254003195802</v>
      </c>
      <c r="L856" s="304">
        <f t="shared" ca="1" si="377"/>
        <v>56.361314501327819</v>
      </c>
      <c r="M856" s="306">
        <f t="shared" ca="1" si="393"/>
        <v>-1.4956279171919851</v>
      </c>
      <c r="N856" s="304">
        <f t="shared" ca="1" si="394"/>
        <v>-85.693167377042528</v>
      </c>
      <c r="P856" s="310">
        <f t="shared" ca="1" si="395"/>
        <v>23</v>
      </c>
      <c r="Q856" s="304">
        <f t="shared" ca="1" si="396"/>
        <v>0</v>
      </c>
      <c r="R856" s="306">
        <f t="shared" ca="1" si="397"/>
        <v>0</v>
      </c>
      <c r="S856" s="307">
        <f t="shared" ca="1" si="398"/>
        <v>2.0843000000000003</v>
      </c>
      <c r="T856" s="304">
        <f t="shared" ca="1" si="378"/>
        <v>20.446983000000003</v>
      </c>
      <c r="U856" s="311">
        <f t="shared" ca="1" si="379"/>
        <v>0</v>
      </c>
      <c r="V856" s="306">
        <f t="shared" ca="1" si="380"/>
        <v>1.2253501091355772</v>
      </c>
      <c r="W856" s="304">
        <f t="shared" ca="1" si="381"/>
        <v>7.249525031074878</v>
      </c>
      <c r="Y856" s="314" t="str">
        <f t="shared" ca="1" si="399"/>
        <v/>
      </c>
      <c r="Z856" s="315" t="str">
        <f t="shared" ca="1" si="400"/>
        <v/>
      </c>
      <c r="AA856" s="316" t="str">
        <f t="shared" ca="1" si="401"/>
        <v/>
      </c>
      <c r="AC856" s="310" t="e">
        <f t="shared" ca="1" si="402"/>
        <v>#N/A</v>
      </c>
      <c r="AD856" s="323" t="e">
        <f t="shared" ca="1" si="403"/>
        <v>#N/A</v>
      </c>
      <c r="AE856" s="324">
        <f t="shared" ca="1" si="382"/>
        <v>-2.8576254003195802</v>
      </c>
      <c r="AG856" s="306">
        <f t="shared" ca="1" si="404"/>
        <v>6.3042253679294014</v>
      </c>
      <c r="AH856" s="304">
        <f t="shared" ca="1" si="405"/>
        <v>-3.4780719634271668</v>
      </c>
    </row>
    <row r="857" spans="1:34" x14ac:dyDescent="0.2">
      <c r="A857" s="347">
        <f t="shared" ca="1" si="383"/>
        <v>1E-4</v>
      </c>
      <c r="B857" s="304">
        <f t="shared" ca="1" si="384"/>
        <v>12.055299999999846</v>
      </c>
      <c r="D857" s="306">
        <f t="shared" ca="1" si="385"/>
        <v>-0.26120147686270379</v>
      </c>
      <c r="E857" s="307">
        <f t="shared" ca="1" si="386"/>
        <v>-6.3416635253109614</v>
      </c>
      <c r="F857" s="304">
        <f t="shared" ca="1" si="387"/>
        <v>6.3470404504599394</v>
      </c>
      <c r="G857" s="306">
        <f t="shared" ca="1" si="388"/>
        <v>3.9027738926898308</v>
      </c>
      <c r="H857" s="307">
        <f t="shared" ca="1" si="389"/>
        <v>-51.823555692390826</v>
      </c>
      <c r="I857" s="304">
        <f t="shared" ca="1" si="390"/>
        <v>51.970304681229209</v>
      </c>
      <c r="J857" s="306">
        <f t="shared" ca="1" si="391"/>
        <v>56.288824373840264</v>
      </c>
      <c r="K857" s="307">
        <f t="shared" ca="1" si="392"/>
        <v>-2.8628077241805019</v>
      </c>
      <c r="L857" s="304">
        <f t="shared" ca="1" si="377"/>
        <v>56.36157749260272</v>
      </c>
      <c r="M857" s="306">
        <f t="shared" ca="1" si="393"/>
        <v>-1.495629334747407</v>
      </c>
      <c r="N857" s="304">
        <f t="shared" ca="1" si="394"/>
        <v>-85.693248596985427</v>
      </c>
      <c r="P857" s="310">
        <f t="shared" ca="1" si="395"/>
        <v>23</v>
      </c>
      <c r="Q857" s="304">
        <f t="shared" ca="1" si="396"/>
        <v>0</v>
      </c>
      <c r="R857" s="306">
        <f t="shared" ca="1" si="397"/>
        <v>0</v>
      </c>
      <c r="S857" s="307">
        <f t="shared" ca="1" si="398"/>
        <v>2.0843000000000003</v>
      </c>
      <c r="T857" s="304">
        <f t="shared" ca="1" si="378"/>
        <v>20.446983000000003</v>
      </c>
      <c r="U857" s="311">
        <f t="shared" ca="1" si="379"/>
        <v>0</v>
      </c>
      <c r="V857" s="306">
        <f t="shared" ca="1" si="380"/>
        <v>1.2253507441518656</v>
      </c>
      <c r="W857" s="304">
        <f t="shared" ca="1" si="381"/>
        <v>7.2497046687668689</v>
      </c>
      <c r="Y857" s="314" t="str">
        <f t="shared" ca="1" si="399"/>
        <v/>
      </c>
      <c r="Z857" s="315" t="str">
        <f t="shared" ca="1" si="400"/>
        <v/>
      </c>
      <c r="AA857" s="316" t="str">
        <f t="shared" ca="1" si="401"/>
        <v/>
      </c>
      <c r="AC857" s="310" t="e">
        <f t="shared" ca="1" si="402"/>
        <v>#N/A</v>
      </c>
      <c r="AD857" s="323" t="e">
        <f t="shared" ca="1" si="403"/>
        <v>#N/A</v>
      </c>
      <c r="AE857" s="324">
        <f t="shared" ca="1" si="382"/>
        <v>-2.8628077241805019</v>
      </c>
      <c r="AG857" s="306">
        <f t="shared" ca="1" si="404"/>
        <v>6.3041402261884043</v>
      </c>
      <c r="AH857" s="304">
        <f t="shared" ca="1" si="405"/>
        <v>-3.4781581495345568</v>
      </c>
    </row>
    <row r="858" spans="1:34" x14ac:dyDescent="0.2">
      <c r="A858" s="347">
        <f t="shared" ca="1" si="383"/>
        <v>1E-4</v>
      </c>
      <c r="B858" s="304">
        <f t="shared" ca="1" si="384"/>
        <v>12.055399999999846</v>
      </c>
      <c r="D858" s="306">
        <f t="shared" ca="1" si="385"/>
        <v>-0.26120303255448962</v>
      </c>
      <c r="E858" s="307">
        <f t="shared" ca="1" si="386"/>
        <v>-6.3415772123094953</v>
      </c>
      <c r="F858" s="304">
        <f t="shared" ca="1" si="387"/>
        <v>6.3469542746027976</v>
      </c>
      <c r="G858" s="306">
        <f t="shared" ca="1" si="388"/>
        <v>3.9027477723865753</v>
      </c>
      <c r="H858" s="307">
        <f t="shared" ca="1" si="389"/>
        <v>-51.824189850112056</v>
      </c>
      <c r="I858" s="304">
        <f t="shared" ca="1" si="390"/>
        <v>51.970935086789865</v>
      </c>
      <c r="J858" s="306">
        <f t="shared" ca="1" si="391"/>
        <v>56.288824373840264</v>
      </c>
      <c r="K858" s="307">
        <f t="shared" ca="1" si="392"/>
        <v>-2.8679901114576269</v>
      </c>
      <c r="L858" s="304">
        <f t="shared" ca="1" si="377"/>
        <v>56.361840962378551</v>
      </c>
      <c r="M858" s="306">
        <f t="shared" ca="1" si="393"/>
        <v>-1.4956307522589518</v>
      </c>
      <c r="N858" s="304">
        <f t="shared" ca="1" si="394"/>
        <v>-85.693329814414355</v>
      </c>
      <c r="P858" s="310">
        <f t="shared" ca="1" si="395"/>
        <v>23</v>
      </c>
      <c r="Q858" s="304">
        <f t="shared" ca="1" si="396"/>
        <v>0</v>
      </c>
      <c r="R858" s="306">
        <f t="shared" ca="1" si="397"/>
        <v>0</v>
      </c>
      <c r="S858" s="307">
        <f t="shared" ca="1" si="398"/>
        <v>2.0843000000000003</v>
      </c>
      <c r="T858" s="304">
        <f t="shared" ca="1" si="378"/>
        <v>20.446983000000003</v>
      </c>
      <c r="U858" s="311">
        <f t="shared" ca="1" si="379"/>
        <v>0</v>
      </c>
      <c r="V858" s="306">
        <f t="shared" ca="1" si="380"/>
        <v>1.225351379176254</v>
      </c>
      <c r="W858" s="304">
        <f t="shared" ca="1" si="381"/>
        <v>7.2498843064471412</v>
      </c>
      <c r="Y858" s="314" t="str">
        <f t="shared" ca="1" si="399"/>
        <v/>
      </c>
      <c r="Z858" s="315" t="str">
        <f t="shared" ca="1" si="400"/>
        <v/>
      </c>
      <c r="AA858" s="316" t="str">
        <f t="shared" ca="1" si="401"/>
        <v/>
      </c>
      <c r="AC858" s="310" t="e">
        <f t="shared" ca="1" si="402"/>
        <v>#N/A</v>
      </c>
      <c r="AD858" s="323" t="e">
        <f t="shared" ca="1" si="403"/>
        <v>#N/A</v>
      </c>
      <c r="AE858" s="324">
        <f t="shared" ca="1" si="382"/>
        <v>-2.8679901114576269</v>
      </c>
      <c r="AG858" s="306">
        <f t="shared" ca="1" si="404"/>
        <v>6.3040550844010088</v>
      </c>
      <c r="AH858" s="304">
        <f t="shared" ca="1" si="405"/>
        <v>-3.4782443356363615</v>
      </c>
    </row>
    <row r="859" spans="1:34" x14ac:dyDescent="0.2">
      <c r="A859" s="347">
        <f t="shared" ca="1" si="383"/>
        <v>1E-4</v>
      </c>
      <c r="B859" s="304">
        <f t="shared" ca="1" si="384"/>
        <v>12.055499999999846</v>
      </c>
      <c r="D859" s="306">
        <f t="shared" ca="1" si="385"/>
        <v>-0.26120458815385939</v>
      </c>
      <c r="E859" s="307">
        <f t="shared" ca="1" si="386"/>
        <v>-6.3414908993137189</v>
      </c>
      <c r="F859" s="304">
        <f t="shared" ca="1" si="387"/>
        <v>6.3468680987516475</v>
      </c>
      <c r="G859" s="306">
        <f t="shared" ca="1" si="388"/>
        <v>3.9027216519277599</v>
      </c>
      <c r="H859" s="307">
        <f t="shared" ca="1" si="389"/>
        <v>-51.824823999201989</v>
      </c>
      <c r="I859" s="304">
        <f t="shared" ca="1" si="390"/>
        <v>51.971565483836336</v>
      </c>
      <c r="J859" s="306">
        <f t="shared" ca="1" si="391"/>
        <v>56.288824373840264</v>
      </c>
      <c r="K859" s="307">
        <f t="shared" ca="1" si="392"/>
        <v>-2.8731725621500925</v>
      </c>
      <c r="L859" s="304">
        <f t="shared" ca="1" si="377"/>
        <v>56.362104910666055</v>
      </c>
      <c r="M859" s="306">
        <f t="shared" ca="1" si="393"/>
        <v>-1.4956321697266217</v>
      </c>
      <c r="N859" s="304">
        <f t="shared" ca="1" si="394"/>
        <v>-85.69341102932944</v>
      </c>
      <c r="P859" s="310">
        <f t="shared" ca="1" si="395"/>
        <v>23</v>
      </c>
      <c r="Q859" s="304">
        <f t="shared" ca="1" si="396"/>
        <v>0</v>
      </c>
      <c r="R859" s="306">
        <f t="shared" ca="1" si="397"/>
        <v>0</v>
      </c>
      <c r="S859" s="307">
        <f t="shared" ca="1" si="398"/>
        <v>2.0843000000000003</v>
      </c>
      <c r="T859" s="304">
        <f t="shared" ca="1" si="378"/>
        <v>20.446983000000003</v>
      </c>
      <c r="U859" s="311">
        <f t="shared" ca="1" si="379"/>
        <v>0</v>
      </c>
      <c r="V859" s="306">
        <f t="shared" ca="1" si="380"/>
        <v>1.2253520142087417</v>
      </c>
      <c r="W859" s="304">
        <f t="shared" ca="1" si="381"/>
        <v>7.2500639441156025</v>
      </c>
      <c r="Y859" s="314" t="str">
        <f t="shared" ca="1" si="399"/>
        <v/>
      </c>
      <c r="Z859" s="315" t="str">
        <f t="shared" ca="1" si="400"/>
        <v/>
      </c>
      <c r="AA859" s="316" t="str">
        <f t="shared" ca="1" si="401"/>
        <v/>
      </c>
      <c r="AC859" s="310" t="e">
        <f t="shared" ca="1" si="402"/>
        <v>#N/A</v>
      </c>
      <c r="AD859" s="323" t="e">
        <f t="shared" ca="1" si="403"/>
        <v>#N/A</v>
      </c>
      <c r="AE859" s="324">
        <f t="shared" ca="1" si="382"/>
        <v>-2.8731725621500925</v>
      </c>
      <c r="AG859" s="306">
        <f t="shared" ca="1" si="404"/>
        <v>6.3039699425672566</v>
      </c>
      <c r="AH859" s="304">
        <f t="shared" ca="1" si="405"/>
        <v>-3.4783305217325435</v>
      </c>
    </row>
    <row r="860" spans="1:34" x14ac:dyDescent="0.2">
      <c r="A860" s="347">
        <f t="shared" ca="1" si="383"/>
        <v>1E-4</v>
      </c>
      <c r="B860" s="304">
        <f t="shared" ca="1" si="384"/>
        <v>12.055599999999846</v>
      </c>
      <c r="D860" s="306">
        <f t="shared" ca="1" si="385"/>
        <v>-0.26120614366081341</v>
      </c>
      <c r="E860" s="307">
        <f t="shared" ca="1" si="386"/>
        <v>-6.341404586323673</v>
      </c>
      <c r="F860" s="304">
        <f t="shared" ca="1" si="387"/>
        <v>6.3467819229065263</v>
      </c>
      <c r="G860" s="306">
        <f t="shared" ca="1" si="388"/>
        <v>3.9026955313133938</v>
      </c>
      <c r="H860" s="307">
        <f t="shared" ca="1" si="389"/>
        <v>-51.825458139660618</v>
      </c>
      <c r="I860" s="304">
        <f t="shared" ca="1" si="390"/>
        <v>51.972195872368609</v>
      </c>
      <c r="J860" s="306">
        <f t="shared" ca="1" si="391"/>
        <v>56.288824373840264</v>
      </c>
      <c r="K860" s="307">
        <f t="shared" ca="1" si="392"/>
        <v>-2.8783550762570358</v>
      </c>
      <c r="L860" s="304">
        <f t="shared" ca="1" si="377"/>
        <v>56.362369337475947</v>
      </c>
      <c r="M860" s="306">
        <f t="shared" ca="1" si="393"/>
        <v>-1.4956335871504189</v>
      </c>
      <c r="N860" s="304">
        <f t="shared" ca="1" si="394"/>
        <v>-85.693492241730794</v>
      </c>
      <c r="P860" s="310">
        <f t="shared" ca="1" si="395"/>
        <v>23</v>
      </c>
      <c r="Q860" s="304">
        <f t="shared" ca="1" si="396"/>
        <v>0</v>
      </c>
      <c r="R860" s="306">
        <f t="shared" ca="1" si="397"/>
        <v>0</v>
      </c>
      <c r="S860" s="307">
        <f t="shared" ca="1" si="398"/>
        <v>2.0843000000000003</v>
      </c>
      <c r="T860" s="304">
        <f t="shared" ca="1" si="378"/>
        <v>20.446983000000003</v>
      </c>
      <c r="U860" s="311">
        <f t="shared" ca="1" si="379"/>
        <v>0</v>
      </c>
      <c r="V860" s="306">
        <f t="shared" ca="1" si="380"/>
        <v>1.2253526492493294</v>
      </c>
      <c r="W860" s="304">
        <f t="shared" ca="1" si="381"/>
        <v>7.2502435817721693</v>
      </c>
      <c r="Y860" s="314" t="str">
        <f t="shared" ca="1" si="399"/>
        <v/>
      </c>
      <c r="Z860" s="315" t="str">
        <f t="shared" ca="1" si="400"/>
        <v/>
      </c>
      <c r="AA860" s="316" t="str">
        <f t="shared" ca="1" si="401"/>
        <v/>
      </c>
      <c r="AC860" s="310" t="e">
        <f t="shared" ca="1" si="402"/>
        <v>#N/A</v>
      </c>
      <c r="AD860" s="323" t="e">
        <f t="shared" ca="1" si="403"/>
        <v>#N/A</v>
      </c>
      <c r="AE860" s="324">
        <f t="shared" ca="1" si="382"/>
        <v>-2.8783550762570358</v>
      </c>
      <c r="AG860" s="306">
        <f t="shared" ca="1" si="404"/>
        <v>6.3038848006871939</v>
      </c>
      <c r="AH860" s="304">
        <f t="shared" ca="1" si="405"/>
        <v>-3.478416707823059</v>
      </c>
    </row>
    <row r="861" spans="1:34" x14ac:dyDescent="0.2">
      <c r="A861" s="347">
        <f t="shared" ca="1" si="383"/>
        <v>1E-4</v>
      </c>
      <c r="B861" s="304">
        <f t="shared" ca="1" si="384"/>
        <v>12.055699999999845</v>
      </c>
      <c r="D861" s="306">
        <f t="shared" ca="1" si="385"/>
        <v>-0.2612076990753523</v>
      </c>
      <c r="E861" s="307">
        <f t="shared" ca="1" si="386"/>
        <v>-6.3413182733393993</v>
      </c>
      <c r="F861" s="304">
        <f t="shared" ca="1" si="387"/>
        <v>6.3466957470674785</v>
      </c>
      <c r="G861" s="306">
        <f t="shared" ca="1" si="388"/>
        <v>3.9026694105434863</v>
      </c>
      <c r="H861" s="307">
        <f t="shared" ca="1" si="389"/>
        <v>-51.826092271487951</v>
      </c>
      <c r="I861" s="304">
        <f t="shared" ca="1" si="390"/>
        <v>51.972826252386689</v>
      </c>
      <c r="J861" s="306">
        <f t="shared" ca="1" si="391"/>
        <v>56.288824373840264</v>
      </c>
      <c r="K861" s="307">
        <f t="shared" ca="1" si="392"/>
        <v>-2.8835376537775934</v>
      </c>
      <c r="L861" s="304">
        <f t="shared" ca="1" si="377"/>
        <v>56.362634242818949</v>
      </c>
      <c r="M861" s="306">
        <f t="shared" ca="1" si="393"/>
        <v>-1.4956350045303453</v>
      </c>
      <c r="N861" s="304">
        <f t="shared" ca="1" si="394"/>
        <v>-85.693573451618548</v>
      </c>
      <c r="P861" s="310">
        <f t="shared" ca="1" si="395"/>
        <v>23</v>
      </c>
      <c r="Q861" s="304">
        <f t="shared" ca="1" si="396"/>
        <v>0</v>
      </c>
      <c r="R861" s="306">
        <f t="shared" ca="1" si="397"/>
        <v>0</v>
      </c>
      <c r="S861" s="307">
        <f t="shared" ca="1" si="398"/>
        <v>2.0843000000000003</v>
      </c>
      <c r="T861" s="304">
        <f t="shared" ca="1" si="378"/>
        <v>20.446983000000003</v>
      </c>
      <c r="U861" s="311">
        <f t="shared" ca="1" si="379"/>
        <v>0</v>
      </c>
      <c r="V861" s="306">
        <f t="shared" ca="1" si="380"/>
        <v>1.2253532842980168</v>
      </c>
      <c r="W861" s="304">
        <f t="shared" ca="1" si="381"/>
        <v>7.2504232194167608</v>
      </c>
      <c r="Y861" s="314" t="str">
        <f t="shared" ca="1" si="399"/>
        <v/>
      </c>
      <c r="Z861" s="315" t="str">
        <f t="shared" ca="1" si="400"/>
        <v/>
      </c>
      <c r="AA861" s="316" t="str">
        <f t="shared" ca="1" si="401"/>
        <v/>
      </c>
      <c r="AC861" s="310" t="e">
        <f t="shared" ca="1" si="402"/>
        <v>#N/A</v>
      </c>
      <c r="AD861" s="323" t="e">
        <f t="shared" ca="1" si="403"/>
        <v>#N/A</v>
      </c>
      <c r="AE861" s="324">
        <f t="shared" ca="1" si="382"/>
        <v>-2.8835376537775934</v>
      </c>
      <c r="AG861" s="306">
        <f t="shared" ca="1" si="404"/>
        <v>6.3037996587608625</v>
      </c>
      <c r="AH861" s="304">
        <f t="shared" ca="1" si="405"/>
        <v>-3.4785028939078675</v>
      </c>
    </row>
    <row r="862" spans="1:34" x14ac:dyDescent="0.2">
      <c r="A862" s="347">
        <f t="shared" ca="1" si="383"/>
        <v>1E-4</v>
      </c>
      <c r="B862" s="304">
        <f t="shared" ca="1" si="384"/>
        <v>12.055799999999845</v>
      </c>
      <c r="D862" s="306">
        <f t="shared" ca="1" si="385"/>
        <v>-0.26120925439747839</v>
      </c>
      <c r="E862" s="307">
        <f t="shared" ca="1" si="386"/>
        <v>-6.3412319603609362</v>
      </c>
      <c r="F862" s="304">
        <f t="shared" ca="1" si="387"/>
        <v>6.3466095712345414</v>
      </c>
      <c r="G862" s="306">
        <f t="shared" ca="1" si="388"/>
        <v>3.9026432896180463</v>
      </c>
      <c r="H862" s="307">
        <f t="shared" ca="1" si="389"/>
        <v>-51.826726394683988</v>
      </c>
      <c r="I862" s="304">
        <f t="shared" ca="1" si="390"/>
        <v>51.97345662389057</v>
      </c>
      <c r="J862" s="306">
        <f t="shared" ca="1" si="391"/>
        <v>56.288824373840264</v>
      </c>
      <c r="K862" s="307">
        <f t="shared" ca="1" si="392"/>
        <v>-2.8887202947109021</v>
      </c>
      <c r="L862" s="304">
        <f t="shared" ca="1" si="377"/>
        <v>56.362899626705762</v>
      </c>
      <c r="M862" s="306">
        <f t="shared" ca="1" si="393"/>
        <v>-1.4956364218664033</v>
      </c>
      <c r="N862" s="304">
        <f t="shared" ca="1" si="394"/>
        <v>-85.693654658992827</v>
      </c>
      <c r="P862" s="310">
        <f t="shared" ca="1" si="395"/>
        <v>23</v>
      </c>
      <c r="Q862" s="304">
        <f t="shared" ca="1" si="396"/>
        <v>0</v>
      </c>
      <c r="R862" s="306">
        <f t="shared" ca="1" si="397"/>
        <v>0</v>
      </c>
      <c r="S862" s="307">
        <f t="shared" ca="1" si="398"/>
        <v>2.0843000000000003</v>
      </c>
      <c r="T862" s="304">
        <f t="shared" ca="1" si="378"/>
        <v>20.446983000000003</v>
      </c>
      <c r="U862" s="311">
        <f t="shared" ca="1" si="379"/>
        <v>0</v>
      </c>
      <c r="V862" s="306">
        <f t="shared" ca="1" si="380"/>
        <v>1.2253539193548035</v>
      </c>
      <c r="W862" s="304">
        <f t="shared" ca="1" si="381"/>
        <v>7.2506028570492864</v>
      </c>
      <c r="Y862" s="314" t="str">
        <f t="shared" ca="1" si="399"/>
        <v/>
      </c>
      <c r="Z862" s="315" t="str">
        <f t="shared" ca="1" si="400"/>
        <v/>
      </c>
      <c r="AA862" s="316" t="str">
        <f t="shared" ca="1" si="401"/>
        <v/>
      </c>
      <c r="AC862" s="310" t="e">
        <f t="shared" ca="1" si="402"/>
        <v>#N/A</v>
      </c>
      <c r="AD862" s="323" t="e">
        <f t="shared" ca="1" si="403"/>
        <v>#N/A</v>
      </c>
      <c r="AE862" s="324">
        <f t="shared" ca="1" si="382"/>
        <v>-2.8887202947109021</v>
      </c>
      <c r="AG862" s="306">
        <f t="shared" ca="1" si="404"/>
        <v>6.3037145167883075</v>
      </c>
      <c r="AH862" s="304">
        <f t="shared" ca="1" si="405"/>
        <v>-3.4785890799869308</v>
      </c>
    </row>
    <row r="863" spans="1:34" x14ac:dyDescent="0.2">
      <c r="A863" s="347">
        <f t="shared" ca="1" si="383"/>
        <v>1E-4</v>
      </c>
      <c r="B863" s="304">
        <f t="shared" ca="1" si="384"/>
        <v>12.055899999999845</v>
      </c>
      <c r="D863" s="306">
        <f t="shared" ca="1" si="385"/>
        <v>-0.26121080962719051</v>
      </c>
      <c r="E863" s="307">
        <f t="shared" ca="1" si="386"/>
        <v>-6.3411456473883279</v>
      </c>
      <c r="F863" s="304">
        <f t="shared" ca="1" si="387"/>
        <v>6.3465233954077593</v>
      </c>
      <c r="G863" s="306">
        <f t="shared" ca="1" si="388"/>
        <v>3.9026171685370836</v>
      </c>
      <c r="H863" s="307">
        <f t="shared" ca="1" si="389"/>
        <v>-51.827360509248727</v>
      </c>
      <c r="I863" s="304">
        <f t="shared" ca="1" si="390"/>
        <v>51.974086986880252</v>
      </c>
      <c r="J863" s="306">
        <f t="shared" ca="1" si="391"/>
        <v>56.288824373840264</v>
      </c>
      <c r="K863" s="307">
        <f t="shared" ca="1" si="392"/>
        <v>-2.8939029990560989</v>
      </c>
      <c r="L863" s="304">
        <f t="shared" ca="1" si="377"/>
        <v>56.363165489147079</v>
      </c>
      <c r="M863" s="306">
        <f t="shared" ca="1" si="393"/>
        <v>-1.4956378391585947</v>
      </c>
      <c r="N863" s="304">
        <f t="shared" ca="1" si="394"/>
        <v>-85.693735863853732</v>
      </c>
      <c r="P863" s="310">
        <f t="shared" ca="1" si="395"/>
        <v>23</v>
      </c>
      <c r="Q863" s="304">
        <f t="shared" ca="1" si="396"/>
        <v>0</v>
      </c>
      <c r="R863" s="306">
        <f t="shared" ca="1" si="397"/>
        <v>0</v>
      </c>
      <c r="S863" s="307">
        <f t="shared" ca="1" si="398"/>
        <v>2.0843000000000003</v>
      </c>
      <c r="T863" s="304">
        <f t="shared" ca="1" si="378"/>
        <v>20.446983000000003</v>
      </c>
      <c r="U863" s="311">
        <f t="shared" ca="1" si="379"/>
        <v>0</v>
      </c>
      <c r="V863" s="306">
        <f t="shared" ca="1" si="380"/>
        <v>1.2253545544196895</v>
      </c>
      <c r="W863" s="304">
        <f t="shared" ca="1" si="381"/>
        <v>7.2507824946696644</v>
      </c>
      <c r="Y863" s="314" t="str">
        <f t="shared" ca="1" si="399"/>
        <v/>
      </c>
      <c r="Z863" s="315" t="str">
        <f t="shared" ca="1" si="400"/>
        <v/>
      </c>
      <c r="AA863" s="316" t="str">
        <f t="shared" ca="1" si="401"/>
        <v/>
      </c>
      <c r="AC863" s="310" t="e">
        <f t="shared" ca="1" si="402"/>
        <v>#N/A</v>
      </c>
      <c r="AD863" s="323" t="e">
        <f t="shared" ca="1" si="403"/>
        <v>#N/A</v>
      </c>
      <c r="AE863" s="324">
        <f t="shared" ca="1" si="382"/>
        <v>-2.8939029990560989</v>
      </c>
      <c r="AG863" s="306">
        <f t="shared" ca="1" si="404"/>
        <v>6.3036293747695735</v>
      </c>
      <c r="AH863" s="304">
        <f t="shared" ca="1" si="405"/>
        <v>-3.4786752660602049</v>
      </c>
    </row>
    <row r="864" spans="1:34" x14ac:dyDescent="0.2">
      <c r="A864" s="347">
        <f t="shared" ca="1" si="383"/>
        <v>1E-4</v>
      </c>
      <c r="B864" s="304">
        <f t="shared" ca="1" si="384"/>
        <v>12.055999999999845</v>
      </c>
      <c r="D864" s="306">
        <f t="shared" ca="1" si="385"/>
        <v>-0.26121236476449172</v>
      </c>
      <c r="E864" s="307">
        <f t="shared" ca="1" si="386"/>
        <v>-6.3410593344216126</v>
      </c>
      <c r="F864" s="304">
        <f t="shared" ca="1" si="387"/>
        <v>6.3464372195871697</v>
      </c>
      <c r="G864" s="306">
        <f t="shared" ca="1" si="388"/>
        <v>3.9025910473006071</v>
      </c>
      <c r="H864" s="307">
        <f t="shared" ca="1" si="389"/>
        <v>-51.82799461518217</v>
      </c>
      <c r="I864" s="304">
        <f t="shared" ca="1" si="390"/>
        <v>51.974717341355721</v>
      </c>
      <c r="J864" s="306">
        <f t="shared" ca="1" si="391"/>
        <v>56.288824373840264</v>
      </c>
      <c r="K864" s="307">
        <f t="shared" ca="1" si="392"/>
        <v>-2.8990857668123207</v>
      </c>
      <c r="L864" s="304">
        <f t="shared" ca="1" si="377"/>
        <v>56.363431830153566</v>
      </c>
      <c r="M864" s="306">
        <f t="shared" ca="1" si="393"/>
        <v>-1.4956392564069221</v>
      </c>
      <c r="N864" s="304">
        <f t="shared" ca="1" si="394"/>
        <v>-85.693817066201404</v>
      </c>
      <c r="P864" s="310">
        <f t="shared" ca="1" si="395"/>
        <v>23</v>
      </c>
      <c r="Q864" s="304">
        <f t="shared" ca="1" si="396"/>
        <v>0</v>
      </c>
      <c r="R864" s="306">
        <f t="shared" ca="1" si="397"/>
        <v>0</v>
      </c>
      <c r="S864" s="307">
        <f t="shared" ca="1" si="398"/>
        <v>2.0843000000000003</v>
      </c>
      <c r="T864" s="304">
        <f t="shared" ca="1" si="378"/>
        <v>20.446983000000003</v>
      </c>
      <c r="U864" s="311">
        <f t="shared" ca="1" si="379"/>
        <v>0</v>
      </c>
      <c r="V864" s="306">
        <f t="shared" ca="1" si="380"/>
        <v>1.2253551894926751</v>
      </c>
      <c r="W864" s="304">
        <f t="shared" ca="1" si="381"/>
        <v>7.2509621322778077</v>
      </c>
      <c r="Y864" s="314" t="str">
        <f t="shared" ca="1" si="399"/>
        <v/>
      </c>
      <c r="Z864" s="315" t="str">
        <f t="shared" ca="1" si="400"/>
        <v/>
      </c>
      <c r="AA864" s="316" t="str">
        <f t="shared" ca="1" si="401"/>
        <v/>
      </c>
      <c r="AC864" s="310" t="e">
        <f t="shared" ca="1" si="402"/>
        <v>#N/A</v>
      </c>
      <c r="AD864" s="323" t="e">
        <f t="shared" ca="1" si="403"/>
        <v>#N/A</v>
      </c>
      <c r="AE864" s="324">
        <f t="shared" ca="1" si="382"/>
        <v>-2.8990857668123207</v>
      </c>
      <c r="AG864" s="306">
        <f t="shared" ca="1" si="404"/>
        <v>6.3035442327047058</v>
      </c>
      <c r="AH864" s="304">
        <f t="shared" ca="1" si="405"/>
        <v>-3.4787614521276513</v>
      </c>
    </row>
    <row r="865" spans="1:34" x14ac:dyDescent="0.2">
      <c r="A865" s="347">
        <f t="shared" ca="1" si="383"/>
        <v>1E-4</v>
      </c>
      <c r="B865" s="304">
        <f t="shared" ca="1" si="384"/>
        <v>12.056099999999844</v>
      </c>
      <c r="D865" s="306">
        <f t="shared" ca="1" si="385"/>
        <v>-0.26121391980938091</v>
      </c>
      <c r="E865" s="307">
        <f t="shared" ca="1" si="386"/>
        <v>-6.3409730214608331</v>
      </c>
      <c r="F865" s="304">
        <f t="shared" ca="1" si="387"/>
        <v>6.3463510437728159</v>
      </c>
      <c r="G865" s="306">
        <f t="shared" ca="1" si="388"/>
        <v>3.9025649259086261</v>
      </c>
      <c r="H865" s="307">
        <f t="shared" ca="1" si="389"/>
        <v>-51.828628712484317</v>
      </c>
      <c r="I865" s="304">
        <f t="shared" ca="1" si="390"/>
        <v>51.975347687316976</v>
      </c>
      <c r="J865" s="306">
        <f t="shared" ca="1" si="391"/>
        <v>56.288824373840264</v>
      </c>
      <c r="K865" s="307">
        <f t="shared" ca="1" si="392"/>
        <v>-2.904268597978704</v>
      </c>
      <c r="L865" s="304">
        <f t="shared" ca="1" si="377"/>
        <v>56.363698649735888</v>
      </c>
      <c r="M865" s="306">
        <f t="shared" ca="1" si="393"/>
        <v>-1.495640673611387</v>
      </c>
      <c r="N865" s="304">
        <f t="shared" ca="1" si="394"/>
        <v>-85.693898266035944</v>
      </c>
      <c r="P865" s="310">
        <f t="shared" ca="1" si="395"/>
        <v>23</v>
      </c>
      <c r="Q865" s="304">
        <f t="shared" ca="1" si="396"/>
        <v>0</v>
      </c>
      <c r="R865" s="306">
        <f t="shared" ca="1" si="397"/>
        <v>0</v>
      </c>
      <c r="S865" s="307">
        <f t="shared" ca="1" si="398"/>
        <v>2.0843000000000003</v>
      </c>
      <c r="T865" s="304">
        <f t="shared" ca="1" si="378"/>
        <v>20.446983000000003</v>
      </c>
      <c r="U865" s="311">
        <f t="shared" ca="1" si="379"/>
        <v>0</v>
      </c>
      <c r="V865" s="306">
        <f t="shared" ca="1" si="380"/>
        <v>1.2253558245737595</v>
      </c>
      <c r="W865" s="304">
        <f t="shared" ca="1" si="381"/>
        <v>7.251141769873632</v>
      </c>
      <c r="Y865" s="314" t="str">
        <f t="shared" ca="1" si="399"/>
        <v/>
      </c>
      <c r="Z865" s="315" t="str">
        <f t="shared" ca="1" si="400"/>
        <v/>
      </c>
      <c r="AA865" s="316" t="str">
        <f t="shared" ca="1" si="401"/>
        <v/>
      </c>
      <c r="AC865" s="310" t="e">
        <f t="shared" ca="1" si="402"/>
        <v>#N/A</v>
      </c>
      <c r="AD865" s="323" t="e">
        <f t="shared" ca="1" si="403"/>
        <v>#N/A</v>
      </c>
      <c r="AE865" s="324">
        <f t="shared" ca="1" si="382"/>
        <v>-2.904268597978704</v>
      </c>
      <c r="AG865" s="306">
        <f t="shared" ca="1" si="404"/>
        <v>6.3034590905937442</v>
      </c>
      <c r="AH865" s="304">
        <f t="shared" ca="1" si="405"/>
        <v>-3.4788476381892273</v>
      </c>
    </row>
    <row r="866" spans="1:34" x14ac:dyDescent="0.2">
      <c r="A866" s="347">
        <f t="shared" ca="1" si="383"/>
        <v>1E-4</v>
      </c>
      <c r="B866" s="304">
        <f t="shared" ca="1" si="384"/>
        <v>12.056199999999844</v>
      </c>
      <c r="D866" s="306">
        <f t="shared" ca="1" si="385"/>
        <v>-0.26121547476186113</v>
      </c>
      <c r="E866" s="307">
        <f t="shared" ca="1" si="386"/>
        <v>-6.3408867085060292</v>
      </c>
      <c r="F866" s="304">
        <f t="shared" ca="1" si="387"/>
        <v>6.346264867964738</v>
      </c>
      <c r="G866" s="306">
        <f t="shared" ca="1" si="388"/>
        <v>3.90253880436115</v>
      </c>
      <c r="H866" s="307">
        <f t="shared" ca="1" si="389"/>
        <v>-51.829262801155167</v>
      </c>
      <c r="I866" s="304">
        <f t="shared" ca="1" si="390"/>
        <v>51.975978024764011</v>
      </c>
      <c r="J866" s="306">
        <f t="shared" ca="1" si="391"/>
        <v>56.288824373840264</v>
      </c>
      <c r="K866" s="307">
        <f t="shared" ca="1" si="392"/>
        <v>-2.909451492554386</v>
      </c>
      <c r="L866" s="304">
        <f t="shared" ca="1" si="377"/>
        <v>56.363965947904703</v>
      </c>
      <c r="M866" s="306">
        <f t="shared" ca="1" si="393"/>
        <v>-1.4956420907719921</v>
      </c>
      <c r="N866" s="304">
        <f t="shared" ca="1" si="394"/>
        <v>-85.693979463357508</v>
      </c>
      <c r="P866" s="310">
        <f t="shared" ca="1" si="395"/>
        <v>23</v>
      </c>
      <c r="Q866" s="304">
        <f t="shared" ca="1" si="396"/>
        <v>0</v>
      </c>
      <c r="R866" s="306">
        <f t="shared" ca="1" si="397"/>
        <v>0</v>
      </c>
      <c r="S866" s="307">
        <f t="shared" ca="1" si="398"/>
        <v>2.0843000000000003</v>
      </c>
      <c r="T866" s="304">
        <f t="shared" ca="1" si="378"/>
        <v>20.446983000000003</v>
      </c>
      <c r="U866" s="311">
        <f t="shared" ca="1" si="379"/>
        <v>0</v>
      </c>
      <c r="V866" s="306">
        <f t="shared" ca="1" si="380"/>
        <v>1.2253564596629427</v>
      </c>
      <c r="W866" s="304">
        <f t="shared" ca="1" si="381"/>
        <v>7.2513214074570485</v>
      </c>
      <c r="Y866" s="314" t="str">
        <f t="shared" ca="1" si="399"/>
        <v/>
      </c>
      <c r="Z866" s="315" t="str">
        <f t="shared" ca="1" si="400"/>
        <v/>
      </c>
      <c r="AA866" s="316" t="str">
        <f t="shared" ca="1" si="401"/>
        <v/>
      </c>
      <c r="AC866" s="310" t="e">
        <f t="shared" ca="1" si="402"/>
        <v>#N/A</v>
      </c>
      <c r="AD866" s="323" t="e">
        <f t="shared" ca="1" si="403"/>
        <v>#N/A</v>
      </c>
      <c r="AE866" s="324">
        <f t="shared" ca="1" si="382"/>
        <v>-2.909451492554386</v>
      </c>
      <c r="AG866" s="306">
        <f t="shared" ca="1" si="404"/>
        <v>6.3033739484367404</v>
      </c>
      <c r="AH866" s="304">
        <f t="shared" ca="1" si="405"/>
        <v>-3.4789338242448933</v>
      </c>
    </row>
    <row r="867" spans="1:34" x14ac:dyDescent="0.2">
      <c r="A867" s="347">
        <f t="shared" ca="1" si="383"/>
        <v>1E-4</v>
      </c>
      <c r="B867" s="304">
        <f t="shared" ca="1" si="384"/>
        <v>12.056299999999844</v>
      </c>
      <c r="D867" s="306">
        <f t="shared" ca="1" si="385"/>
        <v>-0.26121702962193116</v>
      </c>
      <c r="E867" s="307">
        <f t="shared" ca="1" si="386"/>
        <v>-6.3408003955572436</v>
      </c>
      <c r="F867" s="304">
        <f t="shared" ca="1" si="387"/>
        <v>6.3461786921629777</v>
      </c>
      <c r="G867" s="306">
        <f t="shared" ca="1" si="388"/>
        <v>3.902512682658188</v>
      </c>
      <c r="H867" s="307">
        <f t="shared" ca="1" si="389"/>
        <v>-51.82989688119472</v>
      </c>
      <c r="I867" s="304">
        <f t="shared" ca="1" si="390"/>
        <v>51.976608353696825</v>
      </c>
      <c r="J867" s="306">
        <f t="shared" ca="1" si="391"/>
        <v>56.288824373840264</v>
      </c>
      <c r="K867" s="307">
        <f t="shared" ca="1" si="392"/>
        <v>-2.9146344505385033</v>
      </c>
      <c r="L867" s="304">
        <f t="shared" ca="1" si="377"/>
        <v>56.364233724670648</v>
      </c>
      <c r="M867" s="306">
        <f t="shared" ca="1" si="393"/>
        <v>-1.4956435078887391</v>
      </c>
      <c r="N867" s="304">
        <f t="shared" ca="1" si="394"/>
        <v>-85.694060658166194</v>
      </c>
      <c r="P867" s="310">
        <f t="shared" ca="1" si="395"/>
        <v>23</v>
      </c>
      <c r="Q867" s="304">
        <f t="shared" ca="1" si="396"/>
        <v>0</v>
      </c>
      <c r="R867" s="306">
        <f t="shared" ca="1" si="397"/>
        <v>0</v>
      </c>
      <c r="S867" s="307">
        <f t="shared" ca="1" si="398"/>
        <v>2.0843000000000003</v>
      </c>
      <c r="T867" s="304">
        <f t="shared" ca="1" si="378"/>
        <v>20.446983000000003</v>
      </c>
      <c r="U867" s="311">
        <f t="shared" ca="1" si="379"/>
        <v>0</v>
      </c>
      <c r="V867" s="306">
        <f t="shared" ca="1" si="380"/>
        <v>1.2253570947602255</v>
      </c>
      <c r="W867" s="304">
        <f t="shared" ca="1" si="381"/>
        <v>7.2515010450279771</v>
      </c>
      <c r="Y867" s="314" t="str">
        <f t="shared" ca="1" si="399"/>
        <v/>
      </c>
      <c r="Z867" s="315" t="str">
        <f t="shared" ca="1" si="400"/>
        <v/>
      </c>
      <c r="AA867" s="316" t="str">
        <f t="shared" ca="1" si="401"/>
        <v/>
      </c>
      <c r="AC867" s="310" t="e">
        <f t="shared" ca="1" si="402"/>
        <v>#N/A</v>
      </c>
      <c r="AD867" s="323" t="e">
        <f t="shared" ca="1" si="403"/>
        <v>#N/A</v>
      </c>
      <c r="AE867" s="324">
        <f t="shared" ca="1" si="382"/>
        <v>-2.9146344505385033</v>
      </c>
      <c r="AG867" s="306">
        <f t="shared" ca="1" si="404"/>
        <v>6.3032888062337342</v>
      </c>
      <c r="AH867" s="304">
        <f t="shared" ca="1" si="405"/>
        <v>-3.4790200102946063</v>
      </c>
    </row>
    <row r="868" spans="1:34" x14ac:dyDescent="0.2">
      <c r="A868" s="347">
        <f t="shared" ca="1" si="383"/>
        <v>1E-4</v>
      </c>
      <c r="B868" s="304">
        <f t="shared" ca="1" si="384"/>
        <v>12.056399999999844</v>
      </c>
      <c r="D868" s="306">
        <f t="shared" ca="1" si="385"/>
        <v>-0.26121858438959333</v>
      </c>
      <c r="E868" s="307">
        <f t="shared" ca="1" si="386"/>
        <v>-6.3407140826145163</v>
      </c>
      <c r="F868" s="304">
        <f t="shared" ca="1" si="387"/>
        <v>6.3460925163675759</v>
      </c>
      <c r="G868" s="306">
        <f t="shared" ca="1" si="388"/>
        <v>3.902486560799749</v>
      </c>
      <c r="H868" s="307">
        <f t="shared" ca="1" si="389"/>
        <v>-51.830530952602984</v>
      </c>
      <c r="I868" s="304">
        <f t="shared" ca="1" si="390"/>
        <v>51.977238674115412</v>
      </c>
      <c r="J868" s="306">
        <f t="shared" ca="1" si="391"/>
        <v>56.288824373840264</v>
      </c>
      <c r="K868" s="307">
        <f t="shared" ca="1" si="392"/>
        <v>-2.9198174719301933</v>
      </c>
      <c r="L868" s="304">
        <f t="shared" ca="1" si="377"/>
        <v>56.364501980044345</v>
      </c>
      <c r="M868" s="306">
        <f t="shared" ca="1" si="393"/>
        <v>-1.4956449249616302</v>
      </c>
      <c r="N868" s="304">
        <f t="shared" ca="1" si="394"/>
        <v>-85.694141850462117</v>
      </c>
      <c r="P868" s="310">
        <f t="shared" ca="1" si="395"/>
        <v>23</v>
      </c>
      <c r="Q868" s="304">
        <f t="shared" ca="1" si="396"/>
        <v>0</v>
      </c>
      <c r="R868" s="306">
        <f t="shared" ca="1" si="397"/>
        <v>0</v>
      </c>
      <c r="S868" s="307">
        <f t="shared" ca="1" si="398"/>
        <v>2.0843000000000003</v>
      </c>
      <c r="T868" s="304">
        <f t="shared" ca="1" si="378"/>
        <v>20.446983000000003</v>
      </c>
      <c r="U868" s="311">
        <f t="shared" ca="1" si="379"/>
        <v>0</v>
      </c>
      <c r="V868" s="306">
        <f t="shared" ca="1" si="380"/>
        <v>1.2253577298656073</v>
      </c>
      <c r="W868" s="304">
        <f t="shared" ca="1" si="381"/>
        <v>7.2516806825863354</v>
      </c>
      <c r="Y868" s="314" t="str">
        <f t="shared" ca="1" si="399"/>
        <v/>
      </c>
      <c r="Z868" s="315" t="str">
        <f t="shared" ca="1" si="400"/>
        <v/>
      </c>
      <c r="AA868" s="316" t="str">
        <f t="shared" ca="1" si="401"/>
        <v/>
      </c>
      <c r="AC868" s="310" t="e">
        <f t="shared" ca="1" si="402"/>
        <v>#N/A</v>
      </c>
      <c r="AD868" s="323" t="e">
        <f t="shared" ca="1" si="403"/>
        <v>#N/A</v>
      </c>
      <c r="AE868" s="324">
        <f t="shared" ca="1" si="382"/>
        <v>-2.9198174719301933</v>
      </c>
      <c r="AG868" s="306">
        <f t="shared" ca="1" si="404"/>
        <v>6.3032036639847684</v>
      </c>
      <c r="AH868" s="304">
        <f t="shared" ca="1" si="405"/>
        <v>-3.4791061963383276</v>
      </c>
    </row>
    <row r="869" spans="1:34" x14ac:dyDescent="0.2">
      <c r="A869" s="347">
        <f t="shared" ca="1" si="383"/>
        <v>1E-4</v>
      </c>
      <c r="B869" s="304">
        <f t="shared" ca="1" si="384"/>
        <v>12.056499999999843</v>
      </c>
      <c r="D869" s="306">
        <f t="shared" ca="1" si="385"/>
        <v>-0.26122013906484914</v>
      </c>
      <c r="E869" s="307">
        <f t="shared" ca="1" si="386"/>
        <v>-6.3406277696778846</v>
      </c>
      <c r="F869" s="304">
        <f t="shared" ca="1" si="387"/>
        <v>6.3460063405785689</v>
      </c>
      <c r="G869" s="306">
        <f t="shared" ca="1" si="388"/>
        <v>3.9024604387858424</v>
      </c>
      <c r="H869" s="307">
        <f t="shared" ca="1" si="389"/>
        <v>-51.831165015379952</v>
      </c>
      <c r="I869" s="304">
        <f t="shared" ca="1" si="390"/>
        <v>51.977868986019764</v>
      </c>
      <c r="J869" s="306">
        <f t="shared" ca="1" si="391"/>
        <v>56.288824373840264</v>
      </c>
      <c r="K869" s="307">
        <f t="shared" ca="1" si="392"/>
        <v>-2.9250005567285924</v>
      </c>
      <c r="L869" s="304">
        <f t="shared" ca="1" si="377"/>
        <v>56.36477071403641</v>
      </c>
      <c r="M869" s="306">
        <f t="shared" ca="1" si="393"/>
        <v>-1.4956463419906676</v>
      </c>
      <c r="N869" s="304">
        <f t="shared" ca="1" si="394"/>
        <v>-85.694223040245404</v>
      </c>
      <c r="P869" s="310">
        <f t="shared" ca="1" si="395"/>
        <v>23</v>
      </c>
      <c r="Q869" s="304">
        <f t="shared" ca="1" si="396"/>
        <v>0</v>
      </c>
      <c r="R869" s="306">
        <f t="shared" ca="1" si="397"/>
        <v>0</v>
      </c>
      <c r="S869" s="307">
        <f t="shared" ca="1" si="398"/>
        <v>2.0843000000000003</v>
      </c>
      <c r="T869" s="304">
        <f t="shared" ca="1" si="378"/>
        <v>20.446983000000003</v>
      </c>
      <c r="U869" s="311">
        <f t="shared" ca="1" si="379"/>
        <v>0</v>
      </c>
      <c r="V869" s="306">
        <f t="shared" ca="1" si="380"/>
        <v>1.2253583649790876</v>
      </c>
      <c r="W869" s="304">
        <f t="shared" ca="1" si="381"/>
        <v>7.2518603201320273</v>
      </c>
      <c r="Y869" s="314" t="str">
        <f t="shared" ca="1" si="399"/>
        <v/>
      </c>
      <c r="Z869" s="315" t="str">
        <f t="shared" ca="1" si="400"/>
        <v/>
      </c>
      <c r="AA869" s="316" t="str">
        <f t="shared" ca="1" si="401"/>
        <v/>
      </c>
      <c r="AC869" s="310" t="e">
        <f t="shared" ca="1" si="402"/>
        <v>#N/A</v>
      </c>
      <c r="AD869" s="323" t="e">
        <f t="shared" ca="1" si="403"/>
        <v>#N/A</v>
      </c>
      <c r="AE869" s="324">
        <f t="shared" ca="1" si="382"/>
        <v>-2.9250005567285924</v>
      </c>
      <c r="AG869" s="306">
        <f t="shared" ca="1" si="404"/>
        <v>6.3031185216898891</v>
      </c>
      <c r="AH869" s="304">
        <f t="shared" ca="1" si="405"/>
        <v>-3.4791923823760182</v>
      </c>
    </row>
    <row r="870" spans="1:34" x14ac:dyDescent="0.2">
      <c r="A870" s="347">
        <f t="shared" ca="1" si="383"/>
        <v>1E-4</v>
      </c>
      <c r="B870" s="304">
        <f t="shared" ca="1" si="384"/>
        <v>12.056599999999843</v>
      </c>
      <c r="D870" s="306">
        <f t="shared" ca="1" si="385"/>
        <v>-0.26122169364769798</v>
      </c>
      <c r="E870" s="307">
        <f t="shared" ca="1" si="386"/>
        <v>-6.3405414567473954</v>
      </c>
      <c r="F870" s="304">
        <f t="shared" ca="1" si="387"/>
        <v>6.3459201647960048</v>
      </c>
      <c r="G870" s="306">
        <f t="shared" ca="1" si="388"/>
        <v>3.9024343166164774</v>
      </c>
      <c r="H870" s="307">
        <f t="shared" ca="1" si="389"/>
        <v>-51.83179906952563</v>
      </c>
      <c r="I870" s="304">
        <f t="shared" ca="1" si="390"/>
        <v>51.978499289409882</v>
      </c>
      <c r="J870" s="306">
        <f t="shared" ca="1" si="391"/>
        <v>56.288824373840264</v>
      </c>
      <c r="K870" s="307">
        <f t="shared" ca="1" si="392"/>
        <v>-2.9301837049328379</v>
      </c>
      <c r="L870" s="304">
        <f t="shared" ca="1" si="377"/>
        <v>56.365039926657445</v>
      </c>
      <c r="M870" s="306">
        <f t="shared" ca="1" si="393"/>
        <v>-1.4956477589758534</v>
      </c>
      <c r="N870" s="304">
        <f t="shared" ca="1" si="394"/>
        <v>-85.694304227516199</v>
      </c>
      <c r="P870" s="310">
        <f t="shared" ca="1" si="395"/>
        <v>23</v>
      </c>
      <c r="Q870" s="304">
        <f t="shared" ca="1" si="396"/>
        <v>0</v>
      </c>
      <c r="R870" s="306">
        <f t="shared" ca="1" si="397"/>
        <v>0</v>
      </c>
      <c r="S870" s="307">
        <f t="shared" ca="1" si="398"/>
        <v>2.0843000000000003</v>
      </c>
      <c r="T870" s="304">
        <f t="shared" ca="1" si="378"/>
        <v>20.446983000000003</v>
      </c>
      <c r="U870" s="311">
        <f t="shared" ca="1" si="379"/>
        <v>0</v>
      </c>
      <c r="V870" s="306">
        <f t="shared" ca="1" si="380"/>
        <v>1.2253590001006665</v>
      </c>
      <c r="W870" s="304">
        <f t="shared" ca="1" si="381"/>
        <v>7.2520399576649748</v>
      </c>
      <c r="Y870" s="314" t="str">
        <f t="shared" ca="1" si="399"/>
        <v/>
      </c>
      <c r="Z870" s="315" t="str">
        <f t="shared" ca="1" si="400"/>
        <v/>
      </c>
      <c r="AA870" s="316" t="str">
        <f t="shared" ca="1" si="401"/>
        <v/>
      </c>
      <c r="AC870" s="310" t="e">
        <f t="shared" ca="1" si="402"/>
        <v>#N/A</v>
      </c>
      <c r="AD870" s="323" t="e">
        <f t="shared" ca="1" si="403"/>
        <v>#N/A</v>
      </c>
      <c r="AE870" s="324">
        <f t="shared" ca="1" si="382"/>
        <v>-2.9301837049328379</v>
      </c>
      <c r="AG870" s="306">
        <f t="shared" ca="1" si="404"/>
        <v>6.3030333793491415</v>
      </c>
      <c r="AH870" s="304">
        <f t="shared" ca="1" si="405"/>
        <v>-3.4792785684076315</v>
      </c>
    </row>
    <row r="871" spans="1:34" x14ac:dyDescent="0.2">
      <c r="A871" s="347">
        <f t="shared" ca="1" si="383"/>
        <v>1E-4</v>
      </c>
      <c r="B871" s="304">
        <f t="shared" ca="1" si="384"/>
        <v>12.056699999999843</v>
      </c>
      <c r="D871" s="306">
        <f t="shared" ca="1" si="385"/>
        <v>-0.26122324813814152</v>
      </c>
      <c r="E871" s="307">
        <f t="shared" ca="1" si="386"/>
        <v>-6.3404551438230872</v>
      </c>
      <c r="F871" s="304">
        <f t="shared" ca="1" si="387"/>
        <v>6.3458339890199209</v>
      </c>
      <c r="G871" s="306">
        <f t="shared" ca="1" si="388"/>
        <v>3.9024081942916635</v>
      </c>
      <c r="H871" s="307">
        <f t="shared" ca="1" si="389"/>
        <v>-51.832433115040011</v>
      </c>
      <c r="I871" s="304">
        <f t="shared" ca="1" si="390"/>
        <v>51.979129584285758</v>
      </c>
      <c r="J871" s="306">
        <f t="shared" ca="1" si="391"/>
        <v>56.288824373840264</v>
      </c>
      <c r="K871" s="307">
        <f t="shared" ca="1" si="392"/>
        <v>-2.9353669165420659</v>
      </c>
      <c r="L871" s="304">
        <f t="shared" ca="1" si="377"/>
        <v>56.365309617918037</v>
      </c>
      <c r="M871" s="306">
        <f t="shared" ca="1" si="393"/>
        <v>-1.4956491759171899</v>
      </c>
      <c r="N871" s="304">
        <f t="shared" ca="1" si="394"/>
        <v>-85.694385412274585</v>
      </c>
      <c r="P871" s="310">
        <f t="shared" ca="1" si="395"/>
        <v>23</v>
      </c>
      <c r="Q871" s="304">
        <f t="shared" ca="1" si="396"/>
        <v>0</v>
      </c>
      <c r="R871" s="306">
        <f t="shared" ca="1" si="397"/>
        <v>0</v>
      </c>
      <c r="S871" s="307">
        <f t="shared" ca="1" si="398"/>
        <v>2.0843000000000003</v>
      </c>
      <c r="T871" s="304">
        <f t="shared" ca="1" si="378"/>
        <v>20.446983000000003</v>
      </c>
      <c r="U871" s="311">
        <f t="shared" ca="1" si="379"/>
        <v>0</v>
      </c>
      <c r="V871" s="306">
        <f t="shared" ca="1" si="380"/>
        <v>1.2253596352303444</v>
      </c>
      <c r="W871" s="304">
        <f t="shared" ca="1" si="381"/>
        <v>7.252219595185097</v>
      </c>
      <c r="Y871" s="314" t="str">
        <f t="shared" ca="1" si="399"/>
        <v/>
      </c>
      <c r="Z871" s="315" t="str">
        <f t="shared" ca="1" si="400"/>
        <v/>
      </c>
      <c r="AA871" s="316" t="str">
        <f t="shared" ca="1" si="401"/>
        <v/>
      </c>
      <c r="AC871" s="310" t="e">
        <f t="shared" ca="1" si="402"/>
        <v>#N/A</v>
      </c>
      <c r="AD871" s="323" t="e">
        <f t="shared" ca="1" si="403"/>
        <v>#N/A</v>
      </c>
      <c r="AE871" s="324">
        <f t="shared" ca="1" si="382"/>
        <v>-2.9353669165420659</v>
      </c>
      <c r="AG871" s="306">
        <f t="shared" ca="1" si="404"/>
        <v>6.3029482369625667</v>
      </c>
      <c r="AH871" s="304">
        <f t="shared" ca="1" si="405"/>
        <v>-3.4793647544331305</v>
      </c>
    </row>
    <row r="872" spans="1:34" x14ac:dyDescent="0.2">
      <c r="A872" s="347">
        <f t="shared" ca="1" si="383"/>
        <v>1E-4</v>
      </c>
      <c r="B872" s="304">
        <f t="shared" ca="1" si="384"/>
        <v>12.056799999999843</v>
      </c>
      <c r="D872" s="306">
        <f t="shared" ca="1" si="385"/>
        <v>-0.26122480253618041</v>
      </c>
      <c r="E872" s="307">
        <f t="shared" ca="1" si="386"/>
        <v>-6.3403688309049979</v>
      </c>
      <c r="F872" s="304">
        <f t="shared" ca="1" si="387"/>
        <v>6.3457478132503562</v>
      </c>
      <c r="G872" s="306">
        <f t="shared" ca="1" si="388"/>
        <v>3.9023820718114099</v>
      </c>
      <c r="H872" s="307">
        <f t="shared" ca="1" si="389"/>
        <v>-51.833067151923103</v>
      </c>
      <c r="I872" s="304">
        <f t="shared" ca="1" si="390"/>
        <v>51.979759870647392</v>
      </c>
      <c r="J872" s="306">
        <f t="shared" ca="1" si="391"/>
        <v>56.288824373840264</v>
      </c>
      <c r="K872" s="307">
        <f t="shared" ca="1" si="392"/>
        <v>-2.9405501915554142</v>
      </c>
      <c r="L872" s="304">
        <f t="shared" ca="1" si="377"/>
        <v>56.365579787828764</v>
      </c>
      <c r="M872" s="306">
        <f t="shared" ca="1" si="393"/>
        <v>-1.495650592814679</v>
      </c>
      <c r="N872" s="304">
        <f t="shared" ca="1" si="394"/>
        <v>-85.694466594520719</v>
      </c>
      <c r="P872" s="310">
        <f t="shared" ca="1" si="395"/>
        <v>23</v>
      </c>
      <c r="Q872" s="304">
        <f t="shared" ca="1" si="396"/>
        <v>0</v>
      </c>
      <c r="R872" s="306">
        <f t="shared" ca="1" si="397"/>
        <v>0</v>
      </c>
      <c r="S872" s="307">
        <f t="shared" ca="1" si="398"/>
        <v>2.0843000000000003</v>
      </c>
      <c r="T872" s="304">
        <f t="shared" ca="1" si="378"/>
        <v>20.446983000000003</v>
      </c>
      <c r="U872" s="311">
        <f t="shared" ca="1" si="379"/>
        <v>0</v>
      </c>
      <c r="V872" s="306">
        <f t="shared" ca="1" si="380"/>
        <v>1.2253602703681208</v>
      </c>
      <c r="W872" s="304">
        <f t="shared" ca="1" si="381"/>
        <v>7.2523992326923015</v>
      </c>
      <c r="Y872" s="314" t="str">
        <f t="shared" ca="1" si="399"/>
        <v/>
      </c>
      <c r="Z872" s="315" t="str">
        <f t="shared" ca="1" si="400"/>
        <v/>
      </c>
      <c r="AA872" s="316" t="str">
        <f t="shared" ca="1" si="401"/>
        <v/>
      </c>
      <c r="AC872" s="310" t="e">
        <f t="shared" ca="1" si="402"/>
        <v>#N/A</v>
      </c>
      <c r="AD872" s="323" t="e">
        <f t="shared" ca="1" si="403"/>
        <v>#N/A</v>
      </c>
      <c r="AE872" s="324">
        <f t="shared" ca="1" si="382"/>
        <v>-2.9405501915554142</v>
      </c>
      <c r="AG872" s="306">
        <f t="shared" ca="1" si="404"/>
        <v>6.3028630945302133</v>
      </c>
      <c r="AH872" s="304">
        <f t="shared" ca="1" si="405"/>
        <v>-3.4794509404524763</v>
      </c>
    </row>
    <row r="873" spans="1:34" x14ac:dyDescent="0.2">
      <c r="A873" s="347">
        <f t="shared" ca="1" si="383"/>
        <v>1E-4</v>
      </c>
      <c r="B873" s="304">
        <f t="shared" ca="1" si="384"/>
        <v>12.056899999999843</v>
      </c>
      <c r="D873" s="306">
        <f t="shared" ca="1" si="385"/>
        <v>-0.26122635684181572</v>
      </c>
      <c r="E873" s="307">
        <f t="shared" ca="1" si="386"/>
        <v>-6.3402825179931721</v>
      </c>
      <c r="F873" s="304">
        <f t="shared" ca="1" si="387"/>
        <v>6.3456616374873533</v>
      </c>
      <c r="G873" s="306">
        <f t="shared" ca="1" si="388"/>
        <v>3.9023559491757256</v>
      </c>
      <c r="H873" s="307">
        <f t="shared" ca="1" si="389"/>
        <v>-51.833701180174906</v>
      </c>
      <c r="I873" s="304">
        <f t="shared" ca="1" si="390"/>
        <v>51.980390148494777</v>
      </c>
      <c r="J873" s="306">
        <f t="shared" ca="1" si="391"/>
        <v>56.288824373840264</v>
      </c>
      <c r="K873" s="307">
        <f t="shared" ca="1" si="392"/>
        <v>-2.9457335299720193</v>
      </c>
      <c r="L873" s="304">
        <f t="shared" ca="1" si="377"/>
        <v>56.365850436400187</v>
      </c>
      <c r="M873" s="306">
        <f t="shared" ca="1" si="393"/>
        <v>-1.4956520096683228</v>
      </c>
      <c r="N873" s="304">
        <f t="shared" ca="1" si="394"/>
        <v>-85.694547774254687</v>
      </c>
      <c r="P873" s="310">
        <f t="shared" ca="1" si="395"/>
        <v>23</v>
      </c>
      <c r="Q873" s="304">
        <f t="shared" ca="1" si="396"/>
        <v>0</v>
      </c>
      <c r="R873" s="306">
        <f t="shared" ca="1" si="397"/>
        <v>0</v>
      </c>
      <c r="S873" s="307">
        <f t="shared" ca="1" si="398"/>
        <v>2.0843000000000003</v>
      </c>
      <c r="T873" s="304">
        <f t="shared" ca="1" si="378"/>
        <v>20.446983000000003</v>
      </c>
      <c r="U873" s="311">
        <f t="shared" ca="1" si="379"/>
        <v>0</v>
      </c>
      <c r="V873" s="306">
        <f t="shared" ca="1" si="380"/>
        <v>1.2253609055139951</v>
      </c>
      <c r="W873" s="304">
        <f t="shared" ca="1" si="381"/>
        <v>7.2525788701865039</v>
      </c>
      <c r="Y873" s="314" t="str">
        <f t="shared" ca="1" si="399"/>
        <v/>
      </c>
      <c r="Z873" s="315" t="str">
        <f t="shared" ca="1" si="400"/>
        <v/>
      </c>
      <c r="AA873" s="316" t="str">
        <f t="shared" ca="1" si="401"/>
        <v/>
      </c>
      <c r="AC873" s="310" t="e">
        <f t="shared" ca="1" si="402"/>
        <v>#N/A</v>
      </c>
      <c r="AD873" s="323" t="e">
        <f t="shared" ca="1" si="403"/>
        <v>#N/A</v>
      </c>
      <c r="AE873" s="324">
        <f t="shared" ca="1" si="382"/>
        <v>-2.9457335299720193</v>
      </c>
      <c r="AG873" s="306">
        <f t="shared" ca="1" si="404"/>
        <v>6.3027779520521232</v>
      </c>
      <c r="AH873" s="304">
        <f t="shared" ca="1" si="405"/>
        <v>-3.4795371264656243</v>
      </c>
    </row>
    <row r="874" spans="1:34" x14ac:dyDescent="0.2">
      <c r="A874" s="347">
        <f t="shared" ca="1" si="383"/>
        <v>1E-4</v>
      </c>
      <c r="B874" s="304">
        <f t="shared" ca="1" si="384"/>
        <v>12.056999999999842</v>
      </c>
      <c r="D874" s="306">
        <f t="shared" ca="1" si="385"/>
        <v>-0.26122791105504894</v>
      </c>
      <c r="E874" s="307">
        <f t="shared" ca="1" si="386"/>
        <v>-6.3401962050876506</v>
      </c>
      <c r="F874" s="304">
        <f t="shared" ca="1" si="387"/>
        <v>6.3455754617309559</v>
      </c>
      <c r="G874" s="306">
        <f t="shared" ca="1" si="388"/>
        <v>3.9023298263846202</v>
      </c>
      <c r="H874" s="307">
        <f t="shared" ca="1" si="389"/>
        <v>-51.834335199795412</v>
      </c>
      <c r="I874" s="304">
        <f t="shared" ca="1" si="390"/>
        <v>51.981020417827892</v>
      </c>
      <c r="J874" s="306">
        <f t="shared" ca="1" si="391"/>
        <v>56.288824373840264</v>
      </c>
      <c r="K874" s="307">
        <f t="shared" ca="1" si="392"/>
        <v>-2.950916931791018</v>
      </c>
      <c r="L874" s="304">
        <f t="shared" ca="1" si="377"/>
        <v>56.366121563642864</v>
      </c>
      <c r="M874" s="306">
        <f t="shared" ca="1" si="393"/>
        <v>-1.4956534264781234</v>
      </c>
      <c r="N874" s="304">
        <f t="shared" ca="1" si="394"/>
        <v>-85.694628951476645</v>
      </c>
      <c r="P874" s="310">
        <f t="shared" ca="1" si="395"/>
        <v>23</v>
      </c>
      <c r="Q874" s="304">
        <f t="shared" ca="1" si="396"/>
        <v>0</v>
      </c>
      <c r="R874" s="306">
        <f t="shared" ca="1" si="397"/>
        <v>0</v>
      </c>
      <c r="S874" s="307">
        <f t="shared" ca="1" si="398"/>
        <v>2.0843000000000003</v>
      </c>
      <c r="T874" s="304">
        <f t="shared" ca="1" si="378"/>
        <v>20.446983000000003</v>
      </c>
      <c r="U874" s="311">
        <f t="shared" ca="1" si="379"/>
        <v>0</v>
      </c>
      <c r="V874" s="306">
        <f t="shared" ca="1" si="380"/>
        <v>1.2253615406679683</v>
      </c>
      <c r="W874" s="304">
        <f t="shared" ca="1" si="381"/>
        <v>7.2527585076676191</v>
      </c>
      <c r="Y874" s="314" t="str">
        <f t="shared" ca="1" si="399"/>
        <v/>
      </c>
      <c r="Z874" s="315" t="str">
        <f t="shared" ca="1" si="400"/>
        <v/>
      </c>
      <c r="AA874" s="316" t="str">
        <f t="shared" ca="1" si="401"/>
        <v/>
      </c>
      <c r="AC874" s="310" t="e">
        <f t="shared" ca="1" si="402"/>
        <v>#N/A</v>
      </c>
      <c r="AD874" s="323" t="e">
        <f t="shared" ca="1" si="403"/>
        <v>#N/A</v>
      </c>
      <c r="AE874" s="324">
        <f t="shared" ca="1" si="382"/>
        <v>-2.950916931791018</v>
      </c>
      <c r="AG874" s="306">
        <f t="shared" ca="1" si="404"/>
        <v>6.3026928095283408</v>
      </c>
      <c r="AH874" s="304">
        <f t="shared" ca="1" si="405"/>
        <v>-3.4796233124725342</v>
      </c>
    </row>
    <row r="875" spans="1:34" x14ac:dyDescent="0.2">
      <c r="A875" s="347">
        <f t="shared" ca="1" si="383"/>
        <v>1E-4</v>
      </c>
      <c r="B875" s="304">
        <f t="shared" ca="1" si="384"/>
        <v>12.057099999999842</v>
      </c>
      <c r="D875" s="306">
        <f t="shared" ca="1" si="385"/>
        <v>-0.26122946517588053</v>
      </c>
      <c r="E875" s="307">
        <f t="shared" ca="1" si="386"/>
        <v>-6.3401098921884733</v>
      </c>
      <c r="F875" s="304">
        <f t="shared" ca="1" si="387"/>
        <v>6.3454892859812011</v>
      </c>
      <c r="G875" s="306">
        <f t="shared" ca="1" si="388"/>
        <v>3.9023037034381027</v>
      </c>
      <c r="H875" s="307">
        <f t="shared" ca="1" si="389"/>
        <v>-51.834969210784628</v>
      </c>
      <c r="I875" s="304">
        <f t="shared" ca="1" si="390"/>
        <v>51.981650678646758</v>
      </c>
      <c r="J875" s="306">
        <f t="shared" ca="1" si="391"/>
        <v>56.288824373840264</v>
      </c>
      <c r="K875" s="307">
        <f t="shared" ca="1" si="392"/>
        <v>-2.9561003970115469</v>
      </c>
      <c r="L875" s="304">
        <f t="shared" ca="1" si="377"/>
        <v>56.366393169567324</v>
      </c>
      <c r="M875" s="306">
        <f t="shared" ca="1" si="393"/>
        <v>-1.495654843244083</v>
      </c>
      <c r="N875" s="304">
        <f t="shared" ca="1" si="394"/>
        <v>-85.694710126186692</v>
      </c>
      <c r="P875" s="310">
        <f t="shared" ca="1" si="395"/>
        <v>23</v>
      </c>
      <c r="Q875" s="304">
        <f t="shared" ca="1" si="396"/>
        <v>0</v>
      </c>
      <c r="R875" s="306">
        <f t="shared" ca="1" si="397"/>
        <v>0</v>
      </c>
      <c r="S875" s="307">
        <f t="shared" ca="1" si="398"/>
        <v>2.0843000000000003</v>
      </c>
      <c r="T875" s="304">
        <f t="shared" ca="1" si="378"/>
        <v>20.446983000000003</v>
      </c>
      <c r="U875" s="311">
        <f t="shared" ca="1" si="379"/>
        <v>0</v>
      </c>
      <c r="V875" s="306">
        <f t="shared" ca="1" si="380"/>
        <v>1.2253621758300397</v>
      </c>
      <c r="W875" s="304">
        <f t="shared" ca="1" si="381"/>
        <v>7.252938145135567</v>
      </c>
      <c r="Y875" s="314" t="str">
        <f t="shared" ca="1" si="399"/>
        <v/>
      </c>
      <c r="Z875" s="315" t="str">
        <f t="shared" ca="1" si="400"/>
        <v/>
      </c>
      <c r="AA875" s="316" t="str">
        <f t="shared" ca="1" si="401"/>
        <v/>
      </c>
      <c r="AC875" s="310" t="e">
        <f t="shared" ca="1" si="402"/>
        <v>#N/A</v>
      </c>
      <c r="AD875" s="323" t="e">
        <f t="shared" ca="1" si="403"/>
        <v>#N/A</v>
      </c>
      <c r="AE875" s="324">
        <f t="shared" ca="1" si="382"/>
        <v>-2.9561003970115469</v>
      </c>
      <c r="AG875" s="306">
        <f t="shared" ca="1" si="404"/>
        <v>6.3026076669589113</v>
      </c>
      <c r="AH875" s="304">
        <f t="shared" ca="1" si="405"/>
        <v>-3.4797094984731651</v>
      </c>
    </row>
    <row r="876" spans="1:34" x14ac:dyDescent="0.2">
      <c r="A876" s="347">
        <f t="shared" ca="1" si="383"/>
        <v>1E-4</v>
      </c>
      <c r="B876" s="304">
        <f t="shared" ca="1" si="384"/>
        <v>12.057199999999842</v>
      </c>
      <c r="D876" s="306">
        <f t="shared" ca="1" si="385"/>
        <v>-0.26123101920431141</v>
      </c>
      <c r="E876" s="307">
        <f t="shared" ca="1" si="386"/>
        <v>-6.3400235792956803</v>
      </c>
      <c r="F876" s="304">
        <f t="shared" ca="1" si="387"/>
        <v>6.3454031102381299</v>
      </c>
      <c r="G876" s="306">
        <f t="shared" ca="1" si="388"/>
        <v>3.9022775803361824</v>
      </c>
      <c r="H876" s="307">
        <f t="shared" ca="1" si="389"/>
        <v>-51.835603213142555</v>
      </c>
      <c r="I876" s="304">
        <f t="shared" ca="1" si="390"/>
        <v>51.982280930951354</v>
      </c>
      <c r="J876" s="306">
        <f t="shared" ca="1" si="391"/>
        <v>56.288824373840264</v>
      </c>
      <c r="K876" s="307">
        <f t="shared" ca="1" si="392"/>
        <v>-2.9612839256327432</v>
      </c>
      <c r="L876" s="304">
        <f t="shared" ca="1" si="377"/>
        <v>56.366665254184099</v>
      </c>
      <c r="M876" s="306">
        <f t="shared" ca="1" si="393"/>
        <v>-1.4956562599662038</v>
      </c>
      <c r="N876" s="304">
        <f t="shared" ca="1" si="394"/>
        <v>-85.694791298384942</v>
      </c>
      <c r="P876" s="310">
        <f t="shared" ca="1" si="395"/>
        <v>23</v>
      </c>
      <c r="Q876" s="304">
        <f t="shared" ca="1" si="396"/>
        <v>0</v>
      </c>
      <c r="R876" s="306">
        <f t="shared" ca="1" si="397"/>
        <v>0</v>
      </c>
      <c r="S876" s="307">
        <f t="shared" ca="1" si="398"/>
        <v>2.0843000000000003</v>
      </c>
      <c r="T876" s="304">
        <f t="shared" ca="1" si="378"/>
        <v>20.446983000000003</v>
      </c>
      <c r="U876" s="311">
        <f t="shared" ca="1" si="379"/>
        <v>0</v>
      </c>
      <c r="V876" s="306">
        <f t="shared" ca="1" si="380"/>
        <v>1.2253628110002093</v>
      </c>
      <c r="W876" s="304">
        <f t="shared" ca="1" si="381"/>
        <v>7.2531177825902553</v>
      </c>
      <c r="Y876" s="314" t="str">
        <f t="shared" ca="1" si="399"/>
        <v/>
      </c>
      <c r="Z876" s="315" t="str">
        <f t="shared" ca="1" si="400"/>
        <v/>
      </c>
      <c r="AA876" s="316" t="str">
        <f t="shared" ca="1" si="401"/>
        <v/>
      </c>
      <c r="AC876" s="310" t="e">
        <f t="shared" ca="1" si="402"/>
        <v>#N/A</v>
      </c>
      <c r="AD876" s="323" t="e">
        <f t="shared" ca="1" si="403"/>
        <v>#N/A</v>
      </c>
      <c r="AE876" s="324">
        <f t="shared" ca="1" si="382"/>
        <v>-2.9612839256327432</v>
      </c>
      <c r="AG876" s="306">
        <f t="shared" ca="1" si="404"/>
        <v>6.3025225243438729</v>
      </c>
      <c r="AH876" s="304">
        <f t="shared" ca="1" si="405"/>
        <v>-3.4797956844674789</v>
      </c>
    </row>
    <row r="877" spans="1:34" x14ac:dyDescent="0.2">
      <c r="A877" s="347">
        <f t="shared" ca="1" si="383"/>
        <v>1E-4</v>
      </c>
      <c r="B877" s="304">
        <f t="shared" ca="1" si="384"/>
        <v>12.057299999999842</v>
      </c>
      <c r="D877" s="306">
        <f t="shared" ca="1" si="385"/>
        <v>-0.26123257314034243</v>
      </c>
      <c r="E877" s="307">
        <f t="shared" ca="1" si="386"/>
        <v>-6.339937266409315</v>
      </c>
      <c r="F877" s="304">
        <f t="shared" ca="1" si="387"/>
        <v>6.3453169345017866</v>
      </c>
      <c r="G877" s="306">
        <f t="shared" ca="1" si="388"/>
        <v>3.9022514570788682</v>
      </c>
      <c r="H877" s="307">
        <f t="shared" ca="1" si="389"/>
        <v>-51.836237206869193</v>
      </c>
      <c r="I877" s="304">
        <f t="shared" ca="1" si="390"/>
        <v>51.982911174741687</v>
      </c>
      <c r="J877" s="306">
        <f t="shared" ca="1" si="391"/>
        <v>56.288824373840264</v>
      </c>
      <c r="K877" s="307">
        <f t="shared" ca="1" si="392"/>
        <v>-2.9664675176537436</v>
      </c>
      <c r="L877" s="304">
        <f t="shared" ca="1" si="377"/>
        <v>56.366937817503697</v>
      </c>
      <c r="M877" s="306">
        <f t="shared" ca="1" si="393"/>
        <v>-1.4956576766444878</v>
      </c>
      <c r="N877" s="304">
        <f t="shared" ca="1" si="394"/>
        <v>-85.694872468071551</v>
      </c>
      <c r="P877" s="310">
        <f t="shared" ca="1" si="395"/>
        <v>23</v>
      </c>
      <c r="Q877" s="304">
        <f t="shared" ca="1" si="396"/>
        <v>0</v>
      </c>
      <c r="R877" s="306">
        <f t="shared" ca="1" si="397"/>
        <v>0</v>
      </c>
      <c r="S877" s="307">
        <f t="shared" ca="1" si="398"/>
        <v>2.0843000000000003</v>
      </c>
      <c r="T877" s="304">
        <f t="shared" ca="1" si="378"/>
        <v>20.446983000000003</v>
      </c>
      <c r="U877" s="311">
        <f t="shared" ca="1" si="379"/>
        <v>0</v>
      </c>
      <c r="V877" s="306">
        <f t="shared" ca="1" si="380"/>
        <v>1.2253634461784768</v>
      </c>
      <c r="W877" s="304">
        <f t="shared" ca="1" si="381"/>
        <v>7.2532974200316067</v>
      </c>
      <c r="Y877" s="314" t="str">
        <f t="shared" ca="1" si="399"/>
        <v/>
      </c>
      <c r="Z877" s="315" t="str">
        <f t="shared" ca="1" si="400"/>
        <v/>
      </c>
      <c r="AA877" s="316" t="str">
        <f t="shared" ca="1" si="401"/>
        <v/>
      </c>
      <c r="AC877" s="310" t="e">
        <f t="shared" ca="1" si="402"/>
        <v>#N/A</v>
      </c>
      <c r="AD877" s="323" t="e">
        <f t="shared" ca="1" si="403"/>
        <v>#N/A</v>
      </c>
      <c r="AE877" s="324">
        <f t="shared" ca="1" si="382"/>
        <v>-2.9664675176537436</v>
      </c>
      <c r="AG877" s="306">
        <f t="shared" ca="1" si="404"/>
        <v>6.3024373816832799</v>
      </c>
      <c r="AH877" s="304">
        <f t="shared" ca="1" si="405"/>
        <v>-3.4798818704554306</v>
      </c>
    </row>
    <row r="878" spans="1:34" x14ac:dyDescent="0.2">
      <c r="A878" s="347">
        <f t="shared" ca="1" si="383"/>
        <v>1E-4</v>
      </c>
      <c r="B878" s="304">
        <f t="shared" ca="1" si="384"/>
        <v>12.057399999999841</v>
      </c>
      <c r="D878" s="306">
        <f t="shared" ca="1" si="385"/>
        <v>-0.26123412698397463</v>
      </c>
      <c r="E878" s="307">
        <f t="shared" ca="1" si="386"/>
        <v>-6.3398509535294139</v>
      </c>
      <c r="F878" s="304">
        <f t="shared" ca="1" si="387"/>
        <v>6.3452307587722059</v>
      </c>
      <c r="G878" s="306">
        <f t="shared" ca="1" si="388"/>
        <v>3.9022253336661699</v>
      </c>
      <c r="H878" s="307">
        <f t="shared" ca="1" si="389"/>
        <v>-51.836871191964548</v>
      </c>
      <c r="I878" s="304">
        <f t="shared" ca="1" si="390"/>
        <v>51.98354141001775</v>
      </c>
      <c r="J878" s="306">
        <f t="shared" ca="1" si="391"/>
        <v>56.288824373840264</v>
      </c>
      <c r="K878" s="307">
        <f t="shared" ca="1" si="392"/>
        <v>-2.9716511730736852</v>
      </c>
      <c r="L878" s="304">
        <f t="shared" ca="1" si="377"/>
        <v>56.367210859536634</v>
      </c>
      <c r="M878" s="306">
        <f t="shared" ca="1" si="393"/>
        <v>-1.4956590932789371</v>
      </c>
      <c r="N878" s="304">
        <f t="shared" ca="1" si="394"/>
        <v>-85.694953635246605</v>
      </c>
      <c r="P878" s="310">
        <f t="shared" ca="1" si="395"/>
        <v>23</v>
      </c>
      <c r="Q878" s="304">
        <f t="shared" ca="1" si="396"/>
        <v>0</v>
      </c>
      <c r="R878" s="306">
        <f t="shared" ca="1" si="397"/>
        <v>0</v>
      </c>
      <c r="S878" s="307">
        <f t="shared" ca="1" si="398"/>
        <v>2.0843000000000003</v>
      </c>
      <c r="T878" s="304">
        <f t="shared" ca="1" si="378"/>
        <v>20.446983000000003</v>
      </c>
      <c r="U878" s="311">
        <f t="shared" ca="1" si="379"/>
        <v>0</v>
      </c>
      <c r="V878" s="306">
        <f t="shared" ca="1" si="380"/>
        <v>1.2253640813648421</v>
      </c>
      <c r="W878" s="304">
        <f t="shared" ca="1" si="381"/>
        <v>7.253477057459528</v>
      </c>
      <c r="Y878" s="314" t="str">
        <f t="shared" ca="1" si="399"/>
        <v/>
      </c>
      <c r="Z878" s="315" t="str">
        <f t="shared" ca="1" si="400"/>
        <v/>
      </c>
      <c r="AA878" s="316" t="str">
        <f t="shared" ca="1" si="401"/>
        <v/>
      </c>
      <c r="AC878" s="310" t="e">
        <f t="shared" ca="1" si="402"/>
        <v>#N/A</v>
      </c>
      <c r="AD878" s="323" t="e">
        <f t="shared" ca="1" si="403"/>
        <v>#N/A</v>
      </c>
      <c r="AE878" s="324">
        <f t="shared" ca="1" si="382"/>
        <v>-2.9716511730736852</v>
      </c>
      <c r="AG878" s="306">
        <f t="shared" ca="1" si="404"/>
        <v>6.3023522389771678</v>
      </c>
      <c r="AH878" s="304">
        <f t="shared" ca="1" si="405"/>
        <v>-3.4799680564369839</v>
      </c>
    </row>
    <row r="879" spans="1:34" x14ac:dyDescent="0.2">
      <c r="A879" s="347">
        <f t="shared" ca="1" si="383"/>
        <v>1E-4</v>
      </c>
      <c r="B879" s="304">
        <f t="shared" ca="1" si="384"/>
        <v>12.057499999999841</v>
      </c>
      <c r="D879" s="306">
        <f t="shared" ca="1" si="385"/>
        <v>-0.26123568073520909</v>
      </c>
      <c r="E879" s="307">
        <f t="shared" ca="1" si="386"/>
        <v>-6.3397646406560231</v>
      </c>
      <c r="F879" s="304">
        <f t="shared" ca="1" si="387"/>
        <v>6.345144583049434</v>
      </c>
      <c r="G879" s="306">
        <f t="shared" ca="1" si="388"/>
        <v>3.9021992100980962</v>
      </c>
      <c r="H879" s="307">
        <f t="shared" ca="1" si="389"/>
        <v>-51.837505168428613</v>
      </c>
      <c r="I879" s="304">
        <f t="shared" ca="1" si="390"/>
        <v>51.984171636779536</v>
      </c>
      <c r="J879" s="306">
        <f t="shared" ca="1" si="391"/>
        <v>56.288824373840264</v>
      </c>
      <c r="K879" s="307">
        <f t="shared" ca="1" si="392"/>
        <v>-2.9768348918917047</v>
      </c>
      <c r="L879" s="304">
        <f t="shared" ca="1" si="377"/>
        <v>56.367484380293376</v>
      </c>
      <c r="M879" s="306">
        <f t="shared" ca="1" si="393"/>
        <v>-1.4956605098695539</v>
      </c>
      <c r="N879" s="304">
        <f t="shared" ca="1" si="394"/>
        <v>-85.695034799910246</v>
      </c>
      <c r="P879" s="310">
        <f t="shared" ca="1" si="395"/>
        <v>23</v>
      </c>
      <c r="Q879" s="304">
        <f t="shared" ca="1" si="396"/>
        <v>0</v>
      </c>
      <c r="R879" s="306">
        <f t="shared" ca="1" si="397"/>
        <v>0</v>
      </c>
      <c r="S879" s="307">
        <f t="shared" ca="1" si="398"/>
        <v>2.0843000000000003</v>
      </c>
      <c r="T879" s="304">
        <f t="shared" ca="1" si="378"/>
        <v>20.446983000000003</v>
      </c>
      <c r="U879" s="311">
        <f t="shared" ca="1" si="379"/>
        <v>0</v>
      </c>
      <c r="V879" s="306">
        <f t="shared" ca="1" si="380"/>
        <v>1.2253647165593058</v>
      </c>
      <c r="W879" s="304">
        <f t="shared" ca="1" si="381"/>
        <v>7.2536566948739427</v>
      </c>
      <c r="Y879" s="314" t="str">
        <f t="shared" ca="1" si="399"/>
        <v/>
      </c>
      <c r="Z879" s="315" t="str">
        <f t="shared" ca="1" si="400"/>
        <v/>
      </c>
      <c r="AA879" s="316" t="str">
        <f t="shared" ca="1" si="401"/>
        <v/>
      </c>
      <c r="AC879" s="310" t="e">
        <f t="shared" ca="1" si="402"/>
        <v>#N/A</v>
      </c>
      <c r="AD879" s="323" t="e">
        <f t="shared" ca="1" si="403"/>
        <v>#N/A</v>
      </c>
      <c r="AE879" s="324">
        <f t="shared" ca="1" si="382"/>
        <v>-2.9768348918917047</v>
      </c>
      <c r="AG879" s="306">
        <f t="shared" ca="1" si="404"/>
        <v>6.3022670962255871</v>
      </c>
      <c r="AH879" s="304">
        <f t="shared" ca="1" si="405"/>
        <v>-3.4800542424120939</v>
      </c>
    </row>
    <row r="880" spans="1:34" x14ac:dyDescent="0.2">
      <c r="A880" s="347">
        <f t="shared" ca="1" si="383"/>
        <v>1E-4</v>
      </c>
      <c r="B880" s="304">
        <f t="shared" ca="1" si="384"/>
        <v>12.057599999999841</v>
      </c>
      <c r="D880" s="306">
        <f t="shared" ca="1" si="385"/>
        <v>-0.26123723439404656</v>
      </c>
      <c r="E880" s="307">
        <f t="shared" ca="1" si="386"/>
        <v>-6.3396783277891782</v>
      </c>
      <c r="F880" s="304">
        <f t="shared" ca="1" si="387"/>
        <v>6.345058407333509</v>
      </c>
      <c r="G880" s="306">
        <f t="shared" ca="1" si="388"/>
        <v>3.9021730863746567</v>
      </c>
      <c r="H880" s="307">
        <f t="shared" ca="1" si="389"/>
        <v>-51.83813913626139</v>
      </c>
      <c r="I880" s="304">
        <f t="shared" ca="1" si="390"/>
        <v>51.98480185502703</v>
      </c>
      <c r="J880" s="306">
        <f t="shared" ca="1" si="391"/>
        <v>56.288824373840264</v>
      </c>
      <c r="K880" s="307">
        <f t="shared" ca="1" si="392"/>
        <v>-2.9820186741069392</v>
      </c>
      <c r="L880" s="304">
        <f t="shared" ca="1" si="377"/>
        <v>56.367758379784419</v>
      </c>
      <c r="M880" s="306">
        <f t="shared" ca="1" si="393"/>
        <v>-1.4956619264163404</v>
      </c>
      <c r="N880" s="304">
        <f t="shared" ca="1" si="394"/>
        <v>-85.695115962062602</v>
      </c>
      <c r="P880" s="310">
        <f t="shared" ca="1" si="395"/>
        <v>23</v>
      </c>
      <c r="Q880" s="304">
        <f t="shared" ca="1" si="396"/>
        <v>0</v>
      </c>
      <c r="R880" s="306">
        <f t="shared" ca="1" si="397"/>
        <v>0</v>
      </c>
      <c r="S880" s="307">
        <f t="shared" ca="1" si="398"/>
        <v>2.0843000000000003</v>
      </c>
      <c r="T880" s="304">
        <f t="shared" ca="1" si="378"/>
        <v>20.446983000000003</v>
      </c>
      <c r="U880" s="311">
        <f t="shared" ca="1" si="379"/>
        <v>0</v>
      </c>
      <c r="V880" s="306">
        <f t="shared" ca="1" si="380"/>
        <v>1.2253653517618668</v>
      </c>
      <c r="W880" s="304">
        <f t="shared" ca="1" si="381"/>
        <v>7.253836332274755</v>
      </c>
      <c r="Y880" s="314" t="str">
        <f t="shared" ca="1" si="399"/>
        <v/>
      </c>
      <c r="Z880" s="315" t="str">
        <f t="shared" ca="1" si="400"/>
        <v/>
      </c>
      <c r="AA880" s="316" t="str">
        <f t="shared" ca="1" si="401"/>
        <v/>
      </c>
      <c r="AC880" s="310" t="e">
        <f t="shared" ca="1" si="402"/>
        <v>#N/A</v>
      </c>
      <c r="AD880" s="323" t="e">
        <f t="shared" ca="1" si="403"/>
        <v>#N/A</v>
      </c>
      <c r="AE880" s="324">
        <f t="shared" ca="1" si="382"/>
        <v>-2.9820186741069392</v>
      </c>
      <c r="AG880" s="306">
        <f t="shared" ca="1" si="404"/>
        <v>6.3021819534285797</v>
      </c>
      <c r="AH880" s="304">
        <f t="shared" ca="1" si="405"/>
        <v>-3.4801404283807233</v>
      </c>
    </row>
    <row r="881" spans="1:34" x14ac:dyDescent="0.2">
      <c r="A881" s="347">
        <f t="shared" ca="1" si="383"/>
        <v>1E-4</v>
      </c>
      <c r="B881" s="304">
        <f t="shared" ca="1" si="384"/>
        <v>12.057699999999841</v>
      </c>
      <c r="D881" s="306">
        <f t="shared" ca="1" si="385"/>
        <v>-0.26123878796048733</v>
      </c>
      <c r="E881" s="307">
        <f t="shared" ca="1" si="386"/>
        <v>-6.3395920149289271</v>
      </c>
      <c r="F881" s="304">
        <f t="shared" ca="1" si="387"/>
        <v>6.3449722316244754</v>
      </c>
      <c r="G881" s="306">
        <f t="shared" ca="1" si="388"/>
        <v>3.9021469624958605</v>
      </c>
      <c r="H881" s="307">
        <f t="shared" ca="1" si="389"/>
        <v>-51.838773095462884</v>
      </c>
      <c r="I881" s="304">
        <f t="shared" ca="1" si="390"/>
        <v>51.985432064760239</v>
      </c>
      <c r="J881" s="306">
        <f t="shared" ca="1" si="391"/>
        <v>56.288824373840264</v>
      </c>
      <c r="K881" s="307">
        <f t="shared" ca="1" si="392"/>
        <v>-2.9872025197185255</v>
      </c>
      <c r="L881" s="304">
        <f t="shared" ca="1" si="377"/>
        <v>56.368032858020214</v>
      </c>
      <c r="M881" s="306">
        <f t="shared" ca="1" si="393"/>
        <v>-1.4956633429192985</v>
      </c>
      <c r="N881" s="304">
        <f t="shared" ca="1" si="394"/>
        <v>-85.695197121703757</v>
      </c>
      <c r="P881" s="310">
        <f t="shared" ca="1" si="395"/>
        <v>23</v>
      </c>
      <c r="Q881" s="304">
        <f t="shared" ca="1" si="396"/>
        <v>0</v>
      </c>
      <c r="R881" s="306">
        <f t="shared" ca="1" si="397"/>
        <v>0</v>
      </c>
      <c r="S881" s="307">
        <f t="shared" ca="1" si="398"/>
        <v>2.0843000000000003</v>
      </c>
      <c r="T881" s="304">
        <f t="shared" ca="1" si="378"/>
        <v>20.446983000000003</v>
      </c>
      <c r="U881" s="311">
        <f t="shared" ca="1" si="379"/>
        <v>0</v>
      </c>
      <c r="V881" s="306">
        <f t="shared" ca="1" si="380"/>
        <v>1.225365986972526</v>
      </c>
      <c r="W881" s="304">
        <f t="shared" ca="1" si="381"/>
        <v>7.2540159696618893</v>
      </c>
      <c r="Y881" s="314" t="str">
        <f t="shared" ca="1" si="399"/>
        <v/>
      </c>
      <c r="Z881" s="315" t="str">
        <f t="shared" ca="1" si="400"/>
        <v/>
      </c>
      <c r="AA881" s="316" t="str">
        <f t="shared" ca="1" si="401"/>
        <v/>
      </c>
      <c r="AC881" s="310" t="e">
        <f t="shared" ca="1" si="402"/>
        <v>#N/A</v>
      </c>
      <c r="AD881" s="323" t="e">
        <f t="shared" ca="1" si="403"/>
        <v>#N/A</v>
      </c>
      <c r="AE881" s="324">
        <f t="shared" ca="1" si="382"/>
        <v>-2.9872025197185255</v>
      </c>
      <c r="AG881" s="306">
        <f t="shared" ca="1" si="404"/>
        <v>6.302096810586189</v>
      </c>
      <c r="AH881" s="304">
        <f t="shared" ca="1" si="405"/>
        <v>-3.4802266143428269</v>
      </c>
    </row>
    <row r="882" spans="1:34" x14ac:dyDescent="0.2">
      <c r="A882" s="347">
        <f t="shared" ca="1" si="383"/>
        <v>1E-4</v>
      </c>
      <c r="B882" s="304">
        <f t="shared" ca="1" si="384"/>
        <v>12.05779999999984</v>
      </c>
      <c r="D882" s="306">
        <f t="shared" ca="1" si="385"/>
        <v>-0.26124034143453384</v>
      </c>
      <c r="E882" s="307">
        <f t="shared" ca="1" si="386"/>
        <v>-6.3395057020753036</v>
      </c>
      <c r="F882" s="304">
        <f t="shared" ca="1" si="387"/>
        <v>6.3448860559223696</v>
      </c>
      <c r="G882" s="306">
        <f t="shared" ca="1" si="388"/>
        <v>3.902120838461717</v>
      </c>
      <c r="H882" s="307">
        <f t="shared" ca="1" si="389"/>
        <v>-51.839407046033088</v>
      </c>
      <c r="I882" s="304">
        <f t="shared" ca="1" si="390"/>
        <v>51.986062265979157</v>
      </c>
      <c r="J882" s="306">
        <f t="shared" ca="1" si="391"/>
        <v>56.288824373840264</v>
      </c>
      <c r="K882" s="307">
        <f t="shared" ca="1" si="392"/>
        <v>-2.9923864287256001</v>
      </c>
      <c r="L882" s="304">
        <f t="shared" ca="1" si="377"/>
        <v>56.368307815011221</v>
      </c>
      <c r="M882" s="306">
        <f t="shared" ca="1" si="393"/>
        <v>-1.4956647593784302</v>
      </c>
      <c r="N882" s="304">
        <f t="shared" ca="1" si="394"/>
        <v>-85.695278278833868</v>
      </c>
      <c r="P882" s="310">
        <f t="shared" ca="1" si="395"/>
        <v>23</v>
      </c>
      <c r="Q882" s="304">
        <f t="shared" ca="1" si="396"/>
        <v>0</v>
      </c>
      <c r="R882" s="306">
        <f t="shared" ca="1" si="397"/>
        <v>0</v>
      </c>
      <c r="S882" s="307">
        <f t="shared" ca="1" si="398"/>
        <v>2.0843000000000003</v>
      </c>
      <c r="T882" s="304">
        <f t="shared" ca="1" si="378"/>
        <v>20.446983000000003</v>
      </c>
      <c r="U882" s="311">
        <f t="shared" ca="1" si="379"/>
        <v>0</v>
      </c>
      <c r="V882" s="306">
        <f t="shared" ca="1" si="380"/>
        <v>1.2253666221912827</v>
      </c>
      <c r="W882" s="304">
        <f t="shared" ca="1" si="381"/>
        <v>7.254195607035256</v>
      </c>
      <c r="Y882" s="314" t="str">
        <f t="shared" ca="1" si="399"/>
        <v/>
      </c>
      <c r="Z882" s="315" t="str">
        <f t="shared" ca="1" si="400"/>
        <v/>
      </c>
      <c r="AA882" s="316" t="str">
        <f t="shared" ca="1" si="401"/>
        <v/>
      </c>
      <c r="AC882" s="310" t="e">
        <f t="shared" ca="1" si="402"/>
        <v>#N/A</v>
      </c>
      <c r="AD882" s="323" t="e">
        <f t="shared" ca="1" si="403"/>
        <v>#N/A</v>
      </c>
      <c r="AE882" s="324">
        <f t="shared" ca="1" si="382"/>
        <v>-2.9923864287256001</v>
      </c>
      <c r="AG882" s="306">
        <f t="shared" ca="1" si="404"/>
        <v>6.3020116676984603</v>
      </c>
      <c r="AH882" s="304">
        <f t="shared" ca="1" si="405"/>
        <v>-3.4803128002983681</v>
      </c>
    </row>
    <row r="883" spans="1:34" x14ac:dyDescent="0.2">
      <c r="A883" s="347">
        <f t="shared" ca="1" si="383"/>
        <v>1E-4</v>
      </c>
      <c r="B883" s="304">
        <f t="shared" ca="1" si="384"/>
        <v>12.05789999999984</v>
      </c>
      <c r="D883" s="306">
        <f t="shared" ca="1" si="385"/>
        <v>-0.26124189481618648</v>
      </c>
      <c r="E883" s="307">
        <f t="shared" ca="1" si="386"/>
        <v>-6.3394193892283521</v>
      </c>
      <c r="F883" s="304">
        <f t="shared" ca="1" si="387"/>
        <v>6.3447998802272343</v>
      </c>
      <c r="G883" s="306">
        <f t="shared" ca="1" si="388"/>
        <v>3.9020947142722355</v>
      </c>
      <c r="H883" s="307">
        <f t="shared" ca="1" si="389"/>
        <v>-51.84004098797201</v>
      </c>
      <c r="I883" s="304">
        <f t="shared" ca="1" si="390"/>
        <v>51.986692458683784</v>
      </c>
      <c r="J883" s="306">
        <f t="shared" ca="1" si="391"/>
        <v>56.288824373840264</v>
      </c>
      <c r="K883" s="307">
        <f t="shared" ca="1" si="392"/>
        <v>-2.9975704011273003</v>
      </c>
      <c r="L883" s="304">
        <f t="shared" ca="1" si="377"/>
        <v>56.36858325076787</v>
      </c>
      <c r="M883" s="306">
        <f t="shared" ca="1" si="393"/>
        <v>-1.4956661757937382</v>
      </c>
      <c r="N883" s="304">
        <f t="shared" ca="1" si="394"/>
        <v>-85.695359433453049</v>
      </c>
      <c r="P883" s="310">
        <f t="shared" ca="1" si="395"/>
        <v>23</v>
      </c>
      <c r="Q883" s="304">
        <f t="shared" ca="1" si="396"/>
        <v>0</v>
      </c>
      <c r="R883" s="306">
        <f t="shared" ca="1" si="397"/>
        <v>0</v>
      </c>
      <c r="S883" s="307">
        <f t="shared" ca="1" si="398"/>
        <v>2.0843000000000003</v>
      </c>
      <c r="T883" s="304">
        <f t="shared" ca="1" si="378"/>
        <v>20.446983000000003</v>
      </c>
      <c r="U883" s="311">
        <f t="shared" ca="1" si="379"/>
        <v>0</v>
      </c>
      <c r="V883" s="306">
        <f t="shared" ca="1" si="380"/>
        <v>1.2253672574181365</v>
      </c>
      <c r="W883" s="304">
        <f t="shared" ca="1" si="381"/>
        <v>7.2543752443947707</v>
      </c>
      <c r="Y883" s="314" t="str">
        <f t="shared" ca="1" si="399"/>
        <v/>
      </c>
      <c r="Z883" s="315" t="str">
        <f t="shared" ca="1" si="400"/>
        <v/>
      </c>
      <c r="AA883" s="316" t="str">
        <f t="shared" ca="1" si="401"/>
        <v/>
      </c>
      <c r="AC883" s="310" t="e">
        <f t="shared" ca="1" si="402"/>
        <v>#N/A</v>
      </c>
      <c r="AD883" s="323" t="e">
        <f t="shared" ca="1" si="403"/>
        <v>#N/A</v>
      </c>
      <c r="AE883" s="324">
        <f t="shared" ca="1" si="382"/>
        <v>-2.9975704011273003</v>
      </c>
      <c r="AG883" s="306">
        <f t="shared" ca="1" si="404"/>
        <v>6.3019265247654346</v>
      </c>
      <c r="AH883" s="304">
        <f t="shared" ca="1" si="405"/>
        <v>-3.4803989862473035</v>
      </c>
    </row>
    <row r="884" spans="1:34" x14ac:dyDescent="0.2">
      <c r="A884" s="347">
        <f t="shared" ca="1" si="383"/>
        <v>1E-4</v>
      </c>
      <c r="B884" s="304">
        <f t="shared" ca="1" si="384"/>
        <v>12.05799999999984</v>
      </c>
      <c r="D884" s="306">
        <f t="shared" ca="1" si="385"/>
        <v>-0.26124344810544514</v>
      </c>
      <c r="E884" s="307">
        <f t="shared" ca="1" si="386"/>
        <v>-6.3393330763881135</v>
      </c>
      <c r="F884" s="304">
        <f t="shared" ca="1" si="387"/>
        <v>6.3447137045391111</v>
      </c>
      <c r="G884" s="306">
        <f t="shared" ca="1" si="388"/>
        <v>3.902068589927425</v>
      </c>
      <c r="H884" s="307">
        <f t="shared" ca="1" si="389"/>
        <v>-51.84067492127965</v>
      </c>
      <c r="I884" s="304">
        <f t="shared" ca="1" si="390"/>
        <v>51.987322642874112</v>
      </c>
      <c r="J884" s="306">
        <f t="shared" ca="1" si="391"/>
        <v>56.288824373840264</v>
      </c>
      <c r="K884" s="307">
        <f t="shared" ca="1" si="392"/>
        <v>-3.0027544369227628</v>
      </c>
      <c r="L884" s="304">
        <f t="shared" ca="1" si="377"/>
        <v>56.368859165300599</v>
      </c>
      <c r="M884" s="306">
        <f t="shared" ca="1" si="393"/>
        <v>-1.495667592165224</v>
      </c>
      <c r="N884" s="304">
        <f t="shared" ca="1" si="394"/>
        <v>-85.695440585561414</v>
      </c>
      <c r="P884" s="310">
        <f t="shared" ca="1" si="395"/>
        <v>23</v>
      </c>
      <c r="Q884" s="304">
        <f t="shared" ca="1" si="396"/>
        <v>0</v>
      </c>
      <c r="R884" s="306">
        <f t="shared" ca="1" si="397"/>
        <v>0</v>
      </c>
      <c r="S884" s="307">
        <f t="shared" ca="1" si="398"/>
        <v>2.0843000000000003</v>
      </c>
      <c r="T884" s="304">
        <f t="shared" ca="1" si="378"/>
        <v>20.446983000000003</v>
      </c>
      <c r="U884" s="311">
        <f t="shared" ca="1" si="379"/>
        <v>0</v>
      </c>
      <c r="V884" s="306">
        <f t="shared" ca="1" si="380"/>
        <v>1.2253678926530878</v>
      </c>
      <c r="W884" s="304">
        <f t="shared" ca="1" si="381"/>
        <v>7.254554881740348</v>
      </c>
      <c r="Y884" s="314" t="str">
        <f t="shared" ca="1" si="399"/>
        <v/>
      </c>
      <c r="Z884" s="315" t="str">
        <f t="shared" ca="1" si="400"/>
        <v/>
      </c>
      <c r="AA884" s="316" t="str">
        <f t="shared" ca="1" si="401"/>
        <v/>
      </c>
      <c r="AC884" s="310" t="e">
        <f t="shared" ca="1" si="402"/>
        <v>#N/A</v>
      </c>
      <c r="AD884" s="323" t="e">
        <f t="shared" ca="1" si="403"/>
        <v>#N/A</v>
      </c>
      <c r="AE884" s="324">
        <f t="shared" ca="1" si="382"/>
        <v>-3.0027544369227628</v>
      </c>
      <c r="AG884" s="306">
        <f t="shared" ca="1" si="404"/>
        <v>6.3018413817871597</v>
      </c>
      <c r="AH884" s="304">
        <f t="shared" ca="1" si="405"/>
        <v>-3.4804851721895935</v>
      </c>
    </row>
    <row r="885" spans="1:34" x14ac:dyDescent="0.2">
      <c r="A885" s="347">
        <f t="shared" ca="1" si="383"/>
        <v>1E-4</v>
      </c>
      <c r="B885" s="304">
        <f t="shared" ca="1" si="384"/>
        <v>12.05809999999984</v>
      </c>
      <c r="D885" s="306">
        <f t="shared" ca="1" si="385"/>
        <v>-0.26124500130231187</v>
      </c>
      <c r="E885" s="307">
        <f t="shared" ca="1" si="386"/>
        <v>-6.3392467635546277</v>
      </c>
      <c r="F885" s="304">
        <f t="shared" ca="1" si="387"/>
        <v>6.3446275288580392</v>
      </c>
      <c r="G885" s="306">
        <f t="shared" ca="1" si="388"/>
        <v>3.9020424654272947</v>
      </c>
      <c r="H885" s="307">
        <f t="shared" ca="1" si="389"/>
        <v>-51.841308845956007</v>
      </c>
      <c r="I885" s="304">
        <f t="shared" ca="1" si="390"/>
        <v>51.987952818550127</v>
      </c>
      <c r="J885" s="306">
        <f t="shared" ca="1" si="391"/>
        <v>56.288824373840264</v>
      </c>
      <c r="K885" s="307">
        <f t="shared" ca="1" si="392"/>
        <v>-3.0079385361111246</v>
      </c>
      <c r="L885" s="304">
        <f t="shared" ca="1" si="377"/>
        <v>56.36913555861981</v>
      </c>
      <c r="M885" s="306">
        <f t="shared" ca="1" si="393"/>
        <v>-1.4956690084928901</v>
      </c>
      <c r="N885" s="304">
        <f t="shared" ca="1" si="394"/>
        <v>-85.695521735159076</v>
      </c>
      <c r="P885" s="310">
        <f t="shared" ca="1" si="395"/>
        <v>23</v>
      </c>
      <c r="Q885" s="304">
        <f t="shared" ca="1" si="396"/>
        <v>0</v>
      </c>
      <c r="R885" s="306">
        <f t="shared" ca="1" si="397"/>
        <v>0</v>
      </c>
      <c r="S885" s="307">
        <f t="shared" ca="1" si="398"/>
        <v>2.0843000000000003</v>
      </c>
      <c r="T885" s="304">
        <f t="shared" ca="1" si="378"/>
        <v>20.446983000000003</v>
      </c>
      <c r="U885" s="311">
        <f t="shared" ca="1" si="379"/>
        <v>0</v>
      </c>
      <c r="V885" s="306">
        <f t="shared" ca="1" si="380"/>
        <v>1.2253685278961364</v>
      </c>
      <c r="W885" s="304">
        <f t="shared" ca="1" si="381"/>
        <v>7.2547345190719028</v>
      </c>
      <c r="Y885" s="314" t="str">
        <f t="shared" ca="1" si="399"/>
        <v/>
      </c>
      <c r="Z885" s="315" t="str">
        <f t="shared" ca="1" si="400"/>
        <v/>
      </c>
      <c r="AA885" s="316" t="str">
        <f t="shared" ca="1" si="401"/>
        <v/>
      </c>
      <c r="AC885" s="310" t="e">
        <f t="shared" ca="1" si="402"/>
        <v>#N/A</v>
      </c>
      <c r="AD885" s="323" t="e">
        <f t="shared" ca="1" si="403"/>
        <v>#N/A</v>
      </c>
      <c r="AE885" s="324">
        <f t="shared" ca="1" si="382"/>
        <v>-3.0079385361111246</v>
      </c>
      <c r="AG885" s="306">
        <f t="shared" ca="1" si="404"/>
        <v>6.3017562387636801</v>
      </c>
      <c r="AH885" s="304">
        <f t="shared" ca="1" si="405"/>
        <v>-3.4805713581251965</v>
      </c>
    </row>
    <row r="886" spans="1:34" x14ac:dyDescent="0.2">
      <c r="A886" s="347">
        <f t="shared" ca="1" si="383"/>
        <v>1E-4</v>
      </c>
      <c r="B886" s="304">
        <f t="shared" ca="1" si="384"/>
        <v>12.058199999999839</v>
      </c>
      <c r="D886" s="306">
        <f t="shared" ca="1" si="385"/>
        <v>-0.26124655440678723</v>
      </c>
      <c r="E886" s="307">
        <f t="shared" ca="1" si="386"/>
        <v>-6.3391604507279364</v>
      </c>
      <c r="F886" s="304">
        <f t="shared" ca="1" si="387"/>
        <v>6.3445413531840602</v>
      </c>
      <c r="G886" s="306">
        <f t="shared" ca="1" si="388"/>
        <v>3.902016340771854</v>
      </c>
      <c r="H886" s="307">
        <f t="shared" ca="1" si="389"/>
        <v>-51.841942762001082</v>
      </c>
      <c r="I886" s="304">
        <f t="shared" ca="1" si="390"/>
        <v>51.988582985711844</v>
      </c>
      <c r="J886" s="306">
        <f t="shared" ca="1" si="391"/>
        <v>56.288824373840264</v>
      </c>
      <c r="K886" s="307">
        <f t="shared" ca="1" si="392"/>
        <v>-3.0131226986915225</v>
      </c>
      <c r="L886" s="304">
        <f t="shared" ca="1" si="377"/>
        <v>56.369412430735906</v>
      </c>
      <c r="M886" s="306">
        <f t="shared" ca="1" si="393"/>
        <v>-1.4956704247767383</v>
      </c>
      <c r="N886" s="304">
        <f t="shared" ca="1" si="394"/>
        <v>-85.695602882246178</v>
      </c>
      <c r="P886" s="310">
        <f t="shared" ca="1" si="395"/>
        <v>23</v>
      </c>
      <c r="Q886" s="304">
        <f t="shared" ca="1" si="396"/>
        <v>0</v>
      </c>
      <c r="R886" s="306">
        <f t="shared" ca="1" si="397"/>
        <v>0</v>
      </c>
      <c r="S886" s="307">
        <f t="shared" ca="1" si="398"/>
        <v>2.0843000000000003</v>
      </c>
      <c r="T886" s="304">
        <f t="shared" ca="1" si="378"/>
        <v>20.446983000000003</v>
      </c>
      <c r="U886" s="311">
        <f t="shared" ca="1" si="379"/>
        <v>0</v>
      </c>
      <c r="V886" s="306">
        <f t="shared" ca="1" si="380"/>
        <v>1.2253691631472827</v>
      </c>
      <c r="W886" s="304">
        <f t="shared" ca="1" si="381"/>
        <v>7.2549141563893533</v>
      </c>
      <c r="Y886" s="314" t="str">
        <f t="shared" ca="1" si="399"/>
        <v/>
      </c>
      <c r="Z886" s="315" t="str">
        <f t="shared" ca="1" si="400"/>
        <v/>
      </c>
      <c r="AA886" s="316" t="str">
        <f t="shared" ca="1" si="401"/>
        <v/>
      </c>
      <c r="AC886" s="310" t="e">
        <f t="shared" ca="1" si="402"/>
        <v>#N/A</v>
      </c>
      <c r="AD886" s="323" t="e">
        <f t="shared" ca="1" si="403"/>
        <v>#N/A</v>
      </c>
      <c r="AE886" s="324">
        <f t="shared" ca="1" si="382"/>
        <v>-3.0131226986915225</v>
      </c>
      <c r="AG886" s="306">
        <f t="shared" ca="1" si="404"/>
        <v>6.3016710956950384</v>
      </c>
      <c r="AH886" s="304">
        <f t="shared" ca="1" si="405"/>
        <v>-3.4806575440540719</v>
      </c>
    </row>
    <row r="887" spans="1:34" x14ac:dyDescent="0.2">
      <c r="A887" s="347">
        <f t="shared" ca="1" si="383"/>
        <v>1E-4</v>
      </c>
      <c r="B887" s="304">
        <f t="shared" ca="1" si="384"/>
        <v>12.058299999999839</v>
      </c>
      <c r="D887" s="306">
        <f t="shared" ca="1" si="385"/>
        <v>-0.26124810741887278</v>
      </c>
      <c r="E887" s="307">
        <f t="shared" ca="1" si="386"/>
        <v>-6.3390741379080788</v>
      </c>
      <c r="F887" s="304">
        <f t="shared" ca="1" si="387"/>
        <v>6.3444551775172151</v>
      </c>
      <c r="G887" s="306">
        <f t="shared" ca="1" si="388"/>
        <v>3.9019902159611122</v>
      </c>
      <c r="H887" s="307">
        <f t="shared" ca="1" si="389"/>
        <v>-51.842576669414875</v>
      </c>
      <c r="I887" s="304">
        <f t="shared" ca="1" si="390"/>
        <v>51.98921314435924</v>
      </c>
      <c r="J887" s="306">
        <f t="shared" ca="1" si="391"/>
        <v>56.288824373840264</v>
      </c>
      <c r="K887" s="307">
        <f t="shared" ca="1" si="392"/>
        <v>-3.0183069246630931</v>
      </c>
      <c r="L887" s="304">
        <f t="shared" ca="1" si="377"/>
        <v>56.369689781659289</v>
      </c>
      <c r="M887" s="306">
        <f t="shared" ca="1" si="393"/>
        <v>-1.4956718410167709</v>
      </c>
      <c r="N887" s="304">
        <f t="shared" ca="1" si="394"/>
        <v>-85.695684026822818</v>
      </c>
      <c r="P887" s="310">
        <f t="shared" ca="1" si="395"/>
        <v>23</v>
      </c>
      <c r="Q887" s="304">
        <f t="shared" ca="1" si="396"/>
        <v>0</v>
      </c>
      <c r="R887" s="306">
        <f t="shared" ca="1" si="397"/>
        <v>0</v>
      </c>
      <c r="S887" s="307">
        <f t="shared" ca="1" si="398"/>
        <v>2.0843000000000003</v>
      </c>
      <c r="T887" s="304">
        <f t="shared" ca="1" si="378"/>
        <v>20.446983000000003</v>
      </c>
      <c r="U887" s="311">
        <f t="shared" ca="1" si="379"/>
        <v>0</v>
      </c>
      <c r="V887" s="306">
        <f t="shared" ca="1" si="380"/>
        <v>1.2253697984065259</v>
      </c>
      <c r="W887" s="304">
        <f t="shared" ca="1" si="381"/>
        <v>7.2550937936926081</v>
      </c>
      <c r="Y887" s="314" t="str">
        <f t="shared" ca="1" si="399"/>
        <v/>
      </c>
      <c r="Z887" s="315" t="str">
        <f t="shared" ca="1" si="400"/>
        <v/>
      </c>
      <c r="AA887" s="316" t="str">
        <f t="shared" ca="1" si="401"/>
        <v/>
      </c>
      <c r="AC887" s="310" t="e">
        <f t="shared" ca="1" si="402"/>
        <v>#N/A</v>
      </c>
      <c r="AD887" s="323" t="e">
        <f t="shared" ca="1" si="403"/>
        <v>#N/A</v>
      </c>
      <c r="AE887" s="324">
        <f t="shared" ca="1" si="382"/>
        <v>-3.0183069246630931</v>
      </c>
      <c r="AG887" s="306">
        <f t="shared" ca="1" si="404"/>
        <v>6.3015859525812781</v>
      </c>
      <c r="AH887" s="304">
        <f t="shared" ca="1" si="405"/>
        <v>-3.4807437299761803</v>
      </c>
    </row>
    <row r="888" spans="1:34" x14ac:dyDescent="0.2">
      <c r="A888" s="347">
        <f t="shared" ca="1" si="383"/>
        <v>1E-4</v>
      </c>
      <c r="B888" s="304">
        <f t="shared" ca="1" si="384"/>
        <v>12.058399999999839</v>
      </c>
      <c r="D888" s="306">
        <f t="shared" ca="1" si="385"/>
        <v>-0.26124966033856878</v>
      </c>
      <c r="E888" s="307">
        <f t="shared" ca="1" si="386"/>
        <v>-6.3389878250950993</v>
      </c>
      <c r="F888" s="304">
        <f t="shared" ca="1" si="387"/>
        <v>6.3443690018575456</v>
      </c>
      <c r="G888" s="306">
        <f t="shared" ca="1" si="388"/>
        <v>3.9019640909950781</v>
      </c>
      <c r="H888" s="307">
        <f t="shared" ca="1" si="389"/>
        <v>-51.843210568197385</v>
      </c>
      <c r="I888" s="304">
        <f t="shared" ca="1" si="390"/>
        <v>51.989843294492317</v>
      </c>
      <c r="J888" s="306">
        <f t="shared" ca="1" si="391"/>
        <v>56.288824373840264</v>
      </c>
      <c r="K888" s="307">
        <f t="shared" ca="1" si="392"/>
        <v>-3.0234912140249737</v>
      </c>
      <c r="L888" s="304">
        <f t="shared" ca="1" si="377"/>
        <v>56.369967611400313</v>
      </c>
      <c r="M888" s="306">
        <f t="shared" ca="1" si="393"/>
        <v>-1.4956732572129903</v>
      </c>
      <c r="N888" s="304">
        <f t="shared" ca="1" si="394"/>
        <v>-85.695765168889153</v>
      </c>
      <c r="P888" s="310">
        <f t="shared" ca="1" si="395"/>
        <v>23</v>
      </c>
      <c r="Q888" s="304">
        <f t="shared" ca="1" si="396"/>
        <v>0</v>
      </c>
      <c r="R888" s="306">
        <f t="shared" ca="1" si="397"/>
        <v>0</v>
      </c>
      <c r="S888" s="307">
        <f t="shared" ca="1" si="398"/>
        <v>2.0843000000000003</v>
      </c>
      <c r="T888" s="304">
        <f t="shared" ca="1" si="378"/>
        <v>20.446983000000003</v>
      </c>
      <c r="U888" s="311">
        <f t="shared" ca="1" si="379"/>
        <v>0</v>
      </c>
      <c r="V888" s="306">
        <f t="shared" ca="1" si="380"/>
        <v>1.2253704336738662</v>
      </c>
      <c r="W888" s="304">
        <f t="shared" ca="1" si="381"/>
        <v>7.2552734309815872</v>
      </c>
      <c r="Y888" s="314" t="str">
        <f t="shared" ca="1" si="399"/>
        <v/>
      </c>
      <c r="Z888" s="315" t="str">
        <f t="shared" ca="1" si="400"/>
        <v/>
      </c>
      <c r="AA888" s="316" t="str">
        <f t="shared" ca="1" si="401"/>
        <v/>
      </c>
      <c r="AC888" s="310" t="e">
        <f t="shared" ca="1" si="402"/>
        <v>#N/A</v>
      </c>
      <c r="AD888" s="323" t="e">
        <f t="shared" ca="1" si="403"/>
        <v>#N/A</v>
      </c>
      <c r="AE888" s="324">
        <f t="shared" ca="1" si="382"/>
        <v>-3.0234912140249737</v>
      </c>
      <c r="AG888" s="306">
        <f t="shared" ca="1" si="404"/>
        <v>6.3015008094224463</v>
      </c>
      <c r="AH888" s="304">
        <f t="shared" ca="1" si="405"/>
        <v>-3.4808299158914777</v>
      </c>
    </row>
    <row r="889" spans="1:34" x14ac:dyDescent="0.2">
      <c r="A889" s="347">
        <f t="shared" ca="1" si="383"/>
        <v>1E-4</v>
      </c>
      <c r="B889" s="304">
        <f t="shared" ca="1" si="384"/>
        <v>12.058499999999839</v>
      </c>
      <c r="D889" s="306">
        <f t="shared" ca="1" si="385"/>
        <v>-0.26125121316587524</v>
      </c>
      <c r="E889" s="307">
        <f t="shared" ca="1" si="386"/>
        <v>-6.3389015122890342</v>
      </c>
      <c r="F889" s="304">
        <f t="shared" ca="1" si="387"/>
        <v>6.3442828262050899</v>
      </c>
      <c r="G889" s="306">
        <f t="shared" ca="1" si="388"/>
        <v>3.9019379658737616</v>
      </c>
      <c r="H889" s="307">
        <f t="shared" ca="1" si="389"/>
        <v>-51.843844458348613</v>
      </c>
      <c r="I889" s="304">
        <f t="shared" ca="1" si="390"/>
        <v>51.990473436111074</v>
      </c>
      <c r="J889" s="306">
        <f t="shared" ca="1" si="391"/>
        <v>56.288824373840264</v>
      </c>
      <c r="K889" s="307">
        <f t="shared" ca="1" si="392"/>
        <v>-3.0286755667763008</v>
      </c>
      <c r="L889" s="304">
        <f t="shared" ca="1" si="377"/>
        <v>56.370245919969356</v>
      </c>
      <c r="M889" s="306">
        <f t="shared" ca="1" si="393"/>
        <v>-1.4956746733653981</v>
      </c>
      <c r="N889" s="304">
        <f t="shared" ca="1" si="394"/>
        <v>-85.695846308445269</v>
      </c>
      <c r="P889" s="310">
        <f t="shared" ca="1" si="395"/>
        <v>23</v>
      </c>
      <c r="Q889" s="304">
        <f t="shared" ca="1" si="396"/>
        <v>0</v>
      </c>
      <c r="R889" s="306">
        <f t="shared" ca="1" si="397"/>
        <v>0</v>
      </c>
      <c r="S889" s="307">
        <f t="shared" ca="1" si="398"/>
        <v>2.0843000000000003</v>
      </c>
      <c r="T889" s="304">
        <f t="shared" ca="1" si="378"/>
        <v>20.446983000000003</v>
      </c>
      <c r="U889" s="311">
        <f t="shared" ca="1" si="379"/>
        <v>0</v>
      </c>
      <c r="V889" s="306">
        <f t="shared" ca="1" si="380"/>
        <v>1.2253710689493031</v>
      </c>
      <c r="W889" s="304">
        <f t="shared" ca="1" si="381"/>
        <v>7.2554530682562035</v>
      </c>
      <c r="Y889" s="314" t="str">
        <f t="shared" ca="1" si="399"/>
        <v/>
      </c>
      <c r="Z889" s="315" t="str">
        <f t="shared" ca="1" si="400"/>
        <v/>
      </c>
      <c r="AA889" s="316" t="str">
        <f t="shared" ca="1" si="401"/>
        <v/>
      </c>
      <c r="AC889" s="310" t="e">
        <f t="shared" ca="1" si="402"/>
        <v>#N/A</v>
      </c>
      <c r="AD889" s="323" t="e">
        <f t="shared" ca="1" si="403"/>
        <v>#N/A</v>
      </c>
      <c r="AE889" s="324">
        <f t="shared" ca="1" si="382"/>
        <v>-3.0286755667763008</v>
      </c>
      <c r="AG889" s="306">
        <f t="shared" ca="1" si="404"/>
        <v>6.3014156662185838</v>
      </c>
      <c r="AH889" s="304">
        <f t="shared" ca="1" si="405"/>
        <v>-3.4809161017999264</v>
      </c>
    </row>
    <row r="890" spans="1:34" x14ac:dyDescent="0.2">
      <c r="A890" s="347">
        <f t="shared" ca="1" si="383"/>
        <v>1E-4</v>
      </c>
      <c r="B890" s="304">
        <f t="shared" ca="1" si="384"/>
        <v>12.058599999999839</v>
      </c>
      <c r="D890" s="306">
        <f t="shared" ca="1" si="385"/>
        <v>-0.26125276590079494</v>
      </c>
      <c r="E890" s="307">
        <f t="shared" ca="1" si="386"/>
        <v>-6.3388151994899289</v>
      </c>
      <c r="F890" s="304">
        <f t="shared" ca="1" si="387"/>
        <v>6.3441966505598923</v>
      </c>
      <c r="G890" s="306">
        <f t="shared" ca="1" si="388"/>
        <v>3.9019118405971716</v>
      </c>
      <c r="H890" s="307">
        <f t="shared" ca="1" si="389"/>
        <v>-51.844478339868559</v>
      </c>
      <c r="I890" s="304">
        <f t="shared" ca="1" si="390"/>
        <v>51.991103569215497</v>
      </c>
      <c r="J890" s="306">
        <f t="shared" ca="1" si="391"/>
        <v>56.288824373840264</v>
      </c>
      <c r="K890" s="307">
        <f t="shared" ca="1" si="392"/>
        <v>-3.0338599829162116</v>
      </c>
      <c r="L890" s="304">
        <f t="shared" ca="1" si="377"/>
        <v>56.370524707376767</v>
      </c>
      <c r="M890" s="306">
        <f t="shared" ca="1" si="393"/>
        <v>-1.4956760894739964</v>
      </c>
      <c r="N890" s="304">
        <f t="shared" ca="1" si="394"/>
        <v>-85.695927445491293</v>
      </c>
      <c r="P890" s="310">
        <f t="shared" ca="1" si="395"/>
        <v>23</v>
      </c>
      <c r="Q890" s="304">
        <f t="shared" ca="1" si="396"/>
        <v>0</v>
      </c>
      <c r="R890" s="306">
        <f t="shared" ca="1" si="397"/>
        <v>0</v>
      </c>
      <c r="S890" s="307">
        <f t="shared" ca="1" si="398"/>
        <v>2.0843000000000003</v>
      </c>
      <c r="T890" s="304">
        <f t="shared" ca="1" si="378"/>
        <v>20.446983000000003</v>
      </c>
      <c r="U890" s="311">
        <f t="shared" ca="1" si="379"/>
        <v>0</v>
      </c>
      <c r="V890" s="306">
        <f t="shared" ca="1" si="380"/>
        <v>1.2253717042328371</v>
      </c>
      <c r="W890" s="304">
        <f t="shared" ca="1" si="381"/>
        <v>7.2556327055163692</v>
      </c>
      <c r="Y890" s="314" t="str">
        <f t="shared" ca="1" si="399"/>
        <v/>
      </c>
      <c r="Z890" s="315" t="str">
        <f t="shared" ca="1" si="400"/>
        <v/>
      </c>
      <c r="AA890" s="316" t="str">
        <f t="shared" ca="1" si="401"/>
        <v/>
      </c>
      <c r="AC890" s="310" t="e">
        <f t="shared" ca="1" si="402"/>
        <v>#N/A</v>
      </c>
      <c r="AD890" s="323" t="e">
        <f t="shared" ca="1" si="403"/>
        <v>#N/A</v>
      </c>
      <c r="AE890" s="324">
        <f t="shared" ca="1" si="382"/>
        <v>-3.0338599829162116</v>
      </c>
      <c r="AG890" s="306">
        <f t="shared" ca="1" si="404"/>
        <v>6.3013305229697387</v>
      </c>
      <c r="AH890" s="304">
        <f t="shared" ca="1" si="405"/>
        <v>-3.4810022877014837</v>
      </c>
    </row>
    <row r="891" spans="1:34" x14ac:dyDescent="0.2">
      <c r="A891" s="347">
        <f t="shared" ca="1" si="383"/>
        <v>1E-4</v>
      </c>
      <c r="B891" s="304">
        <f t="shared" ca="1" si="384"/>
        <v>12.058699999999838</v>
      </c>
      <c r="D891" s="306">
        <f t="shared" ca="1" si="385"/>
        <v>-0.26125431854332837</v>
      </c>
      <c r="E891" s="307">
        <f t="shared" ca="1" si="386"/>
        <v>-6.3387288866978224</v>
      </c>
      <c r="F891" s="304">
        <f t="shared" ca="1" si="387"/>
        <v>6.344110474921993</v>
      </c>
      <c r="G891" s="306">
        <f t="shared" ca="1" si="388"/>
        <v>3.9018857151653172</v>
      </c>
      <c r="H891" s="307">
        <f t="shared" ca="1" si="389"/>
        <v>-51.845112212757229</v>
      </c>
      <c r="I891" s="304">
        <f t="shared" ca="1" si="390"/>
        <v>51.991733693805593</v>
      </c>
      <c r="J891" s="306">
        <f t="shared" ca="1" si="391"/>
        <v>56.288824373840264</v>
      </c>
      <c r="K891" s="307">
        <f t="shared" ca="1" si="392"/>
        <v>-3.0390444624438429</v>
      </c>
      <c r="L891" s="304">
        <f t="shared" ca="1" si="377"/>
        <v>56.370803973632881</v>
      </c>
      <c r="M891" s="306">
        <f t="shared" ca="1" si="393"/>
        <v>-1.4956775055387879</v>
      </c>
      <c r="N891" s="304">
        <f t="shared" ca="1" si="394"/>
        <v>-85.696008580027353</v>
      </c>
      <c r="P891" s="310">
        <f t="shared" ca="1" si="395"/>
        <v>23</v>
      </c>
      <c r="Q891" s="304">
        <f t="shared" ca="1" si="396"/>
        <v>0</v>
      </c>
      <c r="R891" s="306">
        <f t="shared" ca="1" si="397"/>
        <v>0</v>
      </c>
      <c r="S891" s="307">
        <f t="shared" ca="1" si="398"/>
        <v>2.0843000000000003</v>
      </c>
      <c r="T891" s="304">
        <f t="shared" ca="1" si="378"/>
        <v>20.446983000000003</v>
      </c>
      <c r="U891" s="311">
        <f t="shared" ca="1" si="379"/>
        <v>0</v>
      </c>
      <c r="V891" s="306">
        <f t="shared" ca="1" si="380"/>
        <v>1.2253723395244678</v>
      </c>
      <c r="W891" s="304">
        <f t="shared" ca="1" si="381"/>
        <v>7.2558123427620043</v>
      </c>
      <c r="Y891" s="314" t="str">
        <f t="shared" ca="1" si="399"/>
        <v/>
      </c>
      <c r="Z891" s="315" t="str">
        <f t="shared" ca="1" si="400"/>
        <v/>
      </c>
      <c r="AA891" s="316" t="str">
        <f t="shared" ca="1" si="401"/>
        <v/>
      </c>
      <c r="AC891" s="310" t="e">
        <f t="shared" ca="1" si="402"/>
        <v>#N/A</v>
      </c>
      <c r="AD891" s="323" t="e">
        <f t="shared" ca="1" si="403"/>
        <v>#N/A</v>
      </c>
      <c r="AE891" s="324">
        <f t="shared" ca="1" si="382"/>
        <v>-3.0390444624438429</v>
      </c>
      <c r="AG891" s="306">
        <f t="shared" ca="1" si="404"/>
        <v>6.3012453796759527</v>
      </c>
      <c r="AH891" s="304">
        <f t="shared" ca="1" si="405"/>
        <v>-3.4810884735961083</v>
      </c>
    </row>
    <row r="892" spans="1:34" x14ac:dyDescent="0.2">
      <c r="A892" s="347">
        <f t="shared" ca="1" si="383"/>
        <v>1E-4</v>
      </c>
      <c r="B892" s="304">
        <f t="shared" ca="1" si="384"/>
        <v>12.058799999999838</v>
      </c>
      <c r="D892" s="306">
        <f t="shared" ca="1" si="385"/>
        <v>-0.26125587109347559</v>
      </c>
      <c r="E892" s="307">
        <f t="shared" ca="1" si="386"/>
        <v>-6.3386425739127548</v>
      </c>
      <c r="F892" s="304">
        <f t="shared" ca="1" si="387"/>
        <v>6.34402429929143</v>
      </c>
      <c r="G892" s="306">
        <f t="shared" ca="1" si="388"/>
        <v>3.901859589578208</v>
      </c>
      <c r="H892" s="307">
        <f t="shared" ca="1" si="389"/>
        <v>-51.845746077014617</v>
      </c>
      <c r="I892" s="304">
        <f t="shared" ca="1" si="390"/>
        <v>51.992363809881347</v>
      </c>
      <c r="J892" s="306">
        <f t="shared" ca="1" si="391"/>
        <v>56.288824373840264</v>
      </c>
      <c r="K892" s="307">
        <f t="shared" ca="1" si="392"/>
        <v>-3.0442290053583316</v>
      </c>
      <c r="L892" s="304">
        <f t="shared" ca="1" si="377"/>
        <v>56.371083718748025</v>
      </c>
      <c r="M892" s="306">
        <f t="shared" ca="1" si="393"/>
        <v>-1.4956789215597743</v>
      </c>
      <c r="N892" s="304">
        <f t="shared" ca="1" si="394"/>
        <v>-85.696089712053578</v>
      </c>
      <c r="P892" s="310">
        <f t="shared" ca="1" si="395"/>
        <v>23</v>
      </c>
      <c r="Q892" s="304">
        <f t="shared" ca="1" si="396"/>
        <v>0</v>
      </c>
      <c r="R892" s="306">
        <f t="shared" ca="1" si="397"/>
        <v>0</v>
      </c>
      <c r="S892" s="307">
        <f t="shared" ca="1" si="398"/>
        <v>2.0843000000000003</v>
      </c>
      <c r="T892" s="304">
        <f t="shared" ca="1" si="378"/>
        <v>20.446983000000003</v>
      </c>
      <c r="U892" s="311">
        <f t="shared" ca="1" si="379"/>
        <v>0</v>
      </c>
      <c r="V892" s="306">
        <f t="shared" ca="1" si="380"/>
        <v>1.2253729748241953</v>
      </c>
      <c r="W892" s="304">
        <f t="shared" ca="1" si="381"/>
        <v>7.255991979993019</v>
      </c>
      <c r="Y892" s="314" t="str">
        <f t="shared" ca="1" si="399"/>
        <v/>
      </c>
      <c r="Z892" s="315" t="str">
        <f t="shared" ca="1" si="400"/>
        <v/>
      </c>
      <c r="AA892" s="316" t="str">
        <f t="shared" ca="1" si="401"/>
        <v/>
      </c>
      <c r="AC892" s="310" t="e">
        <f t="shared" ca="1" si="402"/>
        <v>#N/A</v>
      </c>
      <c r="AD892" s="323" t="e">
        <f t="shared" ca="1" si="403"/>
        <v>#N/A</v>
      </c>
      <c r="AE892" s="324">
        <f t="shared" ca="1" si="382"/>
        <v>-3.0442290053583316</v>
      </c>
      <c r="AG892" s="306">
        <f t="shared" ca="1" si="404"/>
        <v>6.3011602363372674</v>
      </c>
      <c r="AH892" s="304">
        <f t="shared" ca="1" si="405"/>
        <v>-3.4811746594837611</v>
      </c>
    </row>
    <row r="893" spans="1:34" x14ac:dyDescent="0.2">
      <c r="A893" s="347">
        <f t="shared" ca="1" si="383"/>
        <v>1E-4</v>
      </c>
      <c r="B893" s="304">
        <f t="shared" ca="1" si="384"/>
        <v>12.058899999999838</v>
      </c>
      <c r="D893" s="306">
        <f t="shared" ca="1" si="385"/>
        <v>-0.26125742355123771</v>
      </c>
      <c r="E893" s="307">
        <f t="shared" ca="1" si="386"/>
        <v>-6.3385562611347677</v>
      </c>
      <c r="F893" s="304">
        <f t="shared" ca="1" si="387"/>
        <v>6.3439381236682468</v>
      </c>
      <c r="G893" s="306">
        <f t="shared" ca="1" si="388"/>
        <v>3.9018334638358527</v>
      </c>
      <c r="H893" s="307">
        <f t="shared" ca="1" si="389"/>
        <v>-51.84637993264073</v>
      </c>
      <c r="I893" s="304">
        <f t="shared" ca="1" si="390"/>
        <v>51.992993917442767</v>
      </c>
      <c r="J893" s="306">
        <f t="shared" ca="1" si="391"/>
        <v>56.288824373840264</v>
      </c>
      <c r="K893" s="307">
        <f t="shared" ca="1" si="392"/>
        <v>-3.0494136116588142</v>
      </c>
      <c r="L893" s="304">
        <f t="shared" ca="1" si="377"/>
        <v>56.371363942732515</v>
      </c>
      <c r="M893" s="306">
        <f t="shared" ca="1" si="393"/>
        <v>-1.4956803375369578</v>
      </c>
      <c r="N893" s="304">
        <f t="shared" ca="1" si="394"/>
        <v>-85.69617084157008</v>
      </c>
      <c r="P893" s="310">
        <f t="shared" ca="1" si="395"/>
        <v>23</v>
      </c>
      <c r="Q893" s="304">
        <f t="shared" ca="1" si="396"/>
        <v>0</v>
      </c>
      <c r="R893" s="306">
        <f t="shared" ca="1" si="397"/>
        <v>0</v>
      </c>
      <c r="S893" s="307">
        <f t="shared" ca="1" si="398"/>
        <v>2.0843000000000003</v>
      </c>
      <c r="T893" s="304">
        <f t="shared" ca="1" si="378"/>
        <v>20.446983000000003</v>
      </c>
      <c r="U893" s="311">
        <f t="shared" ca="1" si="379"/>
        <v>0</v>
      </c>
      <c r="V893" s="306">
        <f t="shared" ca="1" si="380"/>
        <v>1.2253736101320194</v>
      </c>
      <c r="W893" s="304">
        <f t="shared" ca="1" si="381"/>
        <v>7.2561716172093353</v>
      </c>
      <c r="Y893" s="314" t="str">
        <f t="shared" ca="1" si="399"/>
        <v/>
      </c>
      <c r="Z893" s="315" t="str">
        <f t="shared" ca="1" si="400"/>
        <v/>
      </c>
      <c r="AA893" s="316" t="str">
        <f t="shared" ca="1" si="401"/>
        <v/>
      </c>
      <c r="AC893" s="310" t="e">
        <f t="shared" ca="1" si="402"/>
        <v>#N/A</v>
      </c>
      <c r="AD893" s="323" t="e">
        <f t="shared" ca="1" si="403"/>
        <v>#N/A</v>
      </c>
      <c r="AE893" s="324">
        <f t="shared" ca="1" si="382"/>
        <v>-3.0494136116588142</v>
      </c>
      <c r="AG893" s="306">
        <f t="shared" ca="1" si="404"/>
        <v>6.3010750929537327</v>
      </c>
      <c r="AH893" s="304">
        <f t="shared" ca="1" si="405"/>
        <v>-3.4812608453643996</v>
      </c>
    </row>
    <row r="894" spans="1:34" x14ac:dyDescent="0.2">
      <c r="A894" s="347">
        <f t="shared" ca="1" si="383"/>
        <v>1E-4</v>
      </c>
      <c r="B894" s="304">
        <f t="shared" ca="1" si="384"/>
        <v>12.058999999999838</v>
      </c>
      <c r="D894" s="306">
        <f t="shared" ca="1" si="385"/>
        <v>-0.26125897591661634</v>
      </c>
      <c r="E894" s="307">
        <f t="shared" ca="1" si="386"/>
        <v>-6.3384699483639011</v>
      </c>
      <c r="F894" s="304">
        <f t="shared" ca="1" si="387"/>
        <v>6.3438519480524826</v>
      </c>
      <c r="G894" s="306">
        <f t="shared" ca="1" si="388"/>
        <v>3.9018073379382612</v>
      </c>
      <c r="H894" s="307">
        <f t="shared" ca="1" si="389"/>
        <v>-51.847013779635567</v>
      </c>
      <c r="I894" s="304">
        <f t="shared" ca="1" si="390"/>
        <v>51.993624016489839</v>
      </c>
      <c r="J894" s="306">
        <f t="shared" ca="1" si="391"/>
        <v>56.288824373840264</v>
      </c>
      <c r="K894" s="307">
        <f t="shared" ca="1" si="392"/>
        <v>-3.0545982813444281</v>
      </c>
      <c r="L894" s="304">
        <f t="shared" ca="1" si="377"/>
        <v>56.37164464559666</v>
      </c>
      <c r="M894" s="306">
        <f t="shared" ca="1" si="393"/>
        <v>-1.4956817534703404</v>
      </c>
      <c r="N894" s="304">
        <f t="shared" ca="1" si="394"/>
        <v>-85.696251968576973</v>
      </c>
      <c r="P894" s="310">
        <f t="shared" ca="1" si="395"/>
        <v>23</v>
      </c>
      <c r="Q894" s="304">
        <f t="shared" ca="1" si="396"/>
        <v>0</v>
      </c>
      <c r="R894" s="306">
        <f t="shared" ca="1" si="397"/>
        <v>0</v>
      </c>
      <c r="S894" s="307">
        <f t="shared" ca="1" si="398"/>
        <v>2.0843000000000003</v>
      </c>
      <c r="T894" s="304">
        <f t="shared" ca="1" si="378"/>
        <v>20.446983000000003</v>
      </c>
      <c r="U894" s="311">
        <f t="shared" ca="1" si="379"/>
        <v>0</v>
      </c>
      <c r="V894" s="306">
        <f t="shared" ca="1" si="380"/>
        <v>1.2253742454479399</v>
      </c>
      <c r="W894" s="304">
        <f t="shared" ca="1" si="381"/>
        <v>7.2563512544108617</v>
      </c>
      <c r="Y894" s="314" t="str">
        <f t="shared" ca="1" si="399"/>
        <v/>
      </c>
      <c r="Z894" s="315" t="str">
        <f t="shared" ca="1" si="400"/>
        <v/>
      </c>
      <c r="AA894" s="316" t="str">
        <f t="shared" ca="1" si="401"/>
        <v/>
      </c>
      <c r="AC894" s="310" t="e">
        <f t="shared" ca="1" si="402"/>
        <v>#N/A</v>
      </c>
      <c r="AD894" s="323" t="e">
        <f t="shared" ca="1" si="403"/>
        <v>#N/A</v>
      </c>
      <c r="AE894" s="324">
        <f t="shared" ca="1" si="382"/>
        <v>-3.0545982813444281</v>
      </c>
      <c r="AG894" s="306">
        <f t="shared" ca="1" si="404"/>
        <v>6.3009899495253894</v>
      </c>
      <c r="AH894" s="304">
        <f t="shared" ca="1" si="405"/>
        <v>-3.4813470312379859</v>
      </c>
    </row>
    <row r="895" spans="1:34" x14ac:dyDescent="0.2">
      <c r="A895" s="347">
        <f t="shared" ca="1" si="383"/>
        <v>1E-4</v>
      </c>
      <c r="B895" s="304">
        <f t="shared" ca="1" si="384"/>
        <v>12.059099999999837</v>
      </c>
      <c r="D895" s="306">
        <f t="shared" ca="1" si="385"/>
        <v>-0.26126052818961254</v>
      </c>
      <c r="E895" s="307">
        <f t="shared" ca="1" si="386"/>
        <v>-6.3383836356001968</v>
      </c>
      <c r="F895" s="304">
        <f t="shared" ca="1" si="387"/>
        <v>6.3437657724441783</v>
      </c>
      <c r="G895" s="306">
        <f t="shared" ca="1" si="388"/>
        <v>3.9017812118854422</v>
      </c>
      <c r="H895" s="307">
        <f t="shared" ca="1" si="389"/>
        <v>-51.847647617999129</v>
      </c>
      <c r="I895" s="304">
        <f t="shared" ca="1" si="390"/>
        <v>51.99425410702257</v>
      </c>
      <c r="J895" s="306">
        <f t="shared" ca="1" si="391"/>
        <v>56.288824373840264</v>
      </c>
      <c r="K895" s="307">
        <f t="shared" ca="1" si="392"/>
        <v>-3.0597830144143097</v>
      </c>
      <c r="L895" s="304">
        <f t="shared" ca="1" si="377"/>
        <v>56.371925827350729</v>
      </c>
      <c r="M895" s="306">
        <f t="shared" ca="1" si="393"/>
        <v>-1.4956831693599244</v>
      </c>
      <c r="N895" s="304">
        <f t="shared" ca="1" si="394"/>
        <v>-85.696333093074401</v>
      </c>
      <c r="P895" s="310">
        <f t="shared" ca="1" si="395"/>
        <v>23</v>
      </c>
      <c r="Q895" s="304">
        <f t="shared" ca="1" si="396"/>
        <v>0</v>
      </c>
      <c r="R895" s="306">
        <f t="shared" ca="1" si="397"/>
        <v>0</v>
      </c>
      <c r="S895" s="307">
        <f t="shared" ca="1" si="398"/>
        <v>2.0843000000000003</v>
      </c>
      <c r="T895" s="304">
        <f t="shared" ca="1" si="378"/>
        <v>20.446983000000003</v>
      </c>
      <c r="U895" s="311">
        <f t="shared" ca="1" si="379"/>
        <v>0</v>
      </c>
      <c r="V895" s="306">
        <f t="shared" ca="1" si="380"/>
        <v>1.2253748807719567</v>
      </c>
      <c r="W895" s="304">
        <f t="shared" ca="1" si="381"/>
        <v>7.2565308915975155</v>
      </c>
      <c r="Y895" s="314" t="str">
        <f t="shared" ca="1" si="399"/>
        <v/>
      </c>
      <c r="Z895" s="315" t="str">
        <f t="shared" ca="1" si="400"/>
        <v/>
      </c>
      <c r="AA895" s="316" t="str">
        <f t="shared" ca="1" si="401"/>
        <v/>
      </c>
      <c r="AC895" s="310" t="e">
        <f t="shared" ca="1" si="402"/>
        <v>#N/A</v>
      </c>
      <c r="AD895" s="323" t="e">
        <f t="shared" ca="1" si="403"/>
        <v>#N/A</v>
      </c>
      <c r="AE895" s="324">
        <f t="shared" ca="1" si="382"/>
        <v>-3.0597830144143097</v>
      </c>
      <c r="AG895" s="306">
        <f t="shared" ca="1" si="404"/>
        <v>6.300904806052281</v>
      </c>
      <c r="AH895" s="304">
        <f t="shared" ca="1" si="405"/>
        <v>-3.4814332171044766</v>
      </c>
    </row>
    <row r="896" spans="1:34" x14ac:dyDescent="0.2">
      <c r="A896" s="347">
        <f t="shared" ca="1" si="383"/>
        <v>1E-4</v>
      </c>
      <c r="B896" s="304">
        <f t="shared" ca="1" si="384"/>
        <v>12.059199999999837</v>
      </c>
      <c r="D896" s="306">
        <f t="shared" ca="1" si="385"/>
        <v>-0.26126208037022625</v>
      </c>
      <c r="E896" s="307">
        <f t="shared" ca="1" si="386"/>
        <v>-6.3382973228436956</v>
      </c>
      <c r="F896" s="304">
        <f t="shared" ca="1" si="387"/>
        <v>6.3436795968433763</v>
      </c>
      <c r="G896" s="306">
        <f t="shared" ca="1" si="388"/>
        <v>3.9017550856774053</v>
      </c>
      <c r="H896" s="307">
        <f t="shared" ca="1" si="389"/>
        <v>-51.848281447731416</v>
      </c>
      <c r="I896" s="304">
        <f t="shared" ca="1" si="390"/>
        <v>51.994884189040938</v>
      </c>
      <c r="J896" s="306">
        <f t="shared" ca="1" si="391"/>
        <v>56.288824373840264</v>
      </c>
      <c r="K896" s="307">
        <f t="shared" ca="1" si="392"/>
        <v>-3.0649678108675964</v>
      </c>
      <c r="L896" s="304">
        <f t="shared" ca="1" si="377"/>
        <v>56.372207488005017</v>
      </c>
      <c r="M896" s="306">
        <f t="shared" ca="1" si="393"/>
        <v>-1.4956845852057117</v>
      </c>
      <c r="N896" s="304">
        <f t="shared" ca="1" si="394"/>
        <v>-85.696414215062447</v>
      </c>
      <c r="P896" s="310">
        <f t="shared" ca="1" si="395"/>
        <v>23</v>
      </c>
      <c r="Q896" s="304">
        <f t="shared" ca="1" si="396"/>
        <v>0</v>
      </c>
      <c r="R896" s="306">
        <f t="shared" ca="1" si="397"/>
        <v>0</v>
      </c>
      <c r="S896" s="307">
        <f t="shared" ca="1" si="398"/>
        <v>2.0843000000000003</v>
      </c>
      <c r="T896" s="304">
        <f t="shared" ca="1" si="378"/>
        <v>20.446983000000003</v>
      </c>
      <c r="U896" s="311">
        <f t="shared" ca="1" si="379"/>
        <v>0</v>
      </c>
      <c r="V896" s="306">
        <f t="shared" ca="1" si="380"/>
        <v>1.2253755161040698</v>
      </c>
      <c r="W896" s="304">
        <f t="shared" ca="1" si="381"/>
        <v>7.2567105287692097</v>
      </c>
      <c r="Y896" s="314" t="str">
        <f t="shared" ca="1" si="399"/>
        <v/>
      </c>
      <c r="Z896" s="315" t="str">
        <f t="shared" ca="1" si="400"/>
        <v/>
      </c>
      <c r="AA896" s="316" t="str">
        <f t="shared" ca="1" si="401"/>
        <v/>
      </c>
      <c r="AC896" s="310" t="e">
        <f t="shared" ca="1" si="402"/>
        <v>#N/A</v>
      </c>
      <c r="AD896" s="323" t="e">
        <f t="shared" ca="1" si="403"/>
        <v>#N/A</v>
      </c>
      <c r="AE896" s="324">
        <f t="shared" ca="1" si="382"/>
        <v>-3.0649678108675964</v>
      </c>
      <c r="AG896" s="306">
        <f t="shared" ca="1" si="404"/>
        <v>6.3008196625344528</v>
      </c>
      <c r="AH896" s="304">
        <f t="shared" ca="1" si="405"/>
        <v>-3.4815194029638317</v>
      </c>
    </row>
    <row r="897" spans="1:34" x14ac:dyDescent="0.2">
      <c r="A897" s="347">
        <f t="shared" ca="1" si="383"/>
        <v>1E-4</v>
      </c>
      <c r="B897" s="304">
        <f t="shared" ca="1" si="384"/>
        <v>12.059299999999837</v>
      </c>
      <c r="D897" s="306">
        <f t="shared" ca="1" si="385"/>
        <v>-0.26126363245845957</v>
      </c>
      <c r="E897" s="307">
        <f t="shared" ca="1" si="386"/>
        <v>-6.3382110100944384</v>
      </c>
      <c r="F897" s="304">
        <f t="shared" ca="1" si="387"/>
        <v>6.3435934212501159</v>
      </c>
      <c r="G897" s="306">
        <f t="shared" ca="1" si="388"/>
        <v>3.9017289593141595</v>
      </c>
      <c r="H897" s="307">
        <f t="shared" ca="1" si="389"/>
        <v>-51.848915268832428</v>
      </c>
      <c r="I897" s="304">
        <f t="shared" ca="1" si="390"/>
        <v>51.995514262544951</v>
      </c>
      <c r="J897" s="306">
        <f t="shared" ca="1" si="391"/>
        <v>56.288824373840264</v>
      </c>
      <c r="K897" s="307">
        <f t="shared" ca="1" si="392"/>
        <v>-3.0701526707034246</v>
      </c>
      <c r="L897" s="304">
        <f t="shared" ca="1" si="377"/>
        <v>56.37248962756977</v>
      </c>
      <c r="M897" s="306">
        <f t="shared" ca="1" si="393"/>
        <v>-1.4956860010077047</v>
      </c>
      <c r="N897" s="304">
        <f t="shared" ca="1" si="394"/>
        <v>-85.696495334541268</v>
      </c>
      <c r="P897" s="310">
        <f t="shared" ca="1" si="395"/>
        <v>23</v>
      </c>
      <c r="Q897" s="304">
        <f t="shared" ca="1" si="396"/>
        <v>0</v>
      </c>
      <c r="R897" s="306">
        <f t="shared" ca="1" si="397"/>
        <v>0</v>
      </c>
      <c r="S897" s="307">
        <f t="shared" ca="1" si="398"/>
        <v>2.0843000000000003</v>
      </c>
      <c r="T897" s="304">
        <f t="shared" ca="1" si="378"/>
        <v>20.446983000000003</v>
      </c>
      <c r="U897" s="311">
        <f t="shared" ca="1" si="379"/>
        <v>0</v>
      </c>
      <c r="V897" s="306">
        <f t="shared" ca="1" si="380"/>
        <v>1.2253761514442791</v>
      </c>
      <c r="W897" s="304">
        <f t="shared" ca="1" si="381"/>
        <v>7.25689016592586</v>
      </c>
      <c r="Y897" s="314" t="str">
        <f t="shared" ca="1" si="399"/>
        <v/>
      </c>
      <c r="Z897" s="315" t="str">
        <f t="shared" ca="1" si="400"/>
        <v/>
      </c>
      <c r="AA897" s="316" t="str">
        <f t="shared" ca="1" si="401"/>
        <v/>
      </c>
      <c r="AC897" s="310" t="e">
        <f t="shared" ca="1" si="402"/>
        <v>#N/A</v>
      </c>
      <c r="AD897" s="323" t="e">
        <f t="shared" ca="1" si="403"/>
        <v>#N/A</v>
      </c>
      <c r="AE897" s="324">
        <f t="shared" ca="1" si="382"/>
        <v>-3.0701526707034246</v>
      </c>
      <c r="AG897" s="306">
        <f t="shared" ca="1" si="404"/>
        <v>6.3007345189719501</v>
      </c>
      <c r="AH897" s="304">
        <f t="shared" ca="1" si="405"/>
        <v>-3.4816055888160098</v>
      </c>
    </row>
    <row r="898" spans="1:34" x14ac:dyDescent="0.2">
      <c r="A898" s="347">
        <f t="shared" ca="1" si="383"/>
        <v>1E-4</v>
      </c>
      <c r="B898" s="304">
        <f t="shared" ca="1" si="384"/>
        <v>12.059399999999837</v>
      </c>
      <c r="D898" s="306">
        <f t="shared" ca="1" si="385"/>
        <v>-0.26126518445431218</v>
      </c>
      <c r="E898" s="307">
        <f t="shared" ca="1" si="386"/>
        <v>-6.3381246973524661</v>
      </c>
      <c r="F898" s="304">
        <f t="shared" ca="1" si="387"/>
        <v>6.3435072456644388</v>
      </c>
      <c r="G898" s="306">
        <f t="shared" ca="1" si="388"/>
        <v>3.9017028327957139</v>
      </c>
      <c r="H898" s="307">
        <f t="shared" ca="1" si="389"/>
        <v>-51.849549081302165</v>
      </c>
      <c r="I898" s="304">
        <f t="shared" ca="1" si="390"/>
        <v>51.996144327534601</v>
      </c>
      <c r="J898" s="306">
        <f t="shared" ca="1" si="391"/>
        <v>56.288824373840264</v>
      </c>
      <c r="K898" s="307">
        <f t="shared" ca="1" si="392"/>
        <v>-3.0753375939209313</v>
      </c>
      <c r="L898" s="304">
        <f t="shared" ca="1" si="377"/>
        <v>56.372772246055256</v>
      </c>
      <c r="M898" s="306">
        <f t="shared" ca="1" si="393"/>
        <v>-1.4956874167659053</v>
      </c>
      <c r="N898" s="304">
        <f t="shared" ca="1" si="394"/>
        <v>-85.696576451510978</v>
      </c>
      <c r="P898" s="310">
        <f t="shared" ca="1" si="395"/>
        <v>23</v>
      </c>
      <c r="Q898" s="304">
        <f t="shared" ca="1" si="396"/>
        <v>0</v>
      </c>
      <c r="R898" s="306">
        <f t="shared" ca="1" si="397"/>
        <v>0</v>
      </c>
      <c r="S898" s="307">
        <f t="shared" ca="1" si="398"/>
        <v>2.0843000000000003</v>
      </c>
      <c r="T898" s="304">
        <f t="shared" ca="1" si="378"/>
        <v>20.446983000000003</v>
      </c>
      <c r="U898" s="311">
        <f t="shared" ca="1" si="379"/>
        <v>0</v>
      </c>
      <c r="V898" s="306">
        <f t="shared" ca="1" si="380"/>
        <v>1.2253767867925847</v>
      </c>
      <c r="W898" s="304">
        <f t="shared" ca="1" si="381"/>
        <v>7.2570698030673855</v>
      </c>
      <c r="Y898" s="314" t="str">
        <f t="shared" ca="1" si="399"/>
        <v/>
      </c>
      <c r="Z898" s="315" t="str">
        <f t="shared" ca="1" si="400"/>
        <v/>
      </c>
      <c r="AA898" s="316" t="str">
        <f t="shared" ca="1" si="401"/>
        <v/>
      </c>
      <c r="AC898" s="310" t="e">
        <f t="shared" ca="1" si="402"/>
        <v>#N/A</v>
      </c>
      <c r="AD898" s="323" t="e">
        <f t="shared" ca="1" si="403"/>
        <v>#N/A</v>
      </c>
      <c r="AE898" s="324">
        <f t="shared" ca="1" si="382"/>
        <v>-3.0753375939209313</v>
      </c>
      <c r="AG898" s="306">
        <f t="shared" ca="1" si="404"/>
        <v>6.3006493753648165</v>
      </c>
      <c r="AH898" s="304">
        <f t="shared" ca="1" si="405"/>
        <v>-3.4816917746609697</v>
      </c>
    </row>
    <row r="899" spans="1:34" x14ac:dyDescent="0.2">
      <c r="A899" s="347">
        <f t="shared" ca="1" si="383"/>
        <v>1E-4</v>
      </c>
      <c r="B899" s="304">
        <f t="shared" ca="1" si="384"/>
        <v>12.059499999999836</v>
      </c>
      <c r="D899" s="306">
        <f t="shared" ca="1" si="385"/>
        <v>-0.26126673635778569</v>
      </c>
      <c r="E899" s="307">
        <f t="shared" ca="1" si="386"/>
        <v>-6.3380383846178177</v>
      </c>
      <c r="F899" s="304">
        <f t="shared" ca="1" si="387"/>
        <v>6.343421070086384</v>
      </c>
      <c r="G899" s="306">
        <f t="shared" ca="1" si="388"/>
        <v>3.9016767061220783</v>
      </c>
      <c r="H899" s="307">
        <f t="shared" ca="1" si="389"/>
        <v>-51.850182885140626</v>
      </c>
      <c r="I899" s="304">
        <f t="shared" ca="1" si="390"/>
        <v>51.996774384009875</v>
      </c>
      <c r="J899" s="306">
        <f t="shared" ca="1" si="391"/>
        <v>56.288824373840264</v>
      </c>
      <c r="K899" s="307">
        <f t="shared" ca="1" si="392"/>
        <v>-3.0805225805192533</v>
      </c>
      <c r="L899" s="304">
        <f t="shared" ca="1" si="377"/>
        <v>56.373055343471698</v>
      </c>
      <c r="M899" s="306">
        <f t="shared" ca="1" si="393"/>
        <v>-1.4956888324803157</v>
      </c>
      <c r="N899" s="304">
        <f t="shared" ca="1" si="394"/>
        <v>-85.696657565971691</v>
      </c>
      <c r="P899" s="310">
        <f t="shared" ca="1" si="395"/>
        <v>23</v>
      </c>
      <c r="Q899" s="304">
        <f t="shared" ca="1" si="396"/>
        <v>0</v>
      </c>
      <c r="R899" s="306">
        <f t="shared" ca="1" si="397"/>
        <v>0</v>
      </c>
      <c r="S899" s="307">
        <f t="shared" ca="1" si="398"/>
        <v>2.0843000000000003</v>
      </c>
      <c r="T899" s="304">
        <f t="shared" ca="1" si="378"/>
        <v>20.446983000000003</v>
      </c>
      <c r="U899" s="311">
        <f t="shared" ca="1" si="379"/>
        <v>0</v>
      </c>
      <c r="V899" s="306">
        <f t="shared" ca="1" si="380"/>
        <v>1.2253774221489864</v>
      </c>
      <c r="W899" s="304">
        <f t="shared" ca="1" si="381"/>
        <v>7.257249440193692</v>
      </c>
      <c r="Y899" s="314" t="str">
        <f t="shared" ca="1" si="399"/>
        <v/>
      </c>
      <c r="Z899" s="315" t="str">
        <f t="shared" ca="1" si="400"/>
        <v/>
      </c>
      <c r="AA899" s="316" t="str">
        <f t="shared" ca="1" si="401"/>
        <v/>
      </c>
      <c r="AC899" s="310" t="e">
        <f t="shared" ca="1" si="402"/>
        <v>#N/A</v>
      </c>
      <c r="AD899" s="323" t="e">
        <f t="shared" ca="1" si="403"/>
        <v>#N/A</v>
      </c>
      <c r="AE899" s="324">
        <f t="shared" ca="1" si="382"/>
        <v>-3.0805225805192533</v>
      </c>
      <c r="AG899" s="306">
        <f t="shared" ca="1" si="404"/>
        <v>6.3005642317130945</v>
      </c>
      <c r="AH899" s="304">
        <f t="shared" ca="1" si="405"/>
        <v>-3.4817779604986732</v>
      </c>
    </row>
    <row r="900" spans="1:34" x14ac:dyDescent="0.2">
      <c r="A900" s="347">
        <f t="shared" ca="1" si="383"/>
        <v>1E-4</v>
      </c>
      <c r="B900" s="304">
        <f t="shared" ca="1" si="384"/>
        <v>12.059599999999836</v>
      </c>
      <c r="D900" s="306">
        <f t="shared" ca="1" si="385"/>
        <v>-0.26126828816888109</v>
      </c>
      <c r="E900" s="307">
        <f t="shared" ca="1" si="386"/>
        <v>-6.3379520718905393</v>
      </c>
      <c r="F900" s="304">
        <f t="shared" ca="1" si="387"/>
        <v>6.3433348945159969</v>
      </c>
      <c r="G900" s="306">
        <f t="shared" ca="1" si="388"/>
        <v>3.9016505792932614</v>
      </c>
      <c r="H900" s="307">
        <f t="shared" ca="1" si="389"/>
        <v>-51.850816680347812</v>
      </c>
      <c r="I900" s="304">
        <f t="shared" ca="1" si="390"/>
        <v>51.997404431970779</v>
      </c>
      <c r="J900" s="306">
        <f t="shared" ca="1" si="391"/>
        <v>56.288824373840264</v>
      </c>
      <c r="K900" s="307">
        <f t="shared" ca="1" si="392"/>
        <v>-3.0857076304975277</v>
      </c>
      <c r="L900" s="304">
        <f t="shared" ref="L900:L963" ca="1" si="406">SQRT(pos_x^2+pos_z^2)</f>
        <v>56.373338919829337</v>
      </c>
      <c r="M900" s="306">
        <f t="shared" ca="1" si="393"/>
        <v>-1.495690248150938</v>
      </c>
      <c r="N900" s="304">
        <f t="shared" ca="1" si="394"/>
        <v>-85.696738677923534</v>
      </c>
      <c r="P900" s="310">
        <f t="shared" ca="1" si="395"/>
        <v>23</v>
      </c>
      <c r="Q900" s="304">
        <f t="shared" ca="1" si="396"/>
        <v>0</v>
      </c>
      <c r="R900" s="306">
        <f t="shared" ca="1" si="397"/>
        <v>0</v>
      </c>
      <c r="S900" s="307">
        <f t="shared" ca="1" si="398"/>
        <v>2.0843000000000003</v>
      </c>
      <c r="T900" s="304">
        <f t="shared" ref="T900:T963" ca="1" si="407">m*g</f>
        <v>20.446983000000003</v>
      </c>
      <c r="U900" s="311">
        <f t="shared" ref="U900:U963" ca="1" si="408">IF(pos_xz&lt;L_rampe,Poids*COS(Beta),0)</f>
        <v>0</v>
      </c>
      <c r="V900" s="306">
        <f t="shared" ref="V900:V963" ca="1" si="409">Rho_moyen*(20000-Alt_rampe-pos_z)/(20000+Alt_rampe+pos_z)</f>
        <v>1.2253780575134836</v>
      </c>
      <c r="W900" s="304">
        <f t="shared" ref="W900:W963" ca="1" si="410">1/2*Rho*Sref*Cx*vit_xz^2</f>
        <v>7.2574290773046997</v>
      </c>
      <c r="Y900" s="314" t="str">
        <f t="shared" ca="1" si="399"/>
        <v/>
      </c>
      <c r="Z900" s="315" t="str">
        <f t="shared" ca="1" si="400"/>
        <v/>
      </c>
      <c r="AA900" s="316" t="str">
        <f t="shared" ca="1" si="401"/>
        <v/>
      </c>
      <c r="AC900" s="310" t="e">
        <f t="shared" ca="1" si="402"/>
        <v>#N/A</v>
      </c>
      <c r="AD900" s="323" t="e">
        <f t="shared" ca="1" si="403"/>
        <v>#N/A</v>
      </c>
      <c r="AE900" s="324">
        <f t="shared" ref="AE900:AE963" ca="1" si="411">IF(t&lt;T_para, pos_z, NA())</f>
        <v>-3.0857076304975277</v>
      </c>
      <c r="AG900" s="306">
        <f t="shared" ca="1" si="404"/>
        <v>6.3004790880168322</v>
      </c>
      <c r="AH900" s="304">
        <f t="shared" ca="1" si="405"/>
        <v>-3.4818641463290749</v>
      </c>
    </row>
    <row r="901" spans="1:34" x14ac:dyDescent="0.2">
      <c r="A901" s="347">
        <f t="shared" ref="A901:A964" ca="1" si="412">IF(B900+0.01&lt;=T_ini+ROUNDUP(Temps_fin_propu,0), 0.01, IF(K900&gt;0, 0.1, 0.0001))</f>
        <v>1E-4</v>
      </c>
      <c r="B901" s="304">
        <f t="shared" ref="B901:B964" ca="1" si="413">B900+pas</f>
        <v>12.059699999999836</v>
      </c>
      <c r="D901" s="306">
        <f t="shared" ref="D901:D964" ca="1" si="414">IF(AND(L900&lt;L_rampe,Poussee&lt;Poids*SIN(M900)),0,(-W900+Poussee)/m*COS(M900)-U900/m*SIN(M900))</f>
        <v>-0.26126983988759911</v>
      </c>
      <c r="E901" s="307">
        <f t="shared" ref="E901:E964" ca="1" si="415">IF(AND(L900&lt;L_rampe,Poussee&lt;Poids*SIN(M900)),0,(-W900+Poussee)/m*SIN(M900)+U900/m*COS(M900)-Poids/m)</f>
        <v>-6.3378657591706684</v>
      </c>
      <c r="F901" s="304">
        <f t="shared" ref="F901:F964" ca="1" si="416">SQRT(acc_x^2+acc_z^2)</f>
        <v>6.3432487189533155</v>
      </c>
      <c r="G901" s="306">
        <f t="shared" ref="G901:G964" ca="1" si="417">G900+acc_x*pas</f>
        <v>3.9016244523092727</v>
      </c>
      <c r="H901" s="307">
        <f t="shared" ref="H901:H964" ca="1" si="418">H900+acc_z*pas</f>
        <v>-51.85145046692373</v>
      </c>
      <c r="I901" s="304">
        <f t="shared" ref="I901:I964" ca="1" si="419">SQRT(vit_x^2+vit_z^2)</f>
        <v>51.998034471417306</v>
      </c>
      <c r="J901" s="306">
        <f t="shared" ref="J901:J964" ca="1" si="420">J900+0.5*(vit_x+G900)*pas*(K900&gt;=0)</f>
        <v>56.288824373840264</v>
      </c>
      <c r="K901" s="307">
        <f t="shared" ref="K901:K964" ca="1" si="421">K900+0.5*(vit_z+H900)*pas</f>
        <v>-3.0908927438548912</v>
      </c>
      <c r="L901" s="304">
        <f t="shared" ca="1" si="406"/>
        <v>56.373622975138375</v>
      </c>
      <c r="M901" s="306">
        <f t="shared" ref="M901:M964" ca="1" si="422">IF(AND(L900&gt;L_rampe,G901&gt;0),ATAN2(G901,H901),$M$4)</f>
        <v>-1.4956916637777742</v>
      </c>
      <c r="N901" s="304">
        <f t="shared" ref="N901:N964" ca="1" si="423">DEGREES(Beta)</f>
        <v>-85.696819787366607</v>
      </c>
      <c r="P901" s="310">
        <f t="shared" ref="P901:P964" ca="1" si="424">MATCH(t-pas/2-T_ini,CdP_t)</f>
        <v>23</v>
      </c>
      <c r="Q901" s="304">
        <f t="shared" ref="Q901:Q964" ca="1" si="425">(INDEX(CdP,2,i_P+1)-INDEX(CdP,2,i_P+0))/(INDEX(CdP,1,i_P+1)-INDEX(CdP,1,i_P+0))*(t-pas/2-T_ini-INDEX(CdP,1,i_P+0))+INDEX(CdP,2,i_P+0)</f>
        <v>0</v>
      </c>
      <c r="R901" s="306">
        <f t="shared" ref="R901:R964" ca="1" si="426">Poussee/(g*ISP)</f>
        <v>0</v>
      </c>
      <c r="S901" s="307">
        <f t="shared" ref="S901:S964" ca="1" si="427">S900-Débit*pas</f>
        <v>2.0843000000000003</v>
      </c>
      <c r="T901" s="304">
        <f t="shared" ca="1" si="407"/>
        <v>20.446983000000003</v>
      </c>
      <c r="U901" s="311">
        <f t="shared" ca="1" si="408"/>
        <v>0</v>
      </c>
      <c r="V901" s="306">
        <f t="shared" ca="1" si="409"/>
        <v>1.225378692886077</v>
      </c>
      <c r="W901" s="304">
        <f t="shared" ca="1" si="410"/>
        <v>7.2576087144003258</v>
      </c>
      <c r="Y901" s="314" t="str">
        <f t="shared" ref="Y901:Y964" ca="1" si="428">IF(AND(pos_z&lt;=0,K900&gt;0),"Impact balistique","") &amp; IF(AND(H902&lt;0,vit_z&gt;=0),"Apogée","") &amp; IF(AND(Poussee=0,Q900&gt;0),"Fin de propulsion","") &amp; IF(AND(L902&gt;L_rampe,pos_xz&lt;=L_rampe),"Sortie de rampe","")</f>
        <v/>
      </c>
      <c r="Z901" s="315" t="str">
        <f t="shared" ref="Z901:Z964" ca="1" si="429">IF(ABS(t-T_para)&lt;pas/2,"Para","")</f>
        <v/>
      </c>
      <c r="AA901" s="316" t="str">
        <f t="shared" ref="AA901:AA964" ca="1" si="430">IF(ABS(t-T_satellite)&lt;pas/2,"Satellite","")</f>
        <v/>
      </c>
      <c r="AC901" s="310" t="e">
        <f t="shared" ref="AC901:AC964" ca="1" si="431">IF(ABS(t-ROUND(t,0))&lt;0.001,t,NA())</f>
        <v>#N/A</v>
      </c>
      <c r="AD901" s="323" t="e">
        <f t="shared" ref="AD901:AD964" ca="1" si="432">IF(ABS(t-ROUND(t,0))&lt;0.001,pos_x,NA())</f>
        <v>#N/A</v>
      </c>
      <c r="AE901" s="324">
        <f t="shared" ca="1" si="411"/>
        <v>-3.0908927438548912</v>
      </c>
      <c r="AG901" s="306">
        <f t="shared" ref="AG901:AG964" ca="1" si="433">IF(AND(L900&lt;L_rampe,Poussee&lt;Poids*SIN(M900)),0,(-W900+Poussee)/m-Poids*SIN(M900)/m)</f>
        <v>6.3003939442760704</v>
      </c>
      <c r="AH901" s="304">
        <f t="shared" ref="AH901:AH964" ca="1" si="434">IF(AND(L900&lt;L_rampe,Poussee&lt;Poids*SIN(M900)), g*SIN(M900), (-W900+Poussee)/m)</f>
        <v>-3.4819503321521368</v>
      </c>
    </row>
    <row r="902" spans="1:34" x14ac:dyDescent="0.2">
      <c r="A902" s="347">
        <f t="shared" ca="1" si="412"/>
        <v>1E-4</v>
      </c>
      <c r="B902" s="304">
        <f t="shared" ca="1" si="413"/>
        <v>12.059799999999836</v>
      </c>
      <c r="D902" s="306">
        <f t="shared" ca="1" si="414"/>
        <v>-0.26127139151394119</v>
      </c>
      <c r="E902" s="307">
        <f t="shared" ca="1" si="415"/>
        <v>-6.337779446458244</v>
      </c>
      <c r="F902" s="304">
        <f t="shared" ca="1" si="416"/>
        <v>6.34316254339838</v>
      </c>
      <c r="G902" s="306">
        <f t="shared" ca="1" si="417"/>
        <v>3.9015983251701214</v>
      </c>
      <c r="H902" s="307">
        <f t="shared" ca="1" si="418"/>
        <v>-51.852084244868372</v>
      </c>
      <c r="I902" s="304">
        <f t="shared" ca="1" si="419"/>
        <v>51.998664502349449</v>
      </c>
      <c r="J902" s="306">
        <f t="shared" ca="1" si="420"/>
        <v>56.288824373840264</v>
      </c>
      <c r="K902" s="307">
        <f t="shared" ca="1" si="421"/>
        <v>-3.0960779205904809</v>
      </c>
      <c r="L902" s="304">
        <f t="shared" ca="1" si="406"/>
        <v>56.373907509409015</v>
      </c>
      <c r="M902" s="306">
        <f t="shared" ca="1" si="422"/>
        <v>-1.4956930793608265</v>
      </c>
      <c r="N902" s="304">
        <f t="shared" ca="1" si="423"/>
        <v>-85.696900894301052</v>
      </c>
      <c r="P902" s="310">
        <f t="shared" ca="1" si="424"/>
        <v>23</v>
      </c>
      <c r="Q902" s="304">
        <f t="shared" ca="1" si="425"/>
        <v>0</v>
      </c>
      <c r="R902" s="306">
        <f t="shared" ca="1" si="426"/>
        <v>0</v>
      </c>
      <c r="S902" s="307">
        <f t="shared" ca="1" si="427"/>
        <v>2.0843000000000003</v>
      </c>
      <c r="T902" s="304">
        <f t="shared" ca="1" si="407"/>
        <v>20.446983000000003</v>
      </c>
      <c r="U902" s="311">
        <f t="shared" ca="1" si="408"/>
        <v>0</v>
      </c>
      <c r="V902" s="306">
        <f t="shared" ca="1" si="409"/>
        <v>1.2253793282667658</v>
      </c>
      <c r="W902" s="304">
        <f t="shared" ca="1" si="410"/>
        <v>7.25778835148048</v>
      </c>
      <c r="Y902" s="314" t="str">
        <f t="shared" ca="1" si="428"/>
        <v/>
      </c>
      <c r="Z902" s="315" t="str">
        <f t="shared" ca="1" si="429"/>
        <v/>
      </c>
      <c r="AA902" s="316" t="str">
        <f t="shared" ca="1" si="430"/>
        <v/>
      </c>
      <c r="AC902" s="310" t="e">
        <f t="shared" ca="1" si="431"/>
        <v>#N/A</v>
      </c>
      <c r="AD902" s="323" t="e">
        <f t="shared" ca="1" si="432"/>
        <v>#N/A</v>
      </c>
      <c r="AE902" s="324">
        <f t="shared" ca="1" si="411"/>
        <v>-3.0960779205904809</v>
      </c>
      <c r="AG902" s="306">
        <f t="shared" ca="1" si="433"/>
        <v>6.3003088004908534</v>
      </c>
      <c r="AH902" s="304">
        <f t="shared" ca="1" si="434"/>
        <v>-3.4820365179678188</v>
      </c>
    </row>
    <row r="903" spans="1:34" x14ac:dyDescent="0.2">
      <c r="A903" s="347">
        <f t="shared" ca="1" si="412"/>
        <v>1E-4</v>
      </c>
      <c r="B903" s="304">
        <f t="shared" ca="1" si="413"/>
        <v>12.059899999999836</v>
      </c>
      <c r="D903" s="306">
        <f t="shared" ca="1" si="414"/>
        <v>-0.26127294304790771</v>
      </c>
      <c r="E903" s="307">
        <f t="shared" ca="1" si="415"/>
        <v>-6.3376931337533104</v>
      </c>
      <c r="F903" s="304">
        <f t="shared" ca="1" si="416"/>
        <v>6.3430763678512321</v>
      </c>
      <c r="G903" s="306">
        <f t="shared" ca="1" si="417"/>
        <v>3.9015721978758164</v>
      </c>
      <c r="H903" s="307">
        <f t="shared" ca="1" si="418"/>
        <v>-51.852718014181747</v>
      </c>
      <c r="I903" s="304">
        <f t="shared" ca="1" si="419"/>
        <v>51.999294524767215</v>
      </c>
      <c r="J903" s="306">
        <f t="shared" ca="1" si="420"/>
        <v>56.288824373840264</v>
      </c>
      <c r="K903" s="307">
        <f t="shared" ca="1" si="421"/>
        <v>-3.1012631607034336</v>
      </c>
      <c r="L903" s="304">
        <f t="shared" ca="1" si="406"/>
        <v>56.374192522651448</v>
      </c>
      <c r="M903" s="306">
        <f t="shared" ca="1" si="422"/>
        <v>-1.4956944949000972</v>
      </c>
      <c r="N903" s="304">
        <f t="shared" ca="1" si="423"/>
        <v>-85.696981998726997</v>
      </c>
      <c r="P903" s="310">
        <f t="shared" ca="1" si="424"/>
        <v>23</v>
      </c>
      <c r="Q903" s="304">
        <f t="shared" ca="1" si="425"/>
        <v>0</v>
      </c>
      <c r="R903" s="306">
        <f t="shared" ca="1" si="426"/>
        <v>0</v>
      </c>
      <c r="S903" s="307">
        <f t="shared" ca="1" si="427"/>
        <v>2.0843000000000003</v>
      </c>
      <c r="T903" s="304">
        <f t="shared" ca="1" si="407"/>
        <v>20.446983000000003</v>
      </c>
      <c r="U903" s="311">
        <f t="shared" ca="1" si="408"/>
        <v>0</v>
      </c>
      <c r="V903" s="306">
        <f t="shared" ca="1" si="409"/>
        <v>1.2253799636555507</v>
      </c>
      <c r="W903" s="304">
        <f t="shared" ca="1" si="410"/>
        <v>7.2579679885450847</v>
      </c>
      <c r="Y903" s="314" t="str">
        <f t="shared" ca="1" si="428"/>
        <v/>
      </c>
      <c r="Z903" s="315" t="str">
        <f t="shared" ca="1" si="429"/>
        <v/>
      </c>
      <c r="AA903" s="316" t="str">
        <f t="shared" ca="1" si="430"/>
        <v/>
      </c>
      <c r="AC903" s="310" t="e">
        <f t="shared" ca="1" si="431"/>
        <v>#N/A</v>
      </c>
      <c r="AD903" s="323" t="e">
        <f t="shared" ca="1" si="432"/>
        <v>#N/A</v>
      </c>
      <c r="AE903" s="324">
        <f t="shared" ca="1" si="411"/>
        <v>-3.1012631607034336</v>
      </c>
      <c r="AG903" s="306">
        <f t="shared" ca="1" si="433"/>
        <v>6.3002236566612293</v>
      </c>
      <c r="AH903" s="304">
        <f t="shared" ca="1" si="434"/>
        <v>-3.4821227037760778</v>
      </c>
    </row>
    <row r="904" spans="1:34" x14ac:dyDescent="0.2">
      <c r="A904" s="347">
        <f t="shared" ca="1" si="412"/>
        <v>1E-4</v>
      </c>
      <c r="B904" s="304">
        <f t="shared" ca="1" si="413"/>
        <v>12.059999999999835</v>
      </c>
      <c r="D904" s="306">
        <f t="shared" ca="1" si="414"/>
        <v>-0.26127449448949941</v>
      </c>
      <c r="E904" s="307">
        <f t="shared" ca="1" si="415"/>
        <v>-6.3376068210559051</v>
      </c>
      <c r="F904" s="304">
        <f t="shared" ca="1" si="416"/>
        <v>6.3429901923119099</v>
      </c>
      <c r="G904" s="306">
        <f t="shared" ca="1" si="417"/>
        <v>3.9015460704263676</v>
      </c>
      <c r="H904" s="307">
        <f t="shared" ca="1" si="418"/>
        <v>-51.853351774863853</v>
      </c>
      <c r="I904" s="304">
        <f t="shared" ca="1" si="419"/>
        <v>51.999924538670591</v>
      </c>
      <c r="J904" s="306">
        <f t="shared" ca="1" si="420"/>
        <v>56.288824373840264</v>
      </c>
      <c r="K904" s="307">
        <f t="shared" ca="1" si="421"/>
        <v>-3.1064484641928858</v>
      </c>
      <c r="L904" s="304">
        <f t="shared" ca="1" si="406"/>
        <v>56.374478014875848</v>
      </c>
      <c r="M904" s="306">
        <f t="shared" ca="1" si="422"/>
        <v>-1.495695910395588</v>
      </c>
      <c r="N904" s="304">
        <f t="shared" ca="1" si="423"/>
        <v>-85.697063100644542</v>
      </c>
      <c r="P904" s="310">
        <f t="shared" ca="1" si="424"/>
        <v>23</v>
      </c>
      <c r="Q904" s="304">
        <f t="shared" ca="1" si="425"/>
        <v>0</v>
      </c>
      <c r="R904" s="306">
        <f t="shared" ca="1" si="426"/>
        <v>0</v>
      </c>
      <c r="S904" s="307">
        <f t="shared" ca="1" si="427"/>
        <v>2.0843000000000003</v>
      </c>
      <c r="T904" s="304">
        <f t="shared" ca="1" si="407"/>
        <v>20.446983000000003</v>
      </c>
      <c r="U904" s="311">
        <f t="shared" ca="1" si="408"/>
        <v>0</v>
      </c>
      <c r="V904" s="306">
        <f t="shared" ca="1" si="409"/>
        <v>1.2253805990524309</v>
      </c>
      <c r="W904" s="304">
        <f t="shared" ca="1" si="410"/>
        <v>7.2581476255940522</v>
      </c>
      <c r="Y904" s="314" t="str">
        <f t="shared" ca="1" si="428"/>
        <v/>
      </c>
      <c r="Z904" s="315" t="str">
        <f t="shared" ca="1" si="429"/>
        <v/>
      </c>
      <c r="AA904" s="316" t="str">
        <f t="shared" ca="1" si="430"/>
        <v/>
      </c>
      <c r="AC904" s="310" t="e">
        <f t="shared" ca="1" si="431"/>
        <v>#N/A</v>
      </c>
      <c r="AD904" s="323" t="e">
        <f t="shared" ca="1" si="432"/>
        <v>#N/A</v>
      </c>
      <c r="AE904" s="324">
        <f t="shared" ca="1" si="411"/>
        <v>-3.1064484641928858</v>
      </c>
      <c r="AG904" s="306">
        <f t="shared" ca="1" si="433"/>
        <v>6.3001385127872354</v>
      </c>
      <c r="AH904" s="304">
        <f t="shared" ca="1" si="434"/>
        <v>-3.4822088895768766</v>
      </c>
    </row>
    <row r="905" spans="1:34" x14ac:dyDescent="0.2">
      <c r="A905" s="347">
        <f t="shared" ca="1" si="412"/>
        <v>1E-4</v>
      </c>
      <c r="B905" s="304">
        <f t="shared" ca="1" si="413"/>
        <v>12.060099999999835</v>
      </c>
      <c r="D905" s="306">
        <f t="shared" ca="1" si="414"/>
        <v>-0.2612760458387185</v>
      </c>
      <c r="E905" s="307">
        <f t="shared" ca="1" si="415"/>
        <v>-6.3375205083660697</v>
      </c>
      <c r="F905" s="304">
        <f t="shared" ca="1" si="416"/>
        <v>6.342904016780456</v>
      </c>
      <c r="G905" s="306">
        <f t="shared" ca="1" si="417"/>
        <v>3.9015199428217837</v>
      </c>
      <c r="H905" s="307">
        <f t="shared" ca="1" si="418"/>
        <v>-51.853985526914691</v>
      </c>
      <c r="I905" s="304">
        <f t="shared" ca="1" si="419"/>
        <v>52.000554544059568</v>
      </c>
      <c r="J905" s="306">
        <f t="shared" ca="1" si="420"/>
        <v>56.288824373840264</v>
      </c>
      <c r="K905" s="307">
        <f t="shared" ca="1" si="421"/>
        <v>-3.1116338310579748</v>
      </c>
      <c r="L905" s="304">
        <f t="shared" ca="1" si="406"/>
        <v>56.374763986092383</v>
      </c>
      <c r="M905" s="306">
        <f t="shared" ca="1" si="422"/>
        <v>-1.4956973258473014</v>
      </c>
      <c r="N905" s="304">
        <f t="shared" ca="1" si="423"/>
        <v>-85.697144200053827</v>
      </c>
      <c r="P905" s="310">
        <f t="shared" ca="1" si="424"/>
        <v>23</v>
      </c>
      <c r="Q905" s="304">
        <f t="shared" ca="1" si="425"/>
        <v>0</v>
      </c>
      <c r="R905" s="306">
        <f t="shared" ca="1" si="426"/>
        <v>0</v>
      </c>
      <c r="S905" s="307">
        <f t="shared" ca="1" si="427"/>
        <v>2.0843000000000003</v>
      </c>
      <c r="T905" s="304">
        <f t="shared" ca="1" si="407"/>
        <v>20.446983000000003</v>
      </c>
      <c r="U905" s="311">
        <f t="shared" ca="1" si="408"/>
        <v>0</v>
      </c>
      <c r="V905" s="306">
        <f t="shared" ca="1" si="409"/>
        <v>1.2253812344574062</v>
      </c>
      <c r="W905" s="304">
        <f t="shared" ca="1" si="410"/>
        <v>7.2583272626272874</v>
      </c>
      <c r="Y905" s="314" t="str">
        <f t="shared" ca="1" si="428"/>
        <v/>
      </c>
      <c r="Z905" s="315" t="str">
        <f t="shared" ca="1" si="429"/>
        <v/>
      </c>
      <c r="AA905" s="316" t="str">
        <f t="shared" ca="1" si="430"/>
        <v/>
      </c>
      <c r="AC905" s="310" t="e">
        <f t="shared" ca="1" si="431"/>
        <v>#N/A</v>
      </c>
      <c r="AD905" s="323" t="e">
        <f t="shared" ca="1" si="432"/>
        <v>#N/A</v>
      </c>
      <c r="AE905" s="324">
        <f t="shared" ca="1" si="411"/>
        <v>-3.1116338310579748</v>
      </c>
      <c r="AG905" s="306">
        <f t="shared" ca="1" si="433"/>
        <v>6.3000533688689178</v>
      </c>
      <c r="AH905" s="304">
        <f t="shared" ca="1" si="434"/>
        <v>-3.4822950753701729</v>
      </c>
    </row>
    <row r="906" spans="1:34" x14ac:dyDescent="0.2">
      <c r="A906" s="347">
        <f t="shared" ca="1" si="412"/>
        <v>1E-4</v>
      </c>
      <c r="B906" s="304">
        <f t="shared" ca="1" si="413"/>
        <v>12.060199999999835</v>
      </c>
      <c r="D906" s="306">
        <f t="shared" ca="1" si="414"/>
        <v>-0.26127759709556425</v>
      </c>
      <c r="E906" s="307">
        <f t="shared" ca="1" si="415"/>
        <v>-6.3374341956838496</v>
      </c>
      <c r="F906" s="304">
        <f t="shared" ca="1" si="416"/>
        <v>6.3428178412569149</v>
      </c>
      <c r="G906" s="306">
        <f t="shared" ca="1" si="417"/>
        <v>3.9014938150620742</v>
      </c>
      <c r="H906" s="307">
        <f t="shared" ca="1" si="418"/>
        <v>-51.854619270334261</v>
      </c>
      <c r="I906" s="304">
        <f t="shared" ca="1" si="419"/>
        <v>52.001184540934155</v>
      </c>
      <c r="J906" s="306">
        <f t="shared" ca="1" si="420"/>
        <v>56.288824373840264</v>
      </c>
      <c r="K906" s="307">
        <f t="shared" ca="1" si="421"/>
        <v>-3.1168192612978372</v>
      </c>
      <c r="L906" s="304">
        <f t="shared" ca="1" si="406"/>
        <v>56.375050436311199</v>
      </c>
      <c r="M906" s="306">
        <f t="shared" ca="1" si="422"/>
        <v>-1.4956987412552394</v>
      </c>
      <c r="N906" s="304">
        <f t="shared" ca="1" si="423"/>
        <v>-85.697225296954969</v>
      </c>
      <c r="P906" s="310">
        <f t="shared" ca="1" si="424"/>
        <v>23</v>
      </c>
      <c r="Q906" s="304">
        <f t="shared" ca="1" si="425"/>
        <v>0</v>
      </c>
      <c r="R906" s="306">
        <f t="shared" ca="1" si="426"/>
        <v>0</v>
      </c>
      <c r="S906" s="307">
        <f t="shared" ca="1" si="427"/>
        <v>2.0843000000000003</v>
      </c>
      <c r="T906" s="304">
        <f t="shared" ca="1" si="407"/>
        <v>20.446983000000003</v>
      </c>
      <c r="U906" s="311">
        <f t="shared" ca="1" si="408"/>
        <v>0</v>
      </c>
      <c r="V906" s="306">
        <f t="shared" ca="1" si="409"/>
        <v>1.2253818698704773</v>
      </c>
      <c r="W906" s="304">
        <f t="shared" ca="1" si="410"/>
        <v>7.2585068996447211</v>
      </c>
      <c r="Y906" s="314" t="str">
        <f t="shared" ca="1" si="428"/>
        <v/>
      </c>
      <c r="Z906" s="315" t="str">
        <f t="shared" ca="1" si="429"/>
        <v/>
      </c>
      <c r="AA906" s="316" t="str">
        <f t="shared" ca="1" si="430"/>
        <v/>
      </c>
      <c r="AC906" s="310" t="e">
        <f t="shared" ca="1" si="431"/>
        <v>#N/A</v>
      </c>
      <c r="AD906" s="323" t="e">
        <f t="shared" ca="1" si="432"/>
        <v>#N/A</v>
      </c>
      <c r="AE906" s="324">
        <f t="shared" ca="1" si="411"/>
        <v>-3.1168192612978372</v>
      </c>
      <c r="AG906" s="306">
        <f t="shared" ca="1" si="433"/>
        <v>6.2999682249063289</v>
      </c>
      <c r="AH906" s="304">
        <f t="shared" ca="1" si="434"/>
        <v>-3.4823812611559211</v>
      </c>
    </row>
    <row r="907" spans="1:34" x14ac:dyDescent="0.2">
      <c r="A907" s="347">
        <f t="shared" ca="1" si="412"/>
        <v>1E-4</v>
      </c>
      <c r="B907" s="304">
        <f t="shared" ca="1" si="413"/>
        <v>12.060299999999835</v>
      </c>
      <c r="D907" s="306">
        <f t="shared" ca="1" si="414"/>
        <v>-0.26127914826003862</v>
      </c>
      <c r="E907" s="307">
        <f t="shared" ca="1" si="415"/>
        <v>-6.3373478830092793</v>
      </c>
      <c r="F907" s="304">
        <f t="shared" ca="1" si="416"/>
        <v>6.3427316657413222</v>
      </c>
      <c r="G907" s="306">
        <f t="shared" ca="1" si="417"/>
        <v>3.9014676871472482</v>
      </c>
      <c r="H907" s="307">
        <f t="shared" ca="1" si="418"/>
        <v>-51.855253005122563</v>
      </c>
      <c r="I907" s="304">
        <f t="shared" ca="1" si="419"/>
        <v>52.001814529294329</v>
      </c>
      <c r="J907" s="306">
        <f t="shared" ca="1" si="420"/>
        <v>56.288824373840264</v>
      </c>
      <c r="K907" s="307">
        <f t="shared" ca="1" si="421"/>
        <v>-3.1220047549116101</v>
      </c>
      <c r="L907" s="304">
        <f t="shared" ca="1" si="406"/>
        <v>56.375337365542428</v>
      </c>
      <c r="M907" s="306">
        <f t="shared" ca="1" si="422"/>
        <v>-1.4957001566194041</v>
      </c>
      <c r="N907" s="304">
        <f t="shared" ca="1" si="423"/>
        <v>-85.697306391348079</v>
      </c>
      <c r="P907" s="310">
        <f t="shared" ca="1" si="424"/>
        <v>23</v>
      </c>
      <c r="Q907" s="304">
        <f t="shared" ca="1" si="425"/>
        <v>0</v>
      </c>
      <c r="R907" s="306">
        <f t="shared" ca="1" si="426"/>
        <v>0</v>
      </c>
      <c r="S907" s="307">
        <f t="shared" ca="1" si="427"/>
        <v>2.0843000000000003</v>
      </c>
      <c r="T907" s="304">
        <f t="shared" ca="1" si="407"/>
        <v>20.446983000000003</v>
      </c>
      <c r="U907" s="311">
        <f t="shared" ca="1" si="408"/>
        <v>0</v>
      </c>
      <c r="V907" s="306">
        <f t="shared" ca="1" si="409"/>
        <v>1.2253825052916436</v>
      </c>
      <c r="W907" s="304">
        <f t="shared" ca="1" si="410"/>
        <v>7.2586865366462563</v>
      </c>
      <c r="Y907" s="314" t="str">
        <f t="shared" ca="1" si="428"/>
        <v/>
      </c>
      <c r="Z907" s="315" t="str">
        <f t="shared" ca="1" si="429"/>
        <v/>
      </c>
      <c r="AA907" s="316" t="str">
        <f t="shared" ca="1" si="430"/>
        <v/>
      </c>
      <c r="AC907" s="310" t="e">
        <f t="shared" ca="1" si="431"/>
        <v>#N/A</v>
      </c>
      <c r="AD907" s="323" t="e">
        <f t="shared" ca="1" si="432"/>
        <v>#N/A</v>
      </c>
      <c r="AE907" s="324">
        <f t="shared" ca="1" si="411"/>
        <v>-3.1220047549116101</v>
      </c>
      <c r="AG907" s="306">
        <f t="shared" ca="1" si="433"/>
        <v>6.2998830808995034</v>
      </c>
      <c r="AH907" s="304">
        <f t="shared" ca="1" si="434"/>
        <v>-3.4824674469340882</v>
      </c>
    </row>
    <row r="908" spans="1:34" x14ac:dyDescent="0.2">
      <c r="A908" s="347">
        <f t="shared" ca="1" si="412"/>
        <v>1E-4</v>
      </c>
      <c r="B908" s="304">
        <f t="shared" ca="1" si="413"/>
        <v>12.060399999999834</v>
      </c>
      <c r="D908" s="306">
        <f t="shared" ca="1" si="414"/>
        <v>-0.26128069933214182</v>
      </c>
      <c r="E908" s="307">
        <f t="shared" ca="1" si="415"/>
        <v>-6.3372615703424042</v>
      </c>
      <c r="F908" s="304">
        <f t="shared" ca="1" si="416"/>
        <v>6.3426454902337221</v>
      </c>
      <c r="G908" s="306">
        <f t="shared" ca="1" si="417"/>
        <v>3.9014415590773148</v>
      </c>
      <c r="H908" s="307">
        <f t="shared" ca="1" si="418"/>
        <v>-51.855886731279597</v>
      </c>
      <c r="I908" s="304">
        <f t="shared" ca="1" si="419"/>
        <v>52.002444509140098</v>
      </c>
      <c r="J908" s="306">
        <f t="shared" ca="1" si="420"/>
        <v>56.288824373840264</v>
      </c>
      <c r="K908" s="307">
        <f t="shared" ca="1" si="421"/>
        <v>-3.1271903118984303</v>
      </c>
      <c r="L908" s="304">
        <f t="shared" ca="1" si="406"/>
        <v>56.375624773796218</v>
      </c>
      <c r="M908" s="306">
        <f t="shared" ca="1" si="422"/>
        <v>-1.4957015719397975</v>
      </c>
      <c r="N908" s="304">
        <f t="shared" ca="1" si="423"/>
        <v>-85.697387483233271</v>
      </c>
      <c r="P908" s="310">
        <f t="shared" ca="1" si="424"/>
        <v>23</v>
      </c>
      <c r="Q908" s="304">
        <f t="shared" ca="1" si="425"/>
        <v>0</v>
      </c>
      <c r="R908" s="306">
        <f t="shared" ca="1" si="426"/>
        <v>0</v>
      </c>
      <c r="S908" s="307">
        <f t="shared" ca="1" si="427"/>
        <v>2.0843000000000003</v>
      </c>
      <c r="T908" s="304">
        <f t="shared" ca="1" si="407"/>
        <v>20.446983000000003</v>
      </c>
      <c r="U908" s="311">
        <f t="shared" ca="1" si="408"/>
        <v>0</v>
      </c>
      <c r="V908" s="306">
        <f t="shared" ca="1" si="409"/>
        <v>1.225383140720905</v>
      </c>
      <c r="W908" s="304">
        <f t="shared" ca="1" si="410"/>
        <v>7.2588661736318132</v>
      </c>
      <c r="Y908" s="314" t="str">
        <f t="shared" ca="1" si="428"/>
        <v/>
      </c>
      <c r="Z908" s="315" t="str">
        <f t="shared" ca="1" si="429"/>
        <v/>
      </c>
      <c r="AA908" s="316" t="str">
        <f t="shared" ca="1" si="430"/>
        <v/>
      </c>
      <c r="AC908" s="310" t="e">
        <f t="shared" ca="1" si="431"/>
        <v>#N/A</v>
      </c>
      <c r="AD908" s="323" t="e">
        <f t="shared" ca="1" si="432"/>
        <v>#N/A</v>
      </c>
      <c r="AE908" s="324">
        <f t="shared" ca="1" si="411"/>
        <v>-3.1271903118984303</v>
      </c>
      <c r="AG908" s="306">
        <f t="shared" ca="1" si="433"/>
        <v>6.2997979368484867</v>
      </c>
      <c r="AH908" s="304">
        <f t="shared" ca="1" si="434"/>
        <v>-3.4825536327046276</v>
      </c>
    </row>
    <row r="909" spans="1:34" x14ac:dyDescent="0.2">
      <c r="A909" s="347">
        <f t="shared" ca="1" si="412"/>
        <v>1E-4</v>
      </c>
      <c r="B909" s="304">
        <f t="shared" ca="1" si="413"/>
        <v>12.060499999999834</v>
      </c>
      <c r="D909" s="306">
        <f t="shared" ca="1" si="414"/>
        <v>-0.26128225031187596</v>
      </c>
      <c r="E909" s="307">
        <f t="shared" ca="1" si="415"/>
        <v>-6.3371752576832634</v>
      </c>
      <c r="F909" s="304">
        <f t="shared" ca="1" si="416"/>
        <v>6.342559314734153</v>
      </c>
      <c r="G909" s="306">
        <f t="shared" ca="1" si="417"/>
        <v>3.9014154308522837</v>
      </c>
      <c r="H909" s="307">
        <f t="shared" ca="1" si="418"/>
        <v>-51.856520448805362</v>
      </c>
      <c r="I909" s="304">
        <f t="shared" ca="1" si="419"/>
        <v>52.003074480471447</v>
      </c>
      <c r="J909" s="306">
        <f t="shared" ca="1" si="420"/>
        <v>56.288824373840264</v>
      </c>
      <c r="K909" s="307">
        <f t="shared" ca="1" si="421"/>
        <v>-3.1323759322574345</v>
      </c>
      <c r="L909" s="304">
        <f t="shared" ca="1" si="406"/>
        <v>56.375912661082658</v>
      </c>
      <c r="M909" s="306">
        <f t="shared" ca="1" si="422"/>
        <v>-1.4957029872164218</v>
      </c>
      <c r="N909" s="304">
        <f t="shared" ca="1" si="423"/>
        <v>-85.697468572610688</v>
      </c>
      <c r="P909" s="310">
        <f t="shared" ca="1" si="424"/>
        <v>23</v>
      </c>
      <c r="Q909" s="304">
        <f t="shared" ca="1" si="425"/>
        <v>0</v>
      </c>
      <c r="R909" s="306">
        <f t="shared" ca="1" si="426"/>
        <v>0</v>
      </c>
      <c r="S909" s="307">
        <f t="shared" ca="1" si="427"/>
        <v>2.0843000000000003</v>
      </c>
      <c r="T909" s="304">
        <f t="shared" ca="1" si="407"/>
        <v>20.446983000000003</v>
      </c>
      <c r="U909" s="311">
        <f t="shared" ca="1" si="408"/>
        <v>0</v>
      </c>
      <c r="V909" s="306">
        <f t="shared" ca="1" si="409"/>
        <v>1.2253837761582618</v>
      </c>
      <c r="W909" s="304">
        <f t="shared" ca="1" si="410"/>
        <v>7.2590458106013047</v>
      </c>
      <c r="Y909" s="314" t="str">
        <f t="shared" ca="1" si="428"/>
        <v/>
      </c>
      <c r="Z909" s="315" t="str">
        <f t="shared" ca="1" si="429"/>
        <v/>
      </c>
      <c r="AA909" s="316" t="str">
        <f t="shared" ca="1" si="430"/>
        <v/>
      </c>
      <c r="AC909" s="310" t="e">
        <f t="shared" ca="1" si="431"/>
        <v>#N/A</v>
      </c>
      <c r="AD909" s="323" t="e">
        <f t="shared" ca="1" si="432"/>
        <v>#N/A</v>
      </c>
      <c r="AE909" s="324">
        <f t="shared" ca="1" si="411"/>
        <v>-3.1323759322574345</v>
      </c>
      <c r="AG909" s="306">
        <f t="shared" ca="1" si="433"/>
        <v>6.2997127927533274</v>
      </c>
      <c r="AH909" s="304">
        <f t="shared" ca="1" si="434"/>
        <v>-3.4826398184675011</v>
      </c>
    </row>
    <row r="910" spans="1:34" x14ac:dyDescent="0.2">
      <c r="A910" s="347">
        <f t="shared" ca="1" si="412"/>
        <v>1E-4</v>
      </c>
      <c r="B910" s="304">
        <f t="shared" ca="1" si="413"/>
        <v>12.060599999999834</v>
      </c>
      <c r="D910" s="306">
        <f t="shared" ca="1" si="414"/>
        <v>-0.26128380119924099</v>
      </c>
      <c r="E910" s="307">
        <f t="shared" ca="1" si="415"/>
        <v>-6.3370889450318977</v>
      </c>
      <c r="F910" s="304">
        <f t="shared" ca="1" si="416"/>
        <v>6.3424731392426583</v>
      </c>
      <c r="G910" s="306">
        <f t="shared" ca="1" si="417"/>
        <v>3.9013893024721638</v>
      </c>
      <c r="H910" s="307">
        <f t="shared" ca="1" si="418"/>
        <v>-51.857154157699867</v>
      </c>
      <c r="I910" s="304">
        <f t="shared" ca="1" si="419"/>
        <v>52.003704443288392</v>
      </c>
      <c r="J910" s="306">
        <f t="shared" ca="1" si="420"/>
        <v>56.288824373840264</v>
      </c>
      <c r="K910" s="307">
        <f t="shared" ca="1" si="421"/>
        <v>-3.1375616159877597</v>
      </c>
      <c r="L910" s="304">
        <f t="shared" ca="1" si="406"/>
        <v>56.376201027411859</v>
      </c>
      <c r="M910" s="306">
        <f t="shared" ca="1" si="422"/>
        <v>-1.4957044024492792</v>
      </c>
      <c r="N910" s="304">
        <f t="shared" ca="1" si="423"/>
        <v>-85.697549659480444</v>
      </c>
      <c r="P910" s="310">
        <f t="shared" ca="1" si="424"/>
        <v>23</v>
      </c>
      <c r="Q910" s="304">
        <f t="shared" ca="1" si="425"/>
        <v>0</v>
      </c>
      <c r="R910" s="306">
        <f t="shared" ca="1" si="426"/>
        <v>0</v>
      </c>
      <c r="S910" s="307">
        <f t="shared" ca="1" si="427"/>
        <v>2.0843000000000003</v>
      </c>
      <c r="T910" s="304">
        <f t="shared" ca="1" si="407"/>
        <v>20.446983000000003</v>
      </c>
      <c r="U910" s="311">
        <f t="shared" ca="1" si="408"/>
        <v>0</v>
      </c>
      <c r="V910" s="306">
        <f t="shared" ca="1" si="409"/>
        <v>1.2253844116037134</v>
      </c>
      <c r="W910" s="304">
        <f t="shared" ca="1" si="410"/>
        <v>7.2592254475546492</v>
      </c>
      <c r="Y910" s="314" t="str">
        <f t="shared" ca="1" si="428"/>
        <v/>
      </c>
      <c r="Z910" s="315" t="str">
        <f t="shared" ca="1" si="429"/>
        <v/>
      </c>
      <c r="AA910" s="316" t="str">
        <f t="shared" ca="1" si="430"/>
        <v/>
      </c>
      <c r="AC910" s="310" t="e">
        <f t="shared" ca="1" si="431"/>
        <v>#N/A</v>
      </c>
      <c r="AD910" s="323" t="e">
        <f t="shared" ca="1" si="432"/>
        <v>#N/A</v>
      </c>
      <c r="AE910" s="324">
        <f t="shared" ca="1" si="411"/>
        <v>-3.1375616159877597</v>
      </c>
      <c r="AG910" s="306">
        <f t="shared" ca="1" si="433"/>
        <v>6.2996276486140665</v>
      </c>
      <c r="AH910" s="304">
        <f t="shared" ca="1" si="434"/>
        <v>-3.4827260042226666</v>
      </c>
    </row>
    <row r="911" spans="1:34" x14ac:dyDescent="0.2">
      <c r="A911" s="347">
        <f t="shared" ca="1" si="412"/>
        <v>1E-4</v>
      </c>
      <c r="B911" s="304">
        <f t="shared" ca="1" si="413"/>
        <v>12.060699999999834</v>
      </c>
      <c r="D911" s="306">
        <f t="shared" ca="1" si="414"/>
        <v>-0.26128535199423814</v>
      </c>
      <c r="E911" s="307">
        <f t="shared" ca="1" si="415"/>
        <v>-6.3370026323883479</v>
      </c>
      <c r="F911" s="304">
        <f t="shared" ca="1" si="416"/>
        <v>6.3423869637592762</v>
      </c>
      <c r="G911" s="306">
        <f t="shared" ca="1" si="417"/>
        <v>3.9013631739369643</v>
      </c>
      <c r="H911" s="307">
        <f t="shared" ca="1" si="418"/>
        <v>-51.857787857963103</v>
      </c>
      <c r="I911" s="304">
        <f t="shared" ca="1" si="419"/>
        <v>52.00433439759091</v>
      </c>
      <c r="J911" s="306">
        <f t="shared" ca="1" si="420"/>
        <v>56.288824373840264</v>
      </c>
      <c r="K911" s="307">
        <f t="shared" ca="1" si="421"/>
        <v>-3.1427473630885427</v>
      </c>
      <c r="L911" s="304">
        <f t="shared" ca="1" si="406"/>
        <v>56.376489872793904</v>
      </c>
      <c r="M911" s="306">
        <f t="shared" ca="1" si="422"/>
        <v>-1.4957058176383715</v>
      </c>
      <c r="N911" s="304">
        <f t="shared" ca="1" si="423"/>
        <v>-85.697630743842652</v>
      </c>
      <c r="P911" s="310">
        <f t="shared" ca="1" si="424"/>
        <v>23</v>
      </c>
      <c r="Q911" s="304">
        <f t="shared" ca="1" si="425"/>
        <v>0</v>
      </c>
      <c r="R911" s="306">
        <f t="shared" ca="1" si="426"/>
        <v>0</v>
      </c>
      <c r="S911" s="307">
        <f t="shared" ca="1" si="427"/>
        <v>2.0843000000000003</v>
      </c>
      <c r="T911" s="304">
        <f t="shared" ca="1" si="407"/>
        <v>20.446983000000003</v>
      </c>
      <c r="U911" s="311">
        <f t="shared" ca="1" si="408"/>
        <v>0</v>
      </c>
      <c r="V911" s="306">
        <f t="shared" ca="1" si="409"/>
        <v>1.2253850470572598</v>
      </c>
      <c r="W911" s="304">
        <f t="shared" ca="1" si="410"/>
        <v>7.2594050844917568</v>
      </c>
      <c r="Y911" s="314" t="str">
        <f t="shared" ca="1" si="428"/>
        <v/>
      </c>
      <c r="Z911" s="315" t="str">
        <f t="shared" ca="1" si="429"/>
        <v/>
      </c>
      <c r="AA911" s="316" t="str">
        <f t="shared" ca="1" si="430"/>
        <v/>
      </c>
      <c r="AC911" s="310" t="e">
        <f t="shared" ca="1" si="431"/>
        <v>#N/A</v>
      </c>
      <c r="AD911" s="323" t="e">
        <f t="shared" ca="1" si="432"/>
        <v>#N/A</v>
      </c>
      <c r="AE911" s="324">
        <f t="shared" ca="1" si="411"/>
        <v>-3.1427473630885427</v>
      </c>
      <c r="AG911" s="306">
        <f t="shared" ca="1" si="433"/>
        <v>6.2995425044307485</v>
      </c>
      <c r="AH911" s="304">
        <f t="shared" ca="1" si="434"/>
        <v>-3.482812189970085</v>
      </c>
    </row>
    <row r="912" spans="1:34" x14ac:dyDescent="0.2">
      <c r="A912" s="347">
        <f t="shared" ca="1" si="412"/>
        <v>1E-4</v>
      </c>
      <c r="B912" s="304">
        <f t="shared" ca="1" si="413"/>
        <v>12.060799999999833</v>
      </c>
      <c r="D912" s="306">
        <f t="shared" ca="1" si="414"/>
        <v>-0.26128690269686877</v>
      </c>
      <c r="E912" s="307">
        <f t="shared" ca="1" si="415"/>
        <v>-6.3369163197526559</v>
      </c>
      <c r="F912" s="304">
        <f t="shared" ca="1" si="416"/>
        <v>6.3423007882840485</v>
      </c>
      <c r="G912" s="306">
        <f t="shared" ca="1" si="417"/>
        <v>3.9013370452466947</v>
      </c>
      <c r="H912" s="307">
        <f t="shared" ca="1" si="418"/>
        <v>-51.858421549595079</v>
      </c>
      <c r="I912" s="304">
        <f t="shared" ca="1" si="419"/>
        <v>52.004964343379001</v>
      </c>
      <c r="J912" s="306">
        <f t="shared" ca="1" si="420"/>
        <v>56.288824373840264</v>
      </c>
      <c r="K912" s="307">
        <f t="shared" ca="1" si="421"/>
        <v>-3.1479331735589207</v>
      </c>
      <c r="L912" s="304">
        <f t="shared" ca="1" si="406"/>
        <v>56.376779197238882</v>
      </c>
      <c r="M912" s="306">
        <f t="shared" ca="1" si="422"/>
        <v>-1.4957072327837013</v>
      </c>
      <c r="N912" s="304">
        <f t="shared" ca="1" si="423"/>
        <v>-85.697711825697453</v>
      </c>
      <c r="P912" s="310">
        <f t="shared" ca="1" si="424"/>
        <v>23</v>
      </c>
      <c r="Q912" s="304">
        <f t="shared" ca="1" si="425"/>
        <v>0</v>
      </c>
      <c r="R912" s="306">
        <f t="shared" ca="1" si="426"/>
        <v>0</v>
      </c>
      <c r="S912" s="307">
        <f t="shared" ca="1" si="427"/>
        <v>2.0843000000000003</v>
      </c>
      <c r="T912" s="304">
        <f t="shared" ca="1" si="407"/>
        <v>20.446983000000003</v>
      </c>
      <c r="U912" s="311">
        <f t="shared" ca="1" si="408"/>
        <v>0</v>
      </c>
      <c r="V912" s="306">
        <f t="shared" ca="1" si="409"/>
        <v>1.2253856825189007</v>
      </c>
      <c r="W912" s="304">
        <f t="shared" ca="1" si="410"/>
        <v>7.2595847214125442</v>
      </c>
      <c r="Y912" s="314" t="str">
        <f t="shared" ca="1" si="428"/>
        <v/>
      </c>
      <c r="Z912" s="315" t="str">
        <f t="shared" ca="1" si="429"/>
        <v/>
      </c>
      <c r="AA912" s="316" t="str">
        <f t="shared" ca="1" si="430"/>
        <v/>
      </c>
      <c r="AC912" s="310" t="e">
        <f t="shared" ca="1" si="431"/>
        <v>#N/A</v>
      </c>
      <c r="AD912" s="323" t="e">
        <f t="shared" ca="1" si="432"/>
        <v>#N/A</v>
      </c>
      <c r="AE912" s="324">
        <f t="shared" ca="1" si="411"/>
        <v>-3.1479331735589207</v>
      </c>
      <c r="AG912" s="306">
        <f t="shared" ca="1" si="433"/>
        <v>6.2994573602034203</v>
      </c>
      <c r="AH912" s="304">
        <f t="shared" ca="1" si="434"/>
        <v>-3.4828983757097136</v>
      </c>
    </row>
    <row r="913" spans="1:34" x14ac:dyDescent="0.2">
      <c r="A913" s="347">
        <f t="shared" ca="1" si="412"/>
        <v>1E-4</v>
      </c>
      <c r="B913" s="304">
        <f t="shared" ca="1" si="413"/>
        <v>12.060899999999833</v>
      </c>
      <c r="D913" s="306">
        <f t="shared" ca="1" si="414"/>
        <v>-0.26128845330713263</v>
      </c>
      <c r="E913" s="307">
        <f t="shared" ca="1" si="415"/>
        <v>-6.3368300071248624</v>
      </c>
      <c r="F913" s="304">
        <f t="shared" ca="1" si="416"/>
        <v>6.3422146128170178</v>
      </c>
      <c r="G913" s="306">
        <f t="shared" ca="1" si="417"/>
        <v>3.9013109164013637</v>
      </c>
      <c r="H913" s="307">
        <f t="shared" ca="1" si="418"/>
        <v>-51.859055232595793</v>
      </c>
      <c r="I913" s="304">
        <f t="shared" ca="1" si="419"/>
        <v>52.005594280652666</v>
      </c>
      <c r="J913" s="306">
        <f t="shared" ca="1" si="420"/>
        <v>56.288824373840264</v>
      </c>
      <c r="K913" s="307">
        <f t="shared" ca="1" si="421"/>
        <v>-3.1531190473980302</v>
      </c>
      <c r="L913" s="304">
        <f t="shared" ca="1" si="406"/>
        <v>56.37706900075684</v>
      </c>
      <c r="M913" s="306">
        <f t="shared" ca="1" si="422"/>
        <v>-1.4957086478852704</v>
      </c>
      <c r="N913" s="304">
        <f t="shared" ca="1" si="423"/>
        <v>-85.697792905044935</v>
      </c>
      <c r="P913" s="310">
        <f t="shared" ca="1" si="424"/>
        <v>23</v>
      </c>
      <c r="Q913" s="304">
        <f t="shared" ca="1" si="425"/>
        <v>0</v>
      </c>
      <c r="R913" s="306">
        <f t="shared" ca="1" si="426"/>
        <v>0</v>
      </c>
      <c r="S913" s="307">
        <f t="shared" ca="1" si="427"/>
        <v>2.0843000000000003</v>
      </c>
      <c r="T913" s="304">
        <f t="shared" ca="1" si="407"/>
        <v>20.446983000000003</v>
      </c>
      <c r="U913" s="311">
        <f t="shared" ca="1" si="408"/>
        <v>0</v>
      </c>
      <c r="V913" s="306">
        <f t="shared" ca="1" si="409"/>
        <v>1.2253863179886368</v>
      </c>
      <c r="W913" s="304">
        <f t="shared" ca="1" si="410"/>
        <v>7.2597643583169287</v>
      </c>
      <c r="Y913" s="314" t="str">
        <f t="shared" ca="1" si="428"/>
        <v/>
      </c>
      <c r="Z913" s="315" t="str">
        <f t="shared" ca="1" si="429"/>
        <v/>
      </c>
      <c r="AA913" s="316" t="str">
        <f t="shared" ca="1" si="430"/>
        <v/>
      </c>
      <c r="AC913" s="310" t="e">
        <f t="shared" ca="1" si="431"/>
        <v>#N/A</v>
      </c>
      <c r="AD913" s="323" t="e">
        <f t="shared" ca="1" si="432"/>
        <v>#N/A</v>
      </c>
      <c r="AE913" s="324">
        <f t="shared" ca="1" si="411"/>
        <v>-3.1531190473980302</v>
      </c>
      <c r="AG913" s="306">
        <f t="shared" ca="1" si="433"/>
        <v>6.2993722159321202</v>
      </c>
      <c r="AH913" s="304">
        <f t="shared" ca="1" si="434"/>
        <v>-3.482984561441512</v>
      </c>
    </row>
    <row r="914" spans="1:34" x14ac:dyDescent="0.2">
      <c r="A914" s="347">
        <f t="shared" ca="1" si="412"/>
        <v>1E-4</v>
      </c>
      <c r="B914" s="304">
        <f t="shared" ca="1" si="413"/>
        <v>12.060999999999833</v>
      </c>
      <c r="D914" s="306">
        <f t="shared" ca="1" si="414"/>
        <v>-0.26129000382503198</v>
      </c>
      <c r="E914" s="307">
        <f t="shared" ca="1" si="415"/>
        <v>-6.3367436945050066</v>
      </c>
      <c r="F914" s="304">
        <f t="shared" ca="1" si="416"/>
        <v>6.3421284373582223</v>
      </c>
      <c r="G914" s="306">
        <f t="shared" ca="1" si="417"/>
        <v>3.9012847874009813</v>
      </c>
      <c r="H914" s="307">
        <f t="shared" ca="1" si="418"/>
        <v>-51.859688906965246</v>
      </c>
      <c r="I914" s="304">
        <f t="shared" ca="1" si="419"/>
        <v>52.006224209411904</v>
      </c>
      <c r="J914" s="306">
        <f t="shared" ca="1" si="420"/>
        <v>56.288824373840264</v>
      </c>
      <c r="K914" s="307">
        <f t="shared" ca="1" si="421"/>
        <v>-3.1583049846050084</v>
      </c>
      <c r="L914" s="304">
        <f t="shared" ca="1" si="406"/>
        <v>56.377359283357841</v>
      </c>
      <c r="M914" s="306">
        <f t="shared" ca="1" si="422"/>
        <v>-1.4957100629430808</v>
      </c>
      <c r="N914" s="304">
        <f t="shared" ca="1" si="423"/>
        <v>-85.697873981885238</v>
      </c>
      <c r="P914" s="310">
        <f t="shared" ca="1" si="424"/>
        <v>23</v>
      </c>
      <c r="Q914" s="304">
        <f t="shared" ca="1" si="425"/>
        <v>0</v>
      </c>
      <c r="R914" s="306">
        <f t="shared" ca="1" si="426"/>
        <v>0</v>
      </c>
      <c r="S914" s="307">
        <f t="shared" ca="1" si="427"/>
        <v>2.0843000000000003</v>
      </c>
      <c r="T914" s="304">
        <f t="shared" ca="1" si="407"/>
        <v>20.446983000000003</v>
      </c>
      <c r="U914" s="311">
        <f t="shared" ca="1" si="408"/>
        <v>0</v>
      </c>
      <c r="V914" s="306">
        <f t="shared" ca="1" si="409"/>
        <v>1.2253869534664674</v>
      </c>
      <c r="W914" s="304">
        <f t="shared" ca="1" si="410"/>
        <v>7.2599439952048241</v>
      </c>
      <c r="Y914" s="314" t="str">
        <f t="shared" ca="1" si="428"/>
        <v/>
      </c>
      <c r="Z914" s="315" t="str">
        <f t="shared" ca="1" si="429"/>
        <v/>
      </c>
      <c r="AA914" s="316" t="str">
        <f t="shared" ca="1" si="430"/>
        <v/>
      </c>
      <c r="AC914" s="310" t="e">
        <f t="shared" ca="1" si="431"/>
        <v>#N/A</v>
      </c>
      <c r="AD914" s="323" t="e">
        <f t="shared" ca="1" si="432"/>
        <v>#N/A</v>
      </c>
      <c r="AE914" s="324">
        <f t="shared" ca="1" si="411"/>
        <v>-3.1583049846050084</v>
      </c>
      <c r="AG914" s="306">
        <f t="shared" ca="1" si="433"/>
        <v>6.2992870716168987</v>
      </c>
      <c r="AH914" s="304">
        <f t="shared" ca="1" si="434"/>
        <v>-3.4830707471654407</v>
      </c>
    </row>
    <row r="915" spans="1:34" x14ac:dyDescent="0.2">
      <c r="A915" s="347">
        <f t="shared" ca="1" si="412"/>
        <v>1E-4</v>
      </c>
      <c r="B915" s="304">
        <f t="shared" ca="1" si="413"/>
        <v>12.061099999999833</v>
      </c>
      <c r="D915" s="306">
        <f t="shared" ca="1" si="414"/>
        <v>-0.26129155425056716</v>
      </c>
      <c r="E915" s="307">
        <f t="shared" ca="1" si="415"/>
        <v>-6.3366573818931302</v>
      </c>
      <c r="F915" s="304">
        <f t="shared" ca="1" si="416"/>
        <v>6.3420422619077028</v>
      </c>
      <c r="G915" s="306">
        <f t="shared" ca="1" si="417"/>
        <v>3.9012586582455562</v>
      </c>
      <c r="H915" s="307">
        <f t="shared" ca="1" si="418"/>
        <v>-51.860322572703438</v>
      </c>
      <c r="I915" s="304">
        <f t="shared" ca="1" si="419"/>
        <v>52.006854129656695</v>
      </c>
      <c r="J915" s="306">
        <f t="shared" ca="1" si="420"/>
        <v>56.288824373840264</v>
      </c>
      <c r="K915" s="307">
        <f t="shared" ca="1" si="421"/>
        <v>-3.1634909851789916</v>
      </c>
      <c r="L915" s="304">
        <f t="shared" ca="1" si="406"/>
        <v>56.377650045051915</v>
      </c>
      <c r="M915" s="306">
        <f t="shared" ca="1" si="422"/>
        <v>-1.495711477957135</v>
      </c>
      <c r="N915" s="304">
        <f t="shared" ca="1" si="423"/>
        <v>-85.697955056218504</v>
      </c>
      <c r="P915" s="310">
        <f t="shared" ca="1" si="424"/>
        <v>23</v>
      </c>
      <c r="Q915" s="304">
        <f t="shared" ca="1" si="425"/>
        <v>0</v>
      </c>
      <c r="R915" s="306">
        <f t="shared" ca="1" si="426"/>
        <v>0</v>
      </c>
      <c r="S915" s="307">
        <f t="shared" ca="1" si="427"/>
        <v>2.0843000000000003</v>
      </c>
      <c r="T915" s="304">
        <f t="shared" ca="1" si="407"/>
        <v>20.446983000000003</v>
      </c>
      <c r="U915" s="311">
        <f t="shared" ca="1" si="408"/>
        <v>0</v>
      </c>
      <c r="V915" s="306">
        <f t="shared" ca="1" si="409"/>
        <v>1.2253875889523922</v>
      </c>
      <c r="W915" s="304">
        <f t="shared" ca="1" si="410"/>
        <v>7.2601236320761418</v>
      </c>
      <c r="Y915" s="314" t="str">
        <f t="shared" ca="1" si="428"/>
        <v/>
      </c>
      <c r="Z915" s="315" t="str">
        <f t="shared" ca="1" si="429"/>
        <v/>
      </c>
      <c r="AA915" s="316" t="str">
        <f t="shared" ca="1" si="430"/>
        <v/>
      </c>
      <c r="AC915" s="310" t="e">
        <f t="shared" ca="1" si="431"/>
        <v>#N/A</v>
      </c>
      <c r="AD915" s="323" t="e">
        <f t="shared" ca="1" si="432"/>
        <v>#N/A</v>
      </c>
      <c r="AE915" s="324">
        <f t="shared" ca="1" si="411"/>
        <v>-3.1634909851789916</v>
      </c>
      <c r="AG915" s="306">
        <f t="shared" ca="1" si="433"/>
        <v>6.2992019272577942</v>
      </c>
      <c r="AH915" s="304">
        <f t="shared" ca="1" si="434"/>
        <v>-3.483156932881458</v>
      </c>
    </row>
    <row r="916" spans="1:34" x14ac:dyDescent="0.2">
      <c r="A916" s="347">
        <f t="shared" ca="1" si="412"/>
        <v>1E-4</v>
      </c>
      <c r="B916" s="304">
        <f t="shared" ca="1" si="413"/>
        <v>12.061199999999832</v>
      </c>
      <c r="D916" s="306">
        <f t="shared" ca="1" si="414"/>
        <v>-0.26129310458373883</v>
      </c>
      <c r="E916" s="307">
        <f t="shared" ca="1" si="415"/>
        <v>-6.3365710692892758</v>
      </c>
      <c r="F916" s="304">
        <f t="shared" ca="1" si="416"/>
        <v>6.3419560864655038</v>
      </c>
      <c r="G916" s="306">
        <f t="shared" ca="1" si="417"/>
        <v>3.9012325289350978</v>
      </c>
      <c r="H916" s="307">
        <f t="shared" ca="1" si="418"/>
        <v>-51.86095622981037</v>
      </c>
      <c r="I916" s="304">
        <f t="shared" ca="1" si="419"/>
        <v>52.007484041387045</v>
      </c>
      <c r="J916" s="306">
        <f t="shared" ca="1" si="420"/>
        <v>56.288824373840264</v>
      </c>
      <c r="K916" s="307">
        <f t="shared" ca="1" si="421"/>
        <v>-3.1686770491191174</v>
      </c>
      <c r="L916" s="304">
        <f t="shared" ca="1" si="406"/>
        <v>56.377941285849097</v>
      </c>
      <c r="M916" s="306">
        <f t="shared" ca="1" si="422"/>
        <v>-1.4957128929274348</v>
      </c>
      <c r="N916" s="304">
        <f t="shared" ca="1" si="423"/>
        <v>-85.698036128044819</v>
      </c>
      <c r="P916" s="310">
        <f t="shared" ca="1" si="424"/>
        <v>23</v>
      </c>
      <c r="Q916" s="304">
        <f t="shared" ca="1" si="425"/>
        <v>0</v>
      </c>
      <c r="R916" s="306">
        <f t="shared" ca="1" si="426"/>
        <v>0</v>
      </c>
      <c r="S916" s="307">
        <f t="shared" ca="1" si="427"/>
        <v>2.0843000000000003</v>
      </c>
      <c r="T916" s="304">
        <f t="shared" ca="1" si="407"/>
        <v>20.446983000000003</v>
      </c>
      <c r="U916" s="311">
        <f t="shared" ca="1" si="408"/>
        <v>0</v>
      </c>
      <c r="V916" s="306">
        <f t="shared" ca="1" si="409"/>
        <v>1.2253882244464116</v>
      </c>
      <c r="W916" s="304">
        <f t="shared" ca="1" si="410"/>
        <v>7.2603032689308016</v>
      </c>
      <c r="Y916" s="314" t="str">
        <f t="shared" ca="1" si="428"/>
        <v/>
      </c>
      <c r="Z916" s="315" t="str">
        <f t="shared" ca="1" si="429"/>
        <v/>
      </c>
      <c r="AA916" s="316" t="str">
        <f t="shared" ca="1" si="430"/>
        <v/>
      </c>
      <c r="AC916" s="310" t="e">
        <f t="shared" ca="1" si="431"/>
        <v>#N/A</v>
      </c>
      <c r="AD916" s="323" t="e">
        <f t="shared" ca="1" si="432"/>
        <v>#N/A</v>
      </c>
      <c r="AE916" s="324">
        <f t="shared" ca="1" si="411"/>
        <v>-3.1686770491191174</v>
      </c>
      <c r="AG916" s="306">
        <f t="shared" ca="1" si="433"/>
        <v>6.299116782854858</v>
      </c>
      <c r="AH916" s="304">
        <f t="shared" ca="1" si="434"/>
        <v>-3.4832431185895221</v>
      </c>
    </row>
    <row r="917" spans="1:34" x14ac:dyDescent="0.2">
      <c r="A917" s="347">
        <f t="shared" ca="1" si="412"/>
        <v>1E-4</v>
      </c>
      <c r="B917" s="304">
        <f t="shared" ca="1" si="413"/>
        <v>12.061299999999832</v>
      </c>
      <c r="D917" s="306">
        <f t="shared" ca="1" si="414"/>
        <v>-0.26129465482454839</v>
      </c>
      <c r="E917" s="307">
        <f t="shared" ca="1" si="415"/>
        <v>-6.3364847566934817</v>
      </c>
      <c r="F917" s="304">
        <f t="shared" ca="1" si="416"/>
        <v>6.3418699110316616</v>
      </c>
      <c r="G917" s="306">
        <f t="shared" ca="1" si="417"/>
        <v>3.9012063994696153</v>
      </c>
      <c r="H917" s="307">
        <f t="shared" ca="1" si="418"/>
        <v>-51.86158987828604</v>
      </c>
      <c r="I917" s="304">
        <f t="shared" ca="1" si="419"/>
        <v>52.008113944602947</v>
      </c>
      <c r="J917" s="306">
        <f t="shared" ca="1" si="420"/>
        <v>56.288824373840264</v>
      </c>
      <c r="K917" s="307">
        <f t="shared" ca="1" si="421"/>
        <v>-3.1738631764245224</v>
      </c>
      <c r="L917" s="304">
        <f t="shared" ca="1" si="406"/>
        <v>56.378233005759391</v>
      </c>
      <c r="M917" s="306">
        <f t="shared" ca="1" si="422"/>
        <v>-1.4957143078539825</v>
      </c>
      <c r="N917" s="304">
        <f t="shared" ca="1" si="423"/>
        <v>-85.698117197364311</v>
      </c>
      <c r="P917" s="310">
        <f t="shared" ca="1" si="424"/>
        <v>23</v>
      </c>
      <c r="Q917" s="304">
        <f t="shared" ca="1" si="425"/>
        <v>0</v>
      </c>
      <c r="R917" s="306">
        <f t="shared" ca="1" si="426"/>
        <v>0</v>
      </c>
      <c r="S917" s="307">
        <f t="shared" ca="1" si="427"/>
        <v>2.0843000000000003</v>
      </c>
      <c r="T917" s="304">
        <f t="shared" ca="1" si="407"/>
        <v>20.446983000000003</v>
      </c>
      <c r="U917" s="311">
        <f t="shared" ca="1" si="408"/>
        <v>0</v>
      </c>
      <c r="V917" s="306">
        <f t="shared" ca="1" si="409"/>
        <v>1.2253888599485254</v>
      </c>
      <c r="W917" s="304">
        <f t="shared" ca="1" si="410"/>
        <v>7.2604829057687157</v>
      </c>
      <c r="Y917" s="314" t="str">
        <f t="shared" ca="1" si="428"/>
        <v/>
      </c>
      <c r="Z917" s="315" t="str">
        <f t="shared" ca="1" si="429"/>
        <v/>
      </c>
      <c r="AA917" s="316" t="str">
        <f t="shared" ca="1" si="430"/>
        <v/>
      </c>
      <c r="AC917" s="310" t="e">
        <f t="shared" ca="1" si="431"/>
        <v>#N/A</v>
      </c>
      <c r="AD917" s="323" t="e">
        <f t="shared" ca="1" si="432"/>
        <v>#N/A</v>
      </c>
      <c r="AE917" s="324">
        <f t="shared" ca="1" si="411"/>
        <v>-3.1738631764245224</v>
      </c>
      <c r="AG917" s="306">
        <f t="shared" ca="1" si="433"/>
        <v>6.2990316384081275</v>
      </c>
      <c r="AH917" s="304">
        <f t="shared" ca="1" si="434"/>
        <v>-3.4833293042895939</v>
      </c>
    </row>
    <row r="918" spans="1:34" x14ac:dyDescent="0.2">
      <c r="A918" s="347">
        <f t="shared" ca="1" si="412"/>
        <v>1E-4</v>
      </c>
      <c r="B918" s="304">
        <f t="shared" ca="1" si="413"/>
        <v>12.061399999999832</v>
      </c>
      <c r="D918" s="306">
        <f t="shared" ca="1" si="414"/>
        <v>-0.26129620497299633</v>
      </c>
      <c r="E918" s="307">
        <f t="shared" ca="1" si="415"/>
        <v>-6.3363984441057895</v>
      </c>
      <c r="F918" s="304">
        <f t="shared" ca="1" si="416"/>
        <v>6.3417837356062181</v>
      </c>
      <c r="G918" s="306">
        <f t="shared" ca="1" si="417"/>
        <v>3.9011802698491183</v>
      </c>
      <c r="H918" s="307">
        <f t="shared" ca="1" si="418"/>
        <v>-51.862223518130449</v>
      </c>
      <c r="I918" s="304">
        <f t="shared" ca="1" si="419"/>
        <v>52.008743839304401</v>
      </c>
      <c r="J918" s="306">
        <f t="shared" ca="1" si="420"/>
        <v>56.288824373840264</v>
      </c>
      <c r="K918" s="307">
        <f t="shared" ca="1" si="421"/>
        <v>-3.1790493670943434</v>
      </c>
      <c r="L918" s="304">
        <f t="shared" ca="1" si="406"/>
        <v>56.378525204792794</v>
      </c>
      <c r="M918" s="306">
        <f t="shared" ca="1" si="422"/>
        <v>-1.4957157227367799</v>
      </c>
      <c r="N918" s="304">
        <f t="shared" ca="1" si="423"/>
        <v>-85.698198264177108</v>
      </c>
      <c r="P918" s="310">
        <f t="shared" ca="1" si="424"/>
        <v>23</v>
      </c>
      <c r="Q918" s="304">
        <f t="shared" ca="1" si="425"/>
        <v>0</v>
      </c>
      <c r="R918" s="306">
        <f t="shared" ca="1" si="426"/>
        <v>0</v>
      </c>
      <c r="S918" s="307">
        <f t="shared" ca="1" si="427"/>
        <v>2.0843000000000003</v>
      </c>
      <c r="T918" s="304">
        <f t="shared" ca="1" si="407"/>
        <v>20.446983000000003</v>
      </c>
      <c r="U918" s="311">
        <f t="shared" ca="1" si="408"/>
        <v>0</v>
      </c>
      <c r="V918" s="306">
        <f t="shared" ca="1" si="409"/>
        <v>1.2253894954587339</v>
      </c>
      <c r="W918" s="304">
        <f t="shared" ca="1" si="410"/>
        <v>7.2606625425898024</v>
      </c>
      <c r="Y918" s="314" t="str">
        <f t="shared" ca="1" si="428"/>
        <v/>
      </c>
      <c r="Z918" s="315" t="str">
        <f t="shared" ca="1" si="429"/>
        <v/>
      </c>
      <c r="AA918" s="316" t="str">
        <f t="shared" ca="1" si="430"/>
        <v/>
      </c>
      <c r="AC918" s="310" t="e">
        <f t="shared" ca="1" si="431"/>
        <v>#N/A</v>
      </c>
      <c r="AD918" s="323" t="e">
        <f t="shared" ca="1" si="432"/>
        <v>#N/A</v>
      </c>
      <c r="AE918" s="324">
        <f t="shared" ca="1" si="411"/>
        <v>-3.1790493670943434</v>
      </c>
      <c r="AG918" s="306">
        <f t="shared" ca="1" si="433"/>
        <v>6.2989464939176525</v>
      </c>
      <c r="AH918" s="304">
        <f t="shared" ca="1" si="434"/>
        <v>-3.4834154899816316</v>
      </c>
    </row>
    <row r="919" spans="1:34" x14ac:dyDescent="0.2">
      <c r="A919" s="347">
        <f t="shared" ca="1" si="412"/>
        <v>1E-4</v>
      </c>
      <c r="B919" s="304">
        <f t="shared" ca="1" si="413"/>
        <v>12.061499999999832</v>
      </c>
      <c r="D919" s="306">
        <f t="shared" ca="1" si="414"/>
        <v>-0.26129775502908481</v>
      </c>
      <c r="E919" s="307">
        <f t="shared" ca="1" si="415"/>
        <v>-6.3363121315262401</v>
      </c>
      <c r="F919" s="304">
        <f t="shared" ca="1" si="416"/>
        <v>6.3416975601892158</v>
      </c>
      <c r="G919" s="306">
        <f t="shared" ca="1" si="417"/>
        <v>3.9011541400736154</v>
      </c>
      <c r="H919" s="307">
        <f t="shared" ca="1" si="418"/>
        <v>-51.862857149343604</v>
      </c>
      <c r="I919" s="304">
        <f t="shared" ca="1" si="419"/>
        <v>52.009373725491393</v>
      </c>
      <c r="J919" s="306">
        <f t="shared" ca="1" si="420"/>
        <v>56.288824373840264</v>
      </c>
      <c r="K919" s="307">
        <f t="shared" ca="1" si="421"/>
        <v>-3.184235621127717</v>
      </c>
      <c r="L919" s="304">
        <f t="shared" ca="1" si="406"/>
        <v>56.378817882959311</v>
      </c>
      <c r="M919" s="306">
        <f t="shared" ca="1" si="422"/>
        <v>-1.4957171375758296</v>
      </c>
      <c r="N919" s="304">
        <f t="shared" ca="1" si="423"/>
        <v>-85.698279328483352</v>
      </c>
      <c r="P919" s="310">
        <f t="shared" ca="1" si="424"/>
        <v>23</v>
      </c>
      <c r="Q919" s="304">
        <f t="shared" ca="1" si="425"/>
        <v>0</v>
      </c>
      <c r="R919" s="306">
        <f t="shared" ca="1" si="426"/>
        <v>0</v>
      </c>
      <c r="S919" s="307">
        <f t="shared" ca="1" si="427"/>
        <v>2.0843000000000003</v>
      </c>
      <c r="T919" s="304">
        <f t="shared" ca="1" si="407"/>
        <v>20.446983000000003</v>
      </c>
      <c r="U919" s="311">
        <f t="shared" ca="1" si="408"/>
        <v>0</v>
      </c>
      <c r="V919" s="306">
        <f t="shared" ca="1" si="409"/>
        <v>1.2253901309770359</v>
      </c>
      <c r="W919" s="304">
        <f t="shared" ca="1" si="410"/>
        <v>7.2608421793939701</v>
      </c>
      <c r="Y919" s="314" t="str">
        <f t="shared" ca="1" si="428"/>
        <v/>
      </c>
      <c r="Z919" s="315" t="str">
        <f t="shared" ca="1" si="429"/>
        <v/>
      </c>
      <c r="AA919" s="316" t="str">
        <f t="shared" ca="1" si="430"/>
        <v/>
      </c>
      <c r="AC919" s="310" t="e">
        <f t="shared" ca="1" si="431"/>
        <v>#N/A</v>
      </c>
      <c r="AD919" s="323" t="e">
        <f t="shared" ca="1" si="432"/>
        <v>#N/A</v>
      </c>
      <c r="AE919" s="324">
        <f t="shared" ca="1" si="411"/>
        <v>-3.184235621127717</v>
      </c>
      <c r="AG919" s="306">
        <f t="shared" ca="1" si="433"/>
        <v>6.2988613493834693</v>
      </c>
      <c r="AH919" s="304">
        <f t="shared" ca="1" si="434"/>
        <v>-3.4835016756655959</v>
      </c>
    </row>
    <row r="920" spans="1:34" x14ac:dyDescent="0.2">
      <c r="A920" s="347">
        <f t="shared" ca="1" si="412"/>
        <v>1E-4</v>
      </c>
      <c r="B920" s="304">
        <f t="shared" ca="1" si="413"/>
        <v>12.061599999999832</v>
      </c>
      <c r="D920" s="306">
        <f t="shared" ca="1" si="414"/>
        <v>-0.26129930499281268</v>
      </c>
      <c r="E920" s="307">
        <f t="shared" ca="1" si="415"/>
        <v>-6.3362258189548761</v>
      </c>
      <c r="F920" s="304">
        <f t="shared" ca="1" si="416"/>
        <v>6.3416113847806939</v>
      </c>
      <c r="G920" s="306">
        <f t="shared" ca="1" si="417"/>
        <v>3.9011280101431161</v>
      </c>
      <c r="H920" s="307">
        <f t="shared" ca="1" si="418"/>
        <v>-51.863490771925498</v>
      </c>
      <c r="I920" s="304">
        <f t="shared" ca="1" si="419"/>
        <v>52.010003603163923</v>
      </c>
      <c r="J920" s="306">
        <f t="shared" ca="1" si="420"/>
        <v>56.288824373840264</v>
      </c>
      <c r="K920" s="307">
        <f t="shared" ca="1" si="421"/>
        <v>-3.1894219385237803</v>
      </c>
      <c r="L920" s="304">
        <f t="shared" ca="1" si="406"/>
        <v>56.379111040268903</v>
      </c>
      <c r="M920" s="306">
        <f t="shared" ca="1" si="422"/>
        <v>-1.4957185523711332</v>
      </c>
      <c r="N920" s="304">
        <f t="shared" ca="1" si="423"/>
        <v>-85.698360390283128</v>
      </c>
      <c r="P920" s="310">
        <f t="shared" ca="1" si="424"/>
        <v>23</v>
      </c>
      <c r="Q920" s="304">
        <f t="shared" ca="1" si="425"/>
        <v>0</v>
      </c>
      <c r="R920" s="306">
        <f t="shared" ca="1" si="426"/>
        <v>0</v>
      </c>
      <c r="S920" s="307">
        <f t="shared" ca="1" si="427"/>
        <v>2.0843000000000003</v>
      </c>
      <c r="T920" s="304">
        <f t="shared" ca="1" si="407"/>
        <v>20.446983000000003</v>
      </c>
      <c r="U920" s="311">
        <f t="shared" ca="1" si="408"/>
        <v>0</v>
      </c>
      <c r="V920" s="306">
        <f t="shared" ca="1" si="409"/>
        <v>1.2253907665034325</v>
      </c>
      <c r="W920" s="304">
        <f t="shared" ca="1" si="410"/>
        <v>7.2610218161811408</v>
      </c>
      <c r="Y920" s="314" t="str">
        <f t="shared" ca="1" si="428"/>
        <v/>
      </c>
      <c r="Z920" s="315" t="str">
        <f t="shared" ca="1" si="429"/>
        <v/>
      </c>
      <c r="AA920" s="316" t="str">
        <f t="shared" ca="1" si="430"/>
        <v/>
      </c>
      <c r="AC920" s="310" t="e">
        <f t="shared" ca="1" si="431"/>
        <v>#N/A</v>
      </c>
      <c r="AD920" s="323" t="e">
        <f t="shared" ca="1" si="432"/>
        <v>#N/A</v>
      </c>
      <c r="AE920" s="324">
        <f t="shared" ca="1" si="411"/>
        <v>-3.1894219385237803</v>
      </c>
      <c r="AG920" s="306">
        <f t="shared" ca="1" si="433"/>
        <v>6.2987762048056322</v>
      </c>
      <c r="AH920" s="304">
        <f t="shared" ca="1" si="434"/>
        <v>-3.4835878613414426</v>
      </c>
    </row>
    <row r="921" spans="1:34" x14ac:dyDescent="0.2">
      <c r="A921" s="347">
        <f t="shared" ca="1" si="412"/>
        <v>1E-4</v>
      </c>
      <c r="B921" s="304">
        <f t="shared" ca="1" si="413"/>
        <v>12.061699999999831</v>
      </c>
      <c r="D921" s="306">
        <f t="shared" ca="1" si="414"/>
        <v>-0.26130085486418303</v>
      </c>
      <c r="E921" s="307">
        <f t="shared" ca="1" si="415"/>
        <v>-6.3361395063917367</v>
      </c>
      <c r="F921" s="304">
        <f t="shared" ca="1" si="416"/>
        <v>6.3415252093806949</v>
      </c>
      <c r="G921" s="306">
        <f t="shared" ca="1" si="417"/>
        <v>3.9011018800576296</v>
      </c>
      <c r="H921" s="307">
        <f t="shared" ca="1" si="418"/>
        <v>-51.864124385876138</v>
      </c>
      <c r="I921" s="304">
        <f t="shared" ca="1" si="419"/>
        <v>52.010633472321992</v>
      </c>
      <c r="J921" s="306">
        <f t="shared" ca="1" si="420"/>
        <v>56.288824373840264</v>
      </c>
      <c r="K921" s="307">
        <f t="shared" ca="1" si="421"/>
        <v>-3.1946083192816705</v>
      </c>
      <c r="L921" s="304">
        <f t="shared" ca="1" si="406"/>
        <v>56.379404676731532</v>
      </c>
      <c r="M921" s="306">
        <f t="shared" ca="1" si="422"/>
        <v>-1.4957199671226931</v>
      </c>
      <c r="N921" s="304">
        <f t="shared" ca="1" si="423"/>
        <v>-85.698441449576563</v>
      </c>
      <c r="P921" s="310">
        <f t="shared" ca="1" si="424"/>
        <v>23</v>
      </c>
      <c r="Q921" s="304">
        <f t="shared" ca="1" si="425"/>
        <v>0</v>
      </c>
      <c r="R921" s="306">
        <f t="shared" ca="1" si="426"/>
        <v>0</v>
      </c>
      <c r="S921" s="307">
        <f t="shared" ca="1" si="427"/>
        <v>2.0843000000000003</v>
      </c>
      <c r="T921" s="304">
        <f t="shared" ca="1" si="407"/>
        <v>20.446983000000003</v>
      </c>
      <c r="U921" s="311">
        <f t="shared" ca="1" si="408"/>
        <v>0</v>
      </c>
      <c r="V921" s="306">
        <f t="shared" ca="1" si="409"/>
        <v>1.2253914020379224</v>
      </c>
      <c r="W921" s="304">
        <f t="shared" ca="1" si="410"/>
        <v>7.2612014529512221</v>
      </c>
      <c r="Y921" s="314" t="str">
        <f t="shared" ca="1" si="428"/>
        <v/>
      </c>
      <c r="Z921" s="315" t="str">
        <f t="shared" ca="1" si="429"/>
        <v/>
      </c>
      <c r="AA921" s="316" t="str">
        <f t="shared" ca="1" si="430"/>
        <v/>
      </c>
      <c r="AC921" s="310" t="e">
        <f t="shared" ca="1" si="431"/>
        <v>#N/A</v>
      </c>
      <c r="AD921" s="323" t="e">
        <f t="shared" ca="1" si="432"/>
        <v>#N/A</v>
      </c>
      <c r="AE921" s="324">
        <f t="shared" ca="1" si="411"/>
        <v>-3.1946083192816705</v>
      </c>
      <c r="AG921" s="306">
        <f t="shared" ca="1" si="433"/>
        <v>6.2986910601841757</v>
      </c>
      <c r="AH921" s="304">
        <f t="shared" ca="1" si="434"/>
        <v>-3.483674047009135</v>
      </c>
    </row>
    <row r="922" spans="1:34" x14ac:dyDescent="0.2">
      <c r="A922" s="347">
        <f t="shared" ca="1" si="412"/>
        <v>1E-4</v>
      </c>
      <c r="B922" s="304">
        <f t="shared" ca="1" si="413"/>
        <v>12.061799999999831</v>
      </c>
      <c r="D922" s="306">
        <f t="shared" ca="1" si="414"/>
        <v>-0.26130240464319548</v>
      </c>
      <c r="E922" s="307">
        <f t="shared" ca="1" si="415"/>
        <v>-6.3360531938368636</v>
      </c>
      <c r="F922" s="304">
        <f t="shared" ca="1" si="416"/>
        <v>6.3414390339892597</v>
      </c>
      <c r="G922" s="306">
        <f t="shared" ca="1" si="417"/>
        <v>3.9010757498171653</v>
      </c>
      <c r="H922" s="307">
        <f t="shared" ca="1" si="418"/>
        <v>-51.864757991195525</v>
      </c>
      <c r="I922" s="304">
        <f t="shared" ca="1" si="419"/>
        <v>52.011263332965598</v>
      </c>
      <c r="J922" s="306">
        <f t="shared" ca="1" si="420"/>
        <v>56.288824373840264</v>
      </c>
      <c r="K922" s="307">
        <f t="shared" ca="1" si="421"/>
        <v>-3.1997947634005239</v>
      </c>
      <c r="L922" s="304">
        <f t="shared" ca="1" si="406"/>
        <v>56.379698792357161</v>
      </c>
      <c r="M922" s="306">
        <f t="shared" ca="1" si="422"/>
        <v>-1.4957213818305115</v>
      </c>
      <c r="N922" s="304">
        <f t="shared" ca="1" si="423"/>
        <v>-85.698522506363801</v>
      </c>
      <c r="P922" s="310">
        <f t="shared" ca="1" si="424"/>
        <v>23</v>
      </c>
      <c r="Q922" s="304">
        <f t="shared" ca="1" si="425"/>
        <v>0</v>
      </c>
      <c r="R922" s="306">
        <f t="shared" ca="1" si="426"/>
        <v>0</v>
      </c>
      <c r="S922" s="307">
        <f t="shared" ca="1" si="427"/>
        <v>2.0843000000000003</v>
      </c>
      <c r="T922" s="304">
        <f t="shared" ca="1" si="407"/>
        <v>20.446983000000003</v>
      </c>
      <c r="U922" s="311">
        <f t="shared" ca="1" si="408"/>
        <v>0</v>
      </c>
      <c r="V922" s="306">
        <f t="shared" ca="1" si="409"/>
        <v>1.2253920375805065</v>
      </c>
      <c r="W922" s="304">
        <f t="shared" ca="1" si="410"/>
        <v>7.2613810897041384</v>
      </c>
      <c r="Y922" s="314" t="str">
        <f t="shared" ca="1" si="428"/>
        <v/>
      </c>
      <c r="Z922" s="315" t="str">
        <f t="shared" ca="1" si="429"/>
        <v/>
      </c>
      <c r="AA922" s="316" t="str">
        <f t="shared" ca="1" si="430"/>
        <v/>
      </c>
      <c r="AC922" s="310" t="e">
        <f t="shared" ca="1" si="431"/>
        <v>#N/A</v>
      </c>
      <c r="AD922" s="323" t="e">
        <f t="shared" ca="1" si="432"/>
        <v>#N/A</v>
      </c>
      <c r="AE922" s="324">
        <f t="shared" ca="1" si="411"/>
        <v>-3.1997947634005239</v>
      </c>
      <c r="AG922" s="306">
        <f t="shared" ca="1" si="433"/>
        <v>6.2986059155191523</v>
      </c>
      <c r="AH922" s="304">
        <f t="shared" ca="1" si="434"/>
        <v>-3.4837602326686281</v>
      </c>
    </row>
    <row r="923" spans="1:34" x14ac:dyDescent="0.2">
      <c r="A923" s="347">
        <f t="shared" ca="1" si="412"/>
        <v>1E-4</v>
      </c>
      <c r="B923" s="304">
        <f t="shared" ca="1" si="413"/>
        <v>12.061899999999831</v>
      </c>
      <c r="D923" s="306">
        <f t="shared" ca="1" si="414"/>
        <v>-0.26130395432985076</v>
      </c>
      <c r="E923" s="307">
        <f t="shared" ca="1" si="415"/>
        <v>-6.3359668812902949</v>
      </c>
      <c r="F923" s="304">
        <f t="shared" ca="1" si="416"/>
        <v>6.3413528586064247</v>
      </c>
      <c r="G923" s="306">
        <f t="shared" ca="1" si="417"/>
        <v>3.9010496194217321</v>
      </c>
      <c r="H923" s="307">
        <f t="shared" ca="1" si="418"/>
        <v>-51.865391587883657</v>
      </c>
      <c r="I923" s="304">
        <f t="shared" ca="1" si="419"/>
        <v>52.011893185094721</v>
      </c>
      <c r="J923" s="306">
        <f t="shared" ca="1" si="420"/>
        <v>56.288824373840264</v>
      </c>
      <c r="K923" s="307">
        <f t="shared" ca="1" si="421"/>
        <v>-3.204981270879478</v>
      </c>
      <c r="L923" s="304">
        <f t="shared" ca="1" si="406"/>
        <v>56.379993387155714</v>
      </c>
      <c r="M923" s="306">
        <f t="shared" ca="1" si="422"/>
        <v>-1.4957227964945903</v>
      </c>
      <c r="N923" s="304">
        <f t="shared" ca="1" si="423"/>
        <v>-85.698603560644941</v>
      </c>
      <c r="P923" s="310">
        <f t="shared" ca="1" si="424"/>
        <v>23</v>
      </c>
      <c r="Q923" s="304">
        <f t="shared" ca="1" si="425"/>
        <v>0</v>
      </c>
      <c r="R923" s="306">
        <f t="shared" ca="1" si="426"/>
        <v>0</v>
      </c>
      <c r="S923" s="307">
        <f t="shared" ca="1" si="427"/>
        <v>2.0843000000000003</v>
      </c>
      <c r="T923" s="304">
        <f t="shared" ca="1" si="407"/>
        <v>20.446983000000003</v>
      </c>
      <c r="U923" s="311">
        <f t="shared" ca="1" si="408"/>
        <v>0</v>
      </c>
      <c r="V923" s="306">
        <f t="shared" ca="1" si="409"/>
        <v>1.2253926731311844</v>
      </c>
      <c r="W923" s="304">
        <f t="shared" ca="1" si="410"/>
        <v>7.2615607264397957</v>
      </c>
      <c r="Y923" s="314" t="str">
        <f t="shared" ca="1" si="428"/>
        <v/>
      </c>
      <c r="Z923" s="315" t="str">
        <f t="shared" ca="1" si="429"/>
        <v/>
      </c>
      <c r="AA923" s="316" t="str">
        <f t="shared" ca="1" si="430"/>
        <v/>
      </c>
      <c r="AC923" s="310" t="e">
        <f t="shared" ca="1" si="431"/>
        <v>#N/A</v>
      </c>
      <c r="AD923" s="323" t="e">
        <f t="shared" ca="1" si="432"/>
        <v>#N/A</v>
      </c>
      <c r="AE923" s="324">
        <f t="shared" ca="1" si="411"/>
        <v>-3.204981270879478</v>
      </c>
      <c r="AG923" s="306">
        <f t="shared" ca="1" si="433"/>
        <v>6.2985207708105992</v>
      </c>
      <c r="AH923" s="304">
        <f t="shared" ca="1" si="434"/>
        <v>-3.4838464183198856</v>
      </c>
    </row>
    <row r="924" spans="1:34" x14ac:dyDescent="0.2">
      <c r="A924" s="347">
        <f t="shared" ca="1" si="412"/>
        <v>1E-4</v>
      </c>
      <c r="B924" s="304">
        <f t="shared" ca="1" si="413"/>
        <v>12.061999999999831</v>
      </c>
      <c r="D924" s="306">
        <f t="shared" ca="1" si="414"/>
        <v>-0.26130550392415075</v>
      </c>
      <c r="E924" s="307">
        <f t="shared" ca="1" si="415"/>
        <v>-6.3358805687520761</v>
      </c>
      <c r="F924" s="304">
        <f t="shared" ca="1" si="416"/>
        <v>6.341266683232238</v>
      </c>
      <c r="G924" s="306">
        <f t="shared" ca="1" si="417"/>
        <v>3.9010234888713398</v>
      </c>
      <c r="H924" s="307">
        <f t="shared" ca="1" si="418"/>
        <v>-51.866025175940536</v>
      </c>
      <c r="I924" s="304">
        <f t="shared" ca="1" si="419"/>
        <v>52.012523028709381</v>
      </c>
      <c r="J924" s="306">
        <f t="shared" ca="1" si="420"/>
        <v>56.288824373840264</v>
      </c>
      <c r="K924" s="307">
        <f t="shared" ca="1" si="421"/>
        <v>-3.2101678417176691</v>
      </c>
      <c r="L924" s="304">
        <f t="shared" ca="1" si="406"/>
        <v>56.380288461137127</v>
      </c>
      <c r="M924" s="306">
        <f t="shared" ca="1" si="422"/>
        <v>-1.4957242111149316</v>
      </c>
      <c r="N924" s="304">
        <f t="shared" ca="1" si="423"/>
        <v>-85.698684612420124</v>
      </c>
      <c r="P924" s="310">
        <f t="shared" ca="1" si="424"/>
        <v>23</v>
      </c>
      <c r="Q924" s="304">
        <f t="shared" ca="1" si="425"/>
        <v>0</v>
      </c>
      <c r="R924" s="306">
        <f t="shared" ca="1" si="426"/>
        <v>0</v>
      </c>
      <c r="S924" s="307">
        <f t="shared" ca="1" si="427"/>
        <v>2.0843000000000003</v>
      </c>
      <c r="T924" s="304">
        <f t="shared" ca="1" si="407"/>
        <v>20.446983000000003</v>
      </c>
      <c r="U924" s="311">
        <f t="shared" ca="1" si="408"/>
        <v>0</v>
      </c>
      <c r="V924" s="306">
        <f t="shared" ca="1" si="409"/>
        <v>1.2253933086899558</v>
      </c>
      <c r="W924" s="304">
        <f t="shared" ca="1" si="410"/>
        <v>7.2617403631581174</v>
      </c>
      <c r="Y924" s="314" t="str">
        <f t="shared" ca="1" si="428"/>
        <v/>
      </c>
      <c r="Z924" s="315" t="str">
        <f t="shared" ca="1" si="429"/>
        <v/>
      </c>
      <c r="AA924" s="316" t="str">
        <f t="shared" ca="1" si="430"/>
        <v/>
      </c>
      <c r="AC924" s="310" t="e">
        <f t="shared" ca="1" si="431"/>
        <v>#N/A</v>
      </c>
      <c r="AD924" s="323" t="e">
        <f t="shared" ca="1" si="432"/>
        <v>#N/A</v>
      </c>
      <c r="AE924" s="324">
        <f t="shared" ca="1" si="411"/>
        <v>-3.2101678417176691</v>
      </c>
      <c r="AG924" s="306">
        <f t="shared" ca="1" si="433"/>
        <v>6.2984356260585646</v>
      </c>
      <c r="AH924" s="304">
        <f t="shared" ca="1" si="434"/>
        <v>-3.4839326039628626</v>
      </c>
    </row>
    <row r="925" spans="1:34" x14ac:dyDescent="0.2">
      <c r="A925" s="347">
        <f t="shared" ca="1" si="412"/>
        <v>1E-4</v>
      </c>
      <c r="B925" s="304">
        <f t="shared" ca="1" si="413"/>
        <v>12.06209999999983</v>
      </c>
      <c r="D925" s="306">
        <f t="shared" ca="1" si="414"/>
        <v>-0.26130705342609628</v>
      </c>
      <c r="E925" s="307">
        <f t="shared" ca="1" si="415"/>
        <v>-6.3357942562222433</v>
      </c>
      <c r="F925" s="304">
        <f t="shared" ca="1" si="416"/>
        <v>6.3411805078667332</v>
      </c>
      <c r="G925" s="306">
        <f t="shared" ca="1" si="417"/>
        <v>3.9009973581659971</v>
      </c>
      <c r="H925" s="307">
        <f t="shared" ca="1" si="418"/>
        <v>-51.86665875536616</v>
      </c>
      <c r="I925" s="304">
        <f t="shared" ca="1" si="419"/>
        <v>52.013152863809545</v>
      </c>
      <c r="J925" s="306">
        <f t="shared" ca="1" si="420"/>
        <v>56.288824373840264</v>
      </c>
      <c r="K925" s="307">
        <f t="shared" ca="1" si="421"/>
        <v>-3.2153544759142343</v>
      </c>
      <c r="L925" s="304">
        <f t="shared" ca="1" si="406"/>
        <v>56.38058401431131</v>
      </c>
      <c r="M925" s="306">
        <f t="shared" ca="1" si="422"/>
        <v>-1.4957256256915377</v>
      </c>
      <c r="N925" s="304">
        <f t="shared" ca="1" si="423"/>
        <v>-85.698765661689436</v>
      </c>
      <c r="P925" s="310">
        <f t="shared" ca="1" si="424"/>
        <v>23</v>
      </c>
      <c r="Q925" s="304">
        <f t="shared" ca="1" si="425"/>
        <v>0</v>
      </c>
      <c r="R925" s="306">
        <f t="shared" ca="1" si="426"/>
        <v>0</v>
      </c>
      <c r="S925" s="307">
        <f t="shared" ca="1" si="427"/>
        <v>2.0843000000000003</v>
      </c>
      <c r="T925" s="304">
        <f t="shared" ca="1" si="407"/>
        <v>20.446983000000003</v>
      </c>
      <c r="U925" s="311">
        <f t="shared" ca="1" si="408"/>
        <v>0</v>
      </c>
      <c r="V925" s="306">
        <f t="shared" ca="1" si="409"/>
        <v>1.2253939442568209</v>
      </c>
      <c r="W925" s="304">
        <f t="shared" ca="1" si="410"/>
        <v>7.2619199998590078</v>
      </c>
      <c r="Y925" s="314" t="str">
        <f t="shared" ca="1" si="428"/>
        <v/>
      </c>
      <c r="Z925" s="315" t="str">
        <f t="shared" ca="1" si="429"/>
        <v/>
      </c>
      <c r="AA925" s="316" t="str">
        <f t="shared" ca="1" si="430"/>
        <v/>
      </c>
      <c r="AC925" s="310" t="e">
        <f t="shared" ca="1" si="431"/>
        <v>#N/A</v>
      </c>
      <c r="AD925" s="323" t="e">
        <f t="shared" ca="1" si="432"/>
        <v>#N/A</v>
      </c>
      <c r="AE925" s="324">
        <f t="shared" ca="1" si="411"/>
        <v>-3.2153544759142343</v>
      </c>
      <c r="AG925" s="306">
        <f t="shared" ca="1" si="433"/>
        <v>6.2983504812630926</v>
      </c>
      <c r="AH925" s="304">
        <f t="shared" ca="1" si="434"/>
        <v>-3.4840187895975228</v>
      </c>
    </row>
    <row r="926" spans="1:34" x14ac:dyDescent="0.2">
      <c r="A926" s="347">
        <f t="shared" ca="1" si="412"/>
        <v>1E-4</v>
      </c>
      <c r="B926" s="304">
        <f t="shared" ca="1" si="413"/>
        <v>12.06219999999983</v>
      </c>
      <c r="D926" s="306">
        <f t="shared" ca="1" si="414"/>
        <v>-0.26130860283568758</v>
      </c>
      <c r="E926" s="307">
        <f t="shared" ca="1" si="415"/>
        <v>-6.335707943700843</v>
      </c>
      <c r="F926" s="304">
        <f t="shared" ca="1" si="416"/>
        <v>6.3410943325099574</v>
      </c>
      <c r="G926" s="306">
        <f t="shared" ca="1" si="417"/>
        <v>3.9009712273057136</v>
      </c>
      <c r="H926" s="307">
        <f t="shared" ca="1" si="418"/>
        <v>-51.867292326160531</v>
      </c>
      <c r="I926" s="304">
        <f t="shared" ca="1" si="419"/>
        <v>52.013782690395225</v>
      </c>
      <c r="J926" s="306">
        <f t="shared" ca="1" si="420"/>
        <v>56.288824373840264</v>
      </c>
      <c r="K926" s="307">
        <f t="shared" ca="1" si="421"/>
        <v>-3.2205411734683107</v>
      </c>
      <c r="L926" s="304">
        <f t="shared" ca="1" si="406"/>
        <v>56.380880046688155</v>
      </c>
      <c r="M926" s="306">
        <f t="shared" ca="1" si="422"/>
        <v>-1.4957270402244105</v>
      </c>
      <c r="N926" s="304">
        <f t="shared" ca="1" si="423"/>
        <v>-85.698846708453033</v>
      </c>
      <c r="P926" s="310">
        <f t="shared" ca="1" si="424"/>
        <v>23</v>
      </c>
      <c r="Q926" s="304">
        <f t="shared" ca="1" si="425"/>
        <v>0</v>
      </c>
      <c r="R926" s="306">
        <f t="shared" ca="1" si="426"/>
        <v>0</v>
      </c>
      <c r="S926" s="307">
        <f t="shared" ca="1" si="427"/>
        <v>2.0843000000000003</v>
      </c>
      <c r="T926" s="304">
        <f t="shared" ca="1" si="407"/>
        <v>20.446983000000003</v>
      </c>
      <c r="U926" s="311">
        <f t="shared" ca="1" si="408"/>
        <v>0</v>
      </c>
      <c r="V926" s="306">
        <f t="shared" ca="1" si="409"/>
        <v>1.2253945798317796</v>
      </c>
      <c r="W926" s="304">
        <f t="shared" ca="1" si="410"/>
        <v>7.2620996365423904</v>
      </c>
      <c r="Y926" s="314" t="str">
        <f t="shared" ca="1" si="428"/>
        <v/>
      </c>
      <c r="Z926" s="315" t="str">
        <f t="shared" ca="1" si="429"/>
        <v/>
      </c>
      <c r="AA926" s="316" t="str">
        <f t="shared" ca="1" si="430"/>
        <v/>
      </c>
      <c r="AC926" s="310" t="e">
        <f t="shared" ca="1" si="431"/>
        <v>#N/A</v>
      </c>
      <c r="AD926" s="323" t="e">
        <f t="shared" ca="1" si="432"/>
        <v>#N/A</v>
      </c>
      <c r="AE926" s="324">
        <f t="shared" ca="1" si="411"/>
        <v>-3.2205411734683107</v>
      </c>
      <c r="AG926" s="306">
        <f t="shared" ca="1" si="433"/>
        <v>6.2982653364242269</v>
      </c>
      <c r="AH926" s="304">
        <f t="shared" ca="1" si="434"/>
        <v>-3.4841049752238193</v>
      </c>
    </row>
    <row r="927" spans="1:34" x14ac:dyDescent="0.2">
      <c r="A927" s="347">
        <f t="shared" ca="1" si="412"/>
        <v>1E-4</v>
      </c>
      <c r="B927" s="304">
        <f t="shared" ca="1" si="413"/>
        <v>12.06229999999983</v>
      </c>
      <c r="D927" s="306">
        <f t="shared" ca="1" si="414"/>
        <v>-0.26131015215292624</v>
      </c>
      <c r="E927" s="307">
        <f t="shared" ca="1" si="415"/>
        <v>-6.3356216311879106</v>
      </c>
      <c r="F927" s="304">
        <f t="shared" ca="1" si="416"/>
        <v>6.3410081571619461</v>
      </c>
      <c r="G927" s="306">
        <f t="shared" ca="1" si="417"/>
        <v>3.9009450962904983</v>
      </c>
      <c r="H927" s="307">
        <f t="shared" ca="1" si="418"/>
        <v>-51.867925888323647</v>
      </c>
      <c r="I927" s="304">
        <f t="shared" ca="1" si="419"/>
        <v>52.014412508466414</v>
      </c>
      <c r="J927" s="306">
        <f t="shared" ca="1" si="420"/>
        <v>56.288824373840264</v>
      </c>
      <c r="K927" s="307">
        <f t="shared" ca="1" si="421"/>
        <v>-3.225727934379035</v>
      </c>
      <c r="L927" s="304">
        <f t="shared" ca="1" si="406"/>
        <v>56.381176558277559</v>
      </c>
      <c r="M927" s="306">
        <f t="shared" ca="1" si="422"/>
        <v>-1.4957284547135521</v>
      </c>
      <c r="N927" s="304">
        <f t="shared" ca="1" si="423"/>
        <v>-85.698927752711015</v>
      </c>
      <c r="P927" s="310">
        <f t="shared" ca="1" si="424"/>
        <v>23</v>
      </c>
      <c r="Q927" s="304">
        <f t="shared" ca="1" si="425"/>
        <v>0</v>
      </c>
      <c r="R927" s="306">
        <f t="shared" ca="1" si="426"/>
        <v>0</v>
      </c>
      <c r="S927" s="307">
        <f t="shared" ca="1" si="427"/>
        <v>2.0843000000000003</v>
      </c>
      <c r="T927" s="304">
        <f t="shared" ca="1" si="407"/>
        <v>20.446983000000003</v>
      </c>
      <c r="U927" s="311">
        <f t="shared" ca="1" si="408"/>
        <v>0</v>
      </c>
      <c r="V927" s="306">
        <f t="shared" ca="1" si="409"/>
        <v>1.2253952154148318</v>
      </c>
      <c r="W927" s="304">
        <f t="shared" ca="1" si="410"/>
        <v>7.2622792732081773</v>
      </c>
      <c r="Y927" s="314" t="str">
        <f t="shared" ca="1" si="428"/>
        <v/>
      </c>
      <c r="Z927" s="315" t="str">
        <f t="shared" ca="1" si="429"/>
        <v/>
      </c>
      <c r="AA927" s="316" t="str">
        <f t="shared" ca="1" si="430"/>
        <v/>
      </c>
      <c r="AC927" s="310" t="e">
        <f t="shared" ca="1" si="431"/>
        <v>#N/A</v>
      </c>
      <c r="AD927" s="323" t="e">
        <f t="shared" ca="1" si="432"/>
        <v>#N/A</v>
      </c>
      <c r="AE927" s="324">
        <f t="shared" ca="1" si="411"/>
        <v>-3.225727934379035</v>
      </c>
      <c r="AG927" s="306">
        <f t="shared" ca="1" si="433"/>
        <v>6.298180191542011</v>
      </c>
      <c r="AH927" s="304">
        <f t="shared" ca="1" si="434"/>
        <v>-3.4841911608417164</v>
      </c>
    </row>
    <row r="928" spans="1:34" x14ac:dyDescent="0.2">
      <c r="A928" s="347">
        <f t="shared" ca="1" si="412"/>
        <v>1E-4</v>
      </c>
      <c r="B928" s="304">
        <f t="shared" ca="1" si="413"/>
        <v>12.06239999999983</v>
      </c>
      <c r="D928" s="306">
        <f t="shared" ca="1" si="414"/>
        <v>-0.26131170137781345</v>
      </c>
      <c r="E928" s="307">
        <f t="shared" ca="1" si="415"/>
        <v>-6.3355353186834886</v>
      </c>
      <c r="F928" s="304">
        <f t="shared" ca="1" si="416"/>
        <v>6.3409219818227429</v>
      </c>
      <c r="G928" s="306">
        <f t="shared" ca="1" si="417"/>
        <v>3.9009189651203604</v>
      </c>
      <c r="H928" s="307">
        <f t="shared" ca="1" si="418"/>
        <v>-51.868559441855517</v>
      </c>
      <c r="I928" s="304">
        <f t="shared" ca="1" si="419"/>
        <v>52.015042318023113</v>
      </c>
      <c r="J928" s="306">
        <f t="shared" ca="1" si="420"/>
        <v>56.288824373840264</v>
      </c>
      <c r="K928" s="307">
        <f t="shared" ca="1" si="421"/>
        <v>-3.230914758645544</v>
      </c>
      <c r="L928" s="304">
        <f t="shared" ca="1" si="406"/>
        <v>56.381473549089399</v>
      </c>
      <c r="M928" s="306">
        <f t="shared" ca="1" si="422"/>
        <v>-1.4957298691589649</v>
      </c>
      <c r="N928" s="304">
        <f t="shared" ca="1" si="423"/>
        <v>-85.699008794463523</v>
      </c>
      <c r="P928" s="310">
        <f t="shared" ca="1" si="424"/>
        <v>23</v>
      </c>
      <c r="Q928" s="304">
        <f t="shared" ca="1" si="425"/>
        <v>0</v>
      </c>
      <c r="R928" s="306">
        <f t="shared" ca="1" si="426"/>
        <v>0</v>
      </c>
      <c r="S928" s="307">
        <f t="shared" ca="1" si="427"/>
        <v>2.0843000000000003</v>
      </c>
      <c r="T928" s="304">
        <f t="shared" ca="1" si="407"/>
        <v>20.446983000000003</v>
      </c>
      <c r="U928" s="311">
        <f t="shared" ca="1" si="408"/>
        <v>0</v>
      </c>
      <c r="V928" s="306">
        <f t="shared" ca="1" si="409"/>
        <v>1.225395851005977</v>
      </c>
      <c r="W928" s="304">
        <f t="shared" ca="1" si="410"/>
        <v>7.2624589098562851</v>
      </c>
      <c r="Y928" s="314" t="str">
        <f t="shared" ca="1" si="428"/>
        <v/>
      </c>
      <c r="Z928" s="315" t="str">
        <f t="shared" ca="1" si="429"/>
        <v/>
      </c>
      <c r="AA928" s="316" t="str">
        <f t="shared" ca="1" si="430"/>
        <v/>
      </c>
      <c r="AC928" s="310" t="e">
        <f t="shared" ca="1" si="431"/>
        <v>#N/A</v>
      </c>
      <c r="AD928" s="323" t="e">
        <f t="shared" ca="1" si="432"/>
        <v>#N/A</v>
      </c>
      <c r="AE928" s="324">
        <f t="shared" ca="1" si="411"/>
        <v>-3.230914758645544</v>
      </c>
      <c r="AG928" s="306">
        <f t="shared" ca="1" si="433"/>
        <v>6.2980950466164893</v>
      </c>
      <c r="AH928" s="304">
        <f t="shared" ca="1" si="434"/>
        <v>-3.4842773464511714</v>
      </c>
    </row>
    <row r="929" spans="1:34" x14ac:dyDescent="0.2">
      <c r="A929" s="347">
        <f t="shared" ca="1" si="412"/>
        <v>1E-4</v>
      </c>
      <c r="B929" s="304">
        <f t="shared" ca="1" si="413"/>
        <v>12.062499999999829</v>
      </c>
      <c r="D929" s="306">
        <f t="shared" ca="1" si="414"/>
        <v>-0.26131325051034915</v>
      </c>
      <c r="E929" s="307">
        <f t="shared" ca="1" si="415"/>
        <v>-6.335449006187619</v>
      </c>
      <c r="F929" s="304">
        <f t="shared" ca="1" si="416"/>
        <v>6.3408358064923886</v>
      </c>
      <c r="G929" s="306">
        <f t="shared" ca="1" si="417"/>
        <v>3.9008928337953095</v>
      </c>
      <c r="H929" s="307">
        <f t="shared" ca="1" si="418"/>
        <v>-51.869192986756133</v>
      </c>
      <c r="I929" s="304">
        <f t="shared" ca="1" si="419"/>
        <v>52.0156721190653</v>
      </c>
      <c r="J929" s="306">
        <f t="shared" ca="1" si="420"/>
        <v>56.288824373840264</v>
      </c>
      <c r="K929" s="307">
        <f t="shared" ca="1" si="421"/>
        <v>-3.2361016462669747</v>
      </c>
      <c r="L929" s="304">
        <f t="shared" ca="1" si="406"/>
        <v>56.381771019133531</v>
      </c>
      <c r="M929" s="306">
        <f t="shared" ca="1" si="422"/>
        <v>-1.4957312835606509</v>
      </c>
      <c r="N929" s="304">
        <f t="shared" ca="1" si="423"/>
        <v>-85.699089833710673</v>
      </c>
      <c r="P929" s="310">
        <f t="shared" ca="1" si="424"/>
        <v>23</v>
      </c>
      <c r="Q929" s="304">
        <f t="shared" ca="1" si="425"/>
        <v>0</v>
      </c>
      <c r="R929" s="306">
        <f t="shared" ca="1" si="426"/>
        <v>0</v>
      </c>
      <c r="S929" s="307">
        <f t="shared" ca="1" si="427"/>
        <v>2.0843000000000003</v>
      </c>
      <c r="T929" s="304">
        <f t="shared" ca="1" si="407"/>
        <v>20.446983000000003</v>
      </c>
      <c r="U929" s="311">
        <f t="shared" ca="1" si="408"/>
        <v>0</v>
      </c>
      <c r="V929" s="306">
        <f t="shared" ca="1" si="409"/>
        <v>1.2253964866052156</v>
      </c>
      <c r="W929" s="304">
        <f t="shared" ca="1" si="410"/>
        <v>7.2626385464866257</v>
      </c>
      <c r="Y929" s="314" t="str">
        <f t="shared" ca="1" si="428"/>
        <v/>
      </c>
      <c r="Z929" s="315" t="str">
        <f t="shared" ca="1" si="429"/>
        <v/>
      </c>
      <c r="AA929" s="316" t="str">
        <f t="shared" ca="1" si="430"/>
        <v/>
      </c>
      <c r="AC929" s="310" t="e">
        <f t="shared" ca="1" si="431"/>
        <v>#N/A</v>
      </c>
      <c r="AD929" s="323" t="e">
        <f t="shared" ca="1" si="432"/>
        <v>#N/A</v>
      </c>
      <c r="AE929" s="324">
        <f t="shared" ca="1" si="411"/>
        <v>-3.2361016462669747</v>
      </c>
      <c r="AG929" s="306">
        <f t="shared" ca="1" si="433"/>
        <v>6.2980099016477045</v>
      </c>
      <c r="AH929" s="304">
        <f t="shared" ca="1" si="434"/>
        <v>-3.4843635320521442</v>
      </c>
    </row>
    <row r="930" spans="1:34" x14ac:dyDescent="0.2">
      <c r="A930" s="347">
        <f t="shared" ca="1" si="412"/>
        <v>1E-4</v>
      </c>
      <c r="B930" s="304">
        <f t="shared" ca="1" si="413"/>
        <v>12.062599999999829</v>
      </c>
      <c r="D930" s="306">
        <f t="shared" ca="1" si="414"/>
        <v>-0.26131479955053444</v>
      </c>
      <c r="E930" s="307">
        <f t="shared" ca="1" si="415"/>
        <v>-6.3353626937003424</v>
      </c>
      <c r="F930" s="304">
        <f t="shared" ca="1" si="416"/>
        <v>6.3407496311709224</v>
      </c>
      <c r="G930" s="306">
        <f t="shared" ca="1" si="417"/>
        <v>3.9008667023153545</v>
      </c>
      <c r="H930" s="307">
        <f t="shared" ca="1" si="418"/>
        <v>-51.869826523025502</v>
      </c>
      <c r="I930" s="304">
        <f t="shared" ca="1" si="419"/>
        <v>52.01630191159299</v>
      </c>
      <c r="J930" s="306">
        <f t="shared" ca="1" si="420"/>
        <v>56.288824373840264</v>
      </c>
      <c r="K930" s="307">
        <f t="shared" ca="1" si="421"/>
        <v>-3.2412885972424639</v>
      </c>
      <c r="L930" s="304">
        <f t="shared" ca="1" si="406"/>
        <v>56.382068968419809</v>
      </c>
      <c r="M930" s="306">
        <f t="shared" ca="1" si="422"/>
        <v>-1.4957326979186119</v>
      </c>
      <c r="N930" s="304">
        <f t="shared" ca="1" si="423"/>
        <v>-85.699170870452548</v>
      </c>
      <c r="P930" s="310">
        <f t="shared" ca="1" si="424"/>
        <v>23</v>
      </c>
      <c r="Q930" s="304">
        <f t="shared" ca="1" si="425"/>
        <v>0</v>
      </c>
      <c r="R930" s="306">
        <f t="shared" ca="1" si="426"/>
        <v>0</v>
      </c>
      <c r="S930" s="307">
        <f t="shared" ca="1" si="427"/>
        <v>2.0843000000000003</v>
      </c>
      <c r="T930" s="304">
        <f t="shared" ca="1" si="407"/>
        <v>20.446983000000003</v>
      </c>
      <c r="U930" s="311">
        <f t="shared" ca="1" si="408"/>
        <v>0</v>
      </c>
      <c r="V930" s="306">
        <f t="shared" ca="1" si="409"/>
        <v>1.225397122212547</v>
      </c>
      <c r="W930" s="304">
        <f t="shared" ca="1" si="410"/>
        <v>7.2628181830991139</v>
      </c>
      <c r="Y930" s="314" t="str">
        <f t="shared" ca="1" si="428"/>
        <v/>
      </c>
      <c r="Z930" s="315" t="str">
        <f t="shared" ca="1" si="429"/>
        <v/>
      </c>
      <c r="AA930" s="316" t="str">
        <f t="shared" ca="1" si="430"/>
        <v/>
      </c>
      <c r="AC930" s="310" t="e">
        <f t="shared" ca="1" si="431"/>
        <v>#N/A</v>
      </c>
      <c r="AD930" s="323" t="e">
        <f t="shared" ca="1" si="432"/>
        <v>#N/A</v>
      </c>
      <c r="AE930" s="324">
        <f t="shared" ca="1" si="411"/>
        <v>-3.2412885972424639</v>
      </c>
      <c r="AG930" s="306">
        <f t="shared" ca="1" si="433"/>
        <v>6.2979247566357035</v>
      </c>
      <c r="AH930" s="304">
        <f t="shared" ca="1" si="434"/>
        <v>-3.4844497176445928</v>
      </c>
    </row>
    <row r="931" spans="1:34" x14ac:dyDescent="0.2">
      <c r="A931" s="347">
        <f t="shared" ca="1" si="412"/>
        <v>1E-4</v>
      </c>
      <c r="B931" s="304">
        <f t="shared" ca="1" si="413"/>
        <v>12.062699999999829</v>
      </c>
      <c r="D931" s="306">
        <f t="shared" ca="1" si="414"/>
        <v>-0.26131634849837149</v>
      </c>
      <c r="E931" s="307">
        <f t="shared" ca="1" si="415"/>
        <v>-6.3352763812216999</v>
      </c>
      <c r="F931" s="304">
        <f t="shared" ca="1" si="416"/>
        <v>6.3406634558583885</v>
      </c>
      <c r="G931" s="306">
        <f t="shared" ca="1" si="417"/>
        <v>3.9008405706805047</v>
      </c>
      <c r="H931" s="307">
        <f t="shared" ca="1" si="418"/>
        <v>-51.870460050663624</v>
      </c>
      <c r="I931" s="304">
        <f t="shared" ca="1" si="419"/>
        <v>52.016931695606175</v>
      </c>
      <c r="J931" s="306">
        <f t="shared" ca="1" si="420"/>
        <v>56.288824373840264</v>
      </c>
      <c r="K931" s="307">
        <f t="shared" ca="1" si="421"/>
        <v>-3.2464756115711482</v>
      </c>
      <c r="L931" s="304">
        <f t="shared" ca="1" si="406"/>
        <v>56.382367396958067</v>
      </c>
      <c r="M931" s="306">
        <f t="shared" ca="1" si="422"/>
        <v>-1.4957341122328505</v>
      </c>
      <c r="N931" s="304">
        <f t="shared" ca="1" si="423"/>
        <v>-85.699251904689334</v>
      </c>
      <c r="P931" s="310">
        <f t="shared" ca="1" si="424"/>
        <v>23</v>
      </c>
      <c r="Q931" s="304">
        <f t="shared" ca="1" si="425"/>
        <v>0</v>
      </c>
      <c r="R931" s="306">
        <f t="shared" ca="1" si="426"/>
        <v>0</v>
      </c>
      <c r="S931" s="307">
        <f t="shared" ca="1" si="427"/>
        <v>2.0843000000000003</v>
      </c>
      <c r="T931" s="304">
        <f t="shared" ca="1" si="407"/>
        <v>20.446983000000003</v>
      </c>
      <c r="U931" s="311">
        <f t="shared" ca="1" si="408"/>
        <v>0</v>
      </c>
      <c r="V931" s="306">
        <f t="shared" ca="1" si="409"/>
        <v>1.2253977578279718</v>
      </c>
      <c r="W931" s="304">
        <f t="shared" ca="1" si="410"/>
        <v>7.2629978196936698</v>
      </c>
      <c r="Y931" s="314" t="str">
        <f t="shared" ca="1" si="428"/>
        <v/>
      </c>
      <c r="Z931" s="315" t="str">
        <f t="shared" ca="1" si="429"/>
        <v/>
      </c>
      <c r="AA931" s="316" t="str">
        <f t="shared" ca="1" si="430"/>
        <v/>
      </c>
      <c r="AC931" s="310" t="e">
        <f t="shared" ca="1" si="431"/>
        <v>#N/A</v>
      </c>
      <c r="AD931" s="323" t="e">
        <f t="shared" ca="1" si="432"/>
        <v>#N/A</v>
      </c>
      <c r="AE931" s="324">
        <f t="shared" ca="1" si="411"/>
        <v>-3.2464756115711482</v>
      </c>
      <c r="AG931" s="306">
        <f t="shared" ca="1" si="433"/>
        <v>6.29783961158053</v>
      </c>
      <c r="AH931" s="304">
        <f t="shared" ca="1" si="434"/>
        <v>-3.4845359032284762</v>
      </c>
    </row>
    <row r="932" spans="1:34" x14ac:dyDescent="0.2">
      <c r="A932" s="347">
        <f t="shared" ca="1" si="412"/>
        <v>1E-4</v>
      </c>
      <c r="B932" s="304">
        <f t="shared" ca="1" si="413"/>
        <v>12.062799999999829</v>
      </c>
      <c r="D932" s="306">
        <f t="shared" ca="1" si="414"/>
        <v>-0.26131789735385946</v>
      </c>
      <c r="E932" s="307">
        <f t="shared" ca="1" si="415"/>
        <v>-6.3351900687517304</v>
      </c>
      <c r="F932" s="304">
        <f t="shared" ca="1" si="416"/>
        <v>6.3405772805548235</v>
      </c>
      <c r="G932" s="306">
        <f t="shared" ca="1" si="417"/>
        <v>3.9008144388907695</v>
      </c>
      <c r="H932" s="307">
        <f t="shared" ca="1" si="418"/>
        <v>-51.871093569670499</v>
      </c>
      <c r="I932" s="304">
        <f t="shared" ca="1" si="419"/>
        <v>52.017561471104848</v>
      </c>
      <c r="J932" s="306">
        <f t="shared" ca="1" si="420"/>
        <v>56.288824373840264</v>
      </c>
      <c r="K932" s="307">
        <f t="shared" ca="1" si="421"/>
        <v>-3.2516626892521647</v>
      </c>
      <c r="L932" s="304">
        <f t="shared" ca="1" si="406"/>
        <v>56.382666304758139</v>
      </c>
      <c r="M932" s="306">
        <f t="shared" ca="1" si="422"/>
        <v>-1.4957355265033685</v>
      </c>
      <c r="N932" s="304">
        <f t="shared" ca="1" si="423"/>
        <v>-85.699332936421101</v>
      </c>
      <c r="P932" s="310">
        <f t="shared" ca="1" si="424"/>
        <v>23</v>
      </c>
      <c r="Q932" s="304">
        <f t="shared" ca="1" si="425"/>
        <v>0</v>
      </c>
      <c r="R932" s="306">
        <f t="shared" ca="1" si="426"/>
        <v>0</v>
      </c>
      <c r="S932" s="307">
        <f t="shared" ca="1" si="427"/>
        <v>2.0843000000000003</v>
      </c>
      <c r="T932" s="304">
        <f t="shared" ca="1" si="407"/>
        <v>20.446983000000003</v>
      </c>
      <c r="U932" s="311">
        <f t="shared" ca="1" si="408"/>
        <v>0</v>
      </c>
      <c r="V932" s="306">
        <f t="shared" ca="1" si="409"/>
        <v>1.2253983934514898</v>
      </c>
      <c r="W932" s="304">
        <f t="shared" ca="1" si="410"/>
        <v>7.2631774562702089</v>
      </c>
      <c r="Y932" s="314" t="str">
        <f t="shared" ca="1" si="428"/>
        <v/>
      </c>
      <c r="Z932" s="315" t="str">
        <f t="shared" ca="1" si="429"/>
        <v/>
      </c>
      <c r="AA932" s="316" t="str">
        <f t="shared" ca="1" si="430"/>
        <v/>
      </c>
      <c r="AC932" s="310" t="e">
        <f t="shared" ca="1" si="431"/>
        <v>#N/A</v>
      </c>
      <c r="AD932" s="323" t="e">
        <f t="shared" ca="1" si="432"/>
        <v>#N/A</v>
      </c>
      <c r="AE932" s="324">
        <f t="shared" ca="1" si="411"/>
        <v>-3.2516626892521647</v>
      </c>
      <c r="AG932" s="306">
        <f t="shared" ca="1" si="433"/>
        <v>6.2977544664822274</v>
      </c>
      <c r="AH932" s="304">
        <f t="shared" ca="1" si="434"/>
        <v>-3.4846220888037562</v>
      </c>
    </row>
    <row r="933" spans="1:34" x14ac:dyDescent="0.2">
      <c r="A933" s="347">
        <f t="shared" ca="1" si="412"/>
        <v>1E-4</v>
      </c>
      <c r="B933" s="304">
        <f t="shared" ca="1" si="413"/>
        <v>12.062899999999829</v>
      </c>
      <c r="D933" s="306">
        <f t="shared" ca="1" si="414"/>
        <v>-0.26131944611700053</v>
      </c>
      <c r="E933" s="307">
        <f t="shared" ca="1" si="415"/>
        <v>-6.335103756290474</v>
      </c>
      <c r="F933" s="304">
        <f t="shared" ca="1" si="416"/>
        <v>6.3404911052602673</v>
      </c>
      <c r="G933" s="306">
        <f t="shared" ca="1" si="417"/>
        <v>3.9007883069461577</v>
      </c>
      <c r="H933" s="307">
        <f t="shared" ca="1" si="418"/>
        <v>-51.871727080046128</v>
      </c>
      <c r="I933" s="304">
        <f t="shared" ca="1" si="419"/>
        <v>52.018191238088995</v>
      </c>
      <c r="J933" s="306">
        <f t="shared" ca="1" si="420"/>
        <v>56.288824373840264</v>
      </c>
      <c r="K933" s="307">
        <f t="shared" ca="1" si="421"/>
        <v>-3.2568498302846507</v>
      </c>
      <c r="L933" s="304">
        <f t="shared" ca="1" si="406"/>
        <v>56.382965691829824</v>
      </c>
      <c r="M933" s="306">
        <f t="shared" ca="1" si="422"/>
        <v>-1.4957369407301679</v>
      </c>
      <c r="N933" s="304">
        <f t="shared" ca="1" si="423"/>
        <v>-85.699413965647992</v>
      </c>
      <c r="P933" s="310">
        <f t="shared" ca="1" si="424"/>
        <v>23</v>
      </c>
      <c r="Q933" s="304">
        <f t="shared" ca="1" si="425"/>
        <v>0</v>
      </c>
      <c r="R933" s="306">
        <f t="shared" ca="1" si="426"/>
        <v>0</v>
      </c>
      <c r="S933" s="307">
        <f t="shared" ca="1" si="427"/>
        <v>2.0843000000000003</v>
      </c>
      <c r="T933" s="304">
        <f t="shared" ca="1" si="407"/>
        <v>20.446983000000003</v>
      </c>
      <c r="U933" s="311">
        <f t="shared" ca="1" si="408"/>
        <v>0</v>
      </c>
      <c r="V933" s="306">
        <f t="shared" ca="1" si="409"/>
        <v>1.2253990290831003</v>
      </c>
      <c r="W933" s="304">
        <f t="shared" ca="1" si="410"/>
        <v>7.2633570928286355</v>
      </c>
      <c r="Y933" s="314" t="str">
        <f t="shared" ca="1" si="428"/>
        <v/>
      </c>
      <c r="Z933" s="315" t="str">
        <f t="shared" ca="1" si="429"/>
        <v/>
      </c>
      <c r="AA933" s="316" t="str">
        <f t="shared" ca="1" si="430"/>
        <v/>
      </c>
      <c r="AC933" s="310" t="e">
        <f t="shared" ca="1" si="431"/>
        <v>#N/A</v>
      </c>
      <c r="AD933" s="323" t="e">
        <f t="shared" ca="1" si="432"/>
        <v>#N/A</v>
      </c>
      <c r="AE933" s="324">
        <f t="shared" ca="1" si="411"/>
        <v>-3.2568498302846507</v>
      </c>
      <c r="AG933" s="306">
        <f t="shared" ca="1" si="433"/>
        <v>6.2976693213408357</v>
      </c>
      <c r="AH933" s="304">
        <f t="shared" ca="1" si="434"/>
        <v>-3.4847082743703921</v>
      </c>
    </row>
    <row r="934" spans="1:34" x14ac:dyDescent="0.2">
      <c r="A934" s="347">
        <f t="shared" ca="1" si="412"/>
        <v>1E-4</v>
      </c>
      <c r="B934" s="304">
        <f t="shared" ca="1" si="413"/>
        <v>12.062999999999828</v>
      </c>
      <c r="D934" s="306">
        <f t="shared" ca="1" si="414"/>
        <v>-0.26132099478779558</v>
      </c>
      <c r="E934" s="307">
        <f t="shared" ca="1" si="415"/>
        <v>-6.3350174438379767</v>
      </c>
      <c r="F934" s="304">
        <f t="shared" ca="1" si="416"/>
        <v>6.3404049299747669</v>
      </c>
      <c r="G934" s="306">
        <f t="shared" ca="1" si="417"/>
        <v>3.9007621748466788</v>
      </c>
      <c r="H934" s="307">
        <f t="shared" ca="1" si="418"/>
        <v>-51.87236058179051</v>
      </c>
      <c r="I934" s="304">
        <f t="shared" ca="1" si="419"/>
        <v>52.018820996558624</v>
      </c>
      <c r="J934" s="306">
        <f t="shared" ca="1" si="420"/>
        <v>56.288824373840264</v>
      </c>
      <c r="K934" s="307">
        <f t="shared" ca="1" si="421"/>
        <v>-3.2620370346677423</v>
      </c>
      <c r="L934" s="304">
        <f t="shared" ca="1" si="406"/>
        <v>56.383265558182934</v>
      </c>
      <c r="M934" s="306">
        <f t="shared" ca="1" si="422"/>
        <v>-1.495738354913251</v>
      </c>
      <c r="N934" s="304">
        <f t="shared" ca="1" si="423"/>
        <v>-85.699494992370106</v>
      </c>
      <c r="P934" s="310">
        <f t="shared" ca="1" si="424"/>
        <v>23</v>
      </c>
      <c r="Q934" s="304">
        <f t="shared" ca="1" si="425"/>
        <v>0</v>
      </c>
      <c r="R934" s="306">
        <f t="shared" ca="1" si="426"/>
        <v>0</v>
      </c>
      <c r="S934" s="307">
        <f t="shared" ca="1" si="427"/>
        <v>2.0843000000000003</v>
      </c>
      <c r="T934" s="304">
        <f t="shared" ca="1" si="407"/>
        <v>20.446983000000003</v>
      </c>
      <c r="U934" s="311">
        <f t="shared" ca="1" si="408"/>
        <v>0</v>
      </c>
      <c r="V934" s="306">
        <f t="shared" ca="1" si="409"/>
        <v>1.2253996647228032</v>
      </c>
      <c r="W934" s="304">
        <f t="shared" ca="1" si="410"/>
        <v>7.2635367293688713</v>
      </c>
      <c r="Y934" s="314" t="str">
        <f t="shared" ca="1" si="428"/>
        <v/>
      </c>
      <c r="Z934" s="315" t="str">
        <f t="shared" ca="1" si="429"/>
        <v/>
      </c>
      <c r="AA934" s="316" t="str">
        <f t="shared" ca="1" si="430"/>
        <v/>
      </c>
      <c r="AC934" s="310" t="e">
        <f t="shared" ca="1" si="431"/>
        <v>#N/A</v>
      </c>
      <c r="AD934" s="323" t="e">
        <f t="shared" ca="1" si="432"/>
        <v>#N/A</v>
      </c>
      <c r="AE934" s="324">
        <f t="shared" ca="1" si="411"/>
        <v>-3.2620370346677423</v>
      </c>
      <c r="AG934" s="306">
        <f t="shared" ca="1" si="433"/>
        <v>6.2975841761564073</v>
      </c>
      <c r="AH934" s="304">
        <f t="shared" ca="1" si="434"/>
        <v>-3.484794459928338</v>
      </c>
    </row>
    <row r="935" spans="1:34" x14ac:dyDescent="0.2">
      <c r="A935" s="347">
        <f t="shared" ca="1" si="412"/>
        <v>1E-4</v>
      </c>
      <c r="B935" s="304">
        <f t="shared" ca="1" si="413"/>
        <v>12.063099999999828</v>
      </c>
      <c r="D935" s="306">
        <f t="shared" ca="1" si="414"/>
        <v>-0.26132254336624539</v>
      </c>
      <c r="E935" s="307">
        <f t="shared" ca="1" si="415"/>
        <v>-6.334931131394276</v>
      </c>
      <c r="F935" s="304">
        <f t="shared" ca="1" si="416"/>
        <v>6.3403187546983606</v>
      </c>
      <c r="G935" s="306">
        <f t="shared" ca="1" si="417"/>
        <v>3.9007360425923423</v>
      </c>
      <c r="H935" s="307">
        <f t="shared" ca="1" si="418"/>
        <v>-51.872994074903652</v>
      </c>
      <c r="I935" s="304">
        <f t="shared" ca="1" si="419"/>
        <v>52.019450746513733</v>
      </c>
      <c r="J935" s="306">
        <f t="shared" ca="1" si="420"/>
        <v>56.288824373840264</v>
      </c>
      <c r="K935" s="307">
        <f t="shared" ca="1" si="421"/>
        <v>-3.2672243024005772</v>
      </c>
      <c r="L935" s="304">
        <f t="shared" ca="1" si="406"/>
        <v>56.383565903827254</v>
      </c>
      <c r="M935" s="306">
        <f t="shared" ca="1" si="422"/>
        <v>-1.4957397690526202</v>
      </c>
      <c r="N935" s="304">
        <f t="shared" ca="1" si="423"/>
        <v>-85.699576016587599</v>
      </c>
      <c r="P935" s="310">
        <f t="shared" ca="1" si="424"/>
        <v>23</v>
      </c>
      <c r="Q935" s="304">
        <f t="shared" ca="1" si="425"/>
        <v>0</v>
      </c>
      <c r="R935" s="306">
        <f t="shared" ca="1" si="426"/>
        <v>0</v>
      </c>
      <c r="S935" s="307">
        <f t="shared" ca="1" si="427"/>
        <v>2.0843000000000003</v>
      </c>
      <c r="T935" s="304">
        <f t="shared" ca="1" si="407"/>
        <v>20.446983000000003</v>
      </c>
      <c r="U935" s="311">
        <f t="shared" ca="1" si="408"/>
        <v>0</v>
      </c>
      <c r="V935" s="306">
        <f t="shared" ca="1" si="409"/>
        <v>1.2254003003705989</v>
      </c>
      <c r="W935" s="304">
        <f t="shared" ca="1" si="410"/>
        <v>7.2637163658908337</v>
      </c>
      <c r="Y935" s="314" t="str">
        <f t="shared" ca="1" si="428"/>
        <v/>
      </c>
      <c r="Z935" s="315" t="str">
        <f t="shared" ca="1" si="429"/>
        <v/>
      </c>
      <c r="AA935" s="316" t="str">
        <f t="shared" ca="1" si="430"/>
        <v/>
      </c>
      <c r="AC935" s="310" t="e">
        <f t="shared" ca="1" si="431"/>
        <v>#N/A</v>
      </c>
      <c r="AD935" s="323" t="e">
        <f t="shared" ca="1" si="432"/>
        <v>#N/A</v>
      </c>
      <c r="AE935" s="324">
        <f t="shared" ca="1" si="411"/>
        <v>-3.2672243024005772</v>
      </c>
      <c r="AG935" s="306">
        <f t="shared" ca="1" si="433"/>
        <v>6.297499030928984</v>
      </c>
      <c r="AH935" s="304">
        <f t="shared" ca="1" si="434"/>
        <v>-3.4848806454775563</v>
      </c>
    </row>
    <row r="936" spans="1:34" x14ac:dyDescent="0.2">
      <c r="A936" s="347">
        <f t="shared" ca="1" si="412"/>
        <v>1E-4</v>
      </c>
      <c r="B936" s="304">
        <f t="shared" ca="1" si="413"/>
        <v>12.063199999999828</v>
      </c>
      <c r="D936" s="306">
        <f t="shared" ca="1" si="414"/>
        <v>-0.26132409185234984</v>
      </c>
      <c r="E936" s="307">
        <f t="shared" ca="1" si="415"/>
        <v>-6.3348448189594126</v>
      </c>
      <c r="F936" s="304">
        <f t="shared" ca="1" si="416"/>
        <v>6.3402325794310865</v>
      </c>
      <c r="G936" s="306">
        <f t="shared" ca="1" si="417"/>
        <v>3.9007099101831573</v>
      </c>
      <c r="H936" s="307">
        <f t="shared" ca="1" si="418"/>
        <v>-51.873627559385547</v>
      </c>
      <c r="I936" s="304">
        <f t="shared" ca="1" si="419"/>
        <v>52.02008048795431</v>
      </c>
      <c r="J936" s="306">
        <f t="shared" ca="1" si="420"/>
        <v>56.288824373840264</v>
      </c>
      <c r="K936" s="307">
        <f t="shared" ca="1" si="421"/>
        <v>-3.2724116334822915</v>
      </c>
      <c r="L936" s="304">
        <f t="shared" ca="1" si="406"/>
        <v>56.383866728772546</v>
      </c>
      <c r="M936" s="306">
        <f t="shared" ca="1" si="422"/>
        <v>-1.495741183148277</v>
      </c>
      <c r="N936" s="304">
        <f t="shared" ca="1" si="423"/>
        <v>-85.699657038300558</v>
      </c>
      <c r="P936" s="310">
        <f t="shared" ca="1" si="424"/>
        <v>23</v>
      </c>
      <c r="Q936" s="304">
        <f t="shared" ca="1" si="425"/>
        <v>0</v>
      </c>
      <c r="R936" s="306">
        <f t="shared" ca="1" si="426"/>
        <v>0</v>
      </c>
      <c r="S936" s="307">
        <f t="shared" ca="1" si="427"/>
        <v>2.0843000000000003</v>
      </c>
      <c r="T936" s="304">
        <f t="shared" ca="1" si="407"/>
        <v>20.446983000000003</v>
      </c>
      <c r="U936" s="311">
        <f t="shared" ca="1" si="408"/>
        <v>0</v>
      </c>
      <c r="V936" s="306">
        <f t="shared" ca="1" si="409"/>
        <v>1.2254009360264875</v>
      </c>
      <c r="W936" s="304">
        <f t="shared" ca="1" si="410"/>
        <v>7.2638960023944366</v>
      </c>
      <c r="Y936" s="314" t="str">
        <f t="shared" ca="1" si="428"/>
        <v/>
      </c>
      <c r="Z936" s="315" t="str">
        <f t="shared" ca="1" si="429"/>
        <v/>
      </c>
      <c r="AA936" s="316" t="str">
        <f t="shared" ca="1" si="430"/>
        <v/>
      </c>
      <c r="AC936" s="310" t="e">
        <f t="shared" ca="1" si="431"/>
        <v>#N/A</v>
      </c>
      <c r="AD936" s="323" t="e">
        <f t="shared" ca="1" si="432"/>
        <v>#N/A</v>
      </c>
      <c r="AE936" s="324">
        <f t="shared" ca="1" si="411"/>
        <v>-3.2724116334822915</v>
      </c>
      <c r="AG936" s="306">
        <f t="shared" ca="1" si="433"/>
        <v>6.2974138856586057</v>
      </c>
      <c r="AH936" s="304">
        <f t="shared" ca="1" si="434"/>
        <v>-3.4849668310180073</v>
      </c>
    </row>
    <row r="937" spans="1:34" x14ac:dyDescent="0.2">
      <c r="A937" s="347">
        <f t="shared" ca="1" si="412"/>
        <v>1E-4</v>
      </c>
      <c r="B937" s="304">
        <f t="shared" ca="1" si="413"/>
        <v>12.063299999999828</v>
      </c>
      <c r="D937" s="306">
        <f t="shared" ca="1" si="414"/>
        <v>-0.26132564024611182</v>
      </c>
      <c r="E937" s="307">
        <f t="shared" ca="1" si="415"/>
        <v>-6.3347585065334275</v>
      </c>
      <c r="F937" s="304">
        <f t="shared" ca="1" si="416"/>
        <v>6.3401464041729874</v>
      </c>
      <c r="G937" s="306">
        <f t="shared" ca="1" si="417"/>
        <v>3.9006837776191325</v>
      </c>
      <c r="H937" s="307">
        <f t="shared" ca="1" si="418"/>
        <v>-51.874261035236202</v>
      </c>
      <c r="I937" s="304">
        <f t="shared" ca="1" si="419"/>
        <v>52.020710220880353</v>
      </c>
      <c r="J937" s="306">
        <f t="shared" ca="1" si="420"/>
        <v>56.288824373840264</v>
      </c>
      <c r="K937" s="307">
        <f t="shared" ca="1" si="421"/>
        <v>-3.2775990279120224</v>
      </c>
      <c r="L937" s="304">
        <f t="shared" ca="1" si="406"/>
        <v>56.384168033028594</v>
      </c>
      <c r="M937" s="306">
        <f t="shared" ca="1" si="422"/>
        <v>-1.4957425972002238</v>
      </c>
      <c r="N937" s="304">
        <f t="shared" ca="1" si="423"/>
        <v>-85.699738057509137</v>
      </c>
      <c r="P937" s="310">
        <f t="shared" ca="1" si="424"/>
        <v>23</v>
      </c>
      <c r="Q937" s="304">
        <f t="shared" ca="1" si="425"/>
        <v>0</v>
      </c>
      <c r="R937" s="306">
        <f t="shared" ca="1" si="426"/>
        <v>0</v>
      </c>
      <c r="S937" s="307">
        <f t="shared" ca="1" si="427"/>
        <v>2.0843000000000003</v>
      </c>
      <c r="T937" s="304">
        <f t="shared" ca="1" si="407"/>
        <v>20.446983000000003</v>
      </c>
      <c r="U937" s="311">
        <f t="shared" ca="1" si="408"/>
        <v>0</v>
      </c>
      <c r="V937" s="306">
        <f t="shared" ca="1" si="409"/>
        <v>1.2254015716904683</v>
      </c>
      <c r="W937" s="304">
        <f t="shared" ca="1" si="410"/>
        <v>7.2640756388795928</v>
      </c>
      <c r="Y937" s="314" t="str">
        <f t="shared" ca="1" si="428"/>
        <v/>
      </c>
      <c r="Z937" s="315" t="str">
        <f t="shared" ca="1" si="429"/>
        <v/>
      </c>
      <c r="AA937" s="316" t="str">
        <f t="shared" ca="1" si="430"/>
        <v/>
      </c>
      <c r="AC937" s="310" t="e">
        <f t="shared" ca="1" si="431"/>
        <v>#N/A</v>
      </c>
      <c r="AD937" s="323" t="e">
        <f t="shared" ca="1" si="432"/>
        <v>#N/A</v>
      </c>
      <c r="AE937" s="324">
        <f t="shared" ca="1" si="411"/>
        <v>-3.2775990279120224</v>
      </c>
      <c r="AG937" s="306">
        <f t="shared" ca="1" si="433"/>
        <v>6.2973287403453204</v>
      </c>
      <c r="AH937" s="304">
        <f t="shared" ca="1" si="434"/>
        <v>-3.4850530165496503</v>
      </c>
    </row>
    <row r="938" spans="1:34" x14ac:dyDescent="0.2">
      <c r="A938" s="347">
        <f t="shared" ca="1" si="412"/>
        <v>1E-4</v>
      </c>
      <c r="B938" s="304">
        <f t="shared" ca="1" si="413"/>
        <v>12.063399999999827</v>
      </c>
      <c r="D938" s="306">
        <f t="shared" ca="1" si="414"/>
        <v>-0.26132718854753101</v>
      </c>
      <c r="E938" s="307">
        <f t="shared" ca="1" si="415"/>
        <v>-6.3346721941163615</v>
      </c>
      <c r="F938" s="304">
        <f t="shared" ca="1" si="416"/>
        <v>6.340060228924103</v>
      </c>
      <c r="G938" s="306">
        <f t="shared" ca="1" si="417"/>
        <v>3.9006576449002779</v>
      </c>
      <c r="H938" s="307">
        <f t="shared" ca="1" si="418"/>
        <v>-51.874894502455611</v>
      </c>
      <c r="I938" s="304">
        <f t="shared" ca="1" si="419"/>
        <v>52.021339945291857</v>
      </c>
      <c r="J938" s="306">
        <f t="shared" ca="1" si="420"/>
        <v>56.288824373840264</v>
      </c>
      <c r="K938" s="307">
        <f t="shared" ca="1" si="421"/>
        <v>-3.2827864856889071</v>
      </c>
      <c r="L938" s="304">
        <f t="shared" ca="1" si="406"/>
        <v>56.38446981660514</v>
      </c>
      <c r="M938" s="306">
        <f t="shared" ca="1" si="422"/>
        <v>-1.4957440112084628</v>
      </c>
      <c r="N938" s="304">
        <f t="shared" ca="1" si="423"/>
        <v>-85.699819074213423</v>
      </c>
      <c r="P938" s="310">
        <f t="shared" ca="1" si="424"/>
        <v>23</v>
      </c>
      <c r="Q938" s="304">
        <f t="shared" ca="1" si="425"/>
        <v>0</v>
      </c>
      <c r="R938" s="306">
        <f t="shared" ca="1" si="426"/>
        <v>0</v>
      </c>
      <c r="S938" s="307">
        <f t="shared" ca="1" si="427"/>
        <v>2.0843000000000003</v>
      </c>
      <c r="T938" s="304">
        <f t="shared" ca="1" si="407"/>
        <v>20.446983000000003</v>
      </c>
      <c r="U938" s="311">
        <f t="shared" ca="1" si="408"/>
        <v>0</v>
      </c>
      <c r="V938" s="306">
        <f t="shared" ca="1" si="409"/>
        <v>1.2254022073625417</v>
      </c>
      <c r="W938" s="304">
        <f t="shared" ca="1" si="410"/>
        <v>7.2642552753462182</v>
      </c>
      <c r="Y938" s="314" t="str">
        <f t="shared" ca="1" si="428"/>
        <v/>
      </c>
      <c r="Z938" s="315" t="str">
        <f t="shared" ca="1" si="429"/>
        <v/>
      </c>
      <c r="AA938" s="316" t="str">
        <f t="shared" ca="1" si="430"/>
        <v/>
      </c>
      <c r="AC938" s="310" t="e">
        <f t="shared" ca="1" si="431"/>
        <v>#N/A</v>
      </c>
      <c r="AD938" s="323" t="e">
        <f t="shared" ca="1" si="432"/>
        <v>#N/A</v>
      </c>
      <c r="AE938" s="324">
        <f t="shared" ca="1" si="411"/>
        <v>-3.2827864856889071</v>
      </c>
      <c r="AG938" s="306">
        <f t="shared" ca="1" si="433"/>
        <v>6.297243594989169</v>
      </c>
      <c r="AH938" s="304">
        <f t="shared" ca="1" si="434"/>
        <v>-3.4851392020724425</v>
      </c>
    </row>
    <row r="939" spans="1:34" x14ac:dyDescent="0.2">
      <c r="A939" s="347">
        <f t="shared" ca="1" si="412"/>
        <v>1E-4</v>
      </c>
      <c r="B939" s="304">
        <f t="shared" ca="1" si="413"/>
        <v>12.063499999999827</v>
      </c>
      <c r="D939" s="306">
        <f t="shared" ca="1" si="414"/>
        <v>-0.26132873675660867</v>
      </c>
      <c r="E939" s="307">
        <f t="shared" ca="1" si="415"/>
        <v>-6.3345858817082572</v>
      </c>
      <c r="F939" s="304">
        <f t="shared" ca="1" si="416"/>
        <v>6.3399740536844771</v>
      </c>
      <c r="G939" s="306">
        <f t="shared" ca="1" si="417"/>
        <v>3.9006315120266022</v>
      </c>
      <c r="H939" s="307">
        <f t="shared" ca="1" si="418"/>
        <v>-51.87552796104378</v>
      </c>
      <c r="I939" s="304">
        <f t="shared" ca="1" si="419"/>
        <v>52.02196966118882</v>
      </c>
      <c r="J939" s="306">
        <f t="shared" ca="1" si="420"/>
        <v>56.288824373840264</v>
      </c>
      <c r="K939" s="307">
        <f t="shared" ca="1" si="421"/>
        <v>-3.2879740068120822</v>
      </c>
      <c r="L939" s="304">
        <f t="shared" ca="1" si="406"/>
        <v>56.384772079511912</v>
      </c>
      <c r="M939" s="306">
        <f t="shared" ca="1" si="422"/>
        <v>-1.495745425172996</v>
      </c>
      <c r="N939" s="304">
        <f t="shared" ca="1" si="423"/>
        <v>-85.699900088413557</v>
      </c>
      <c r="P939" s="310">
        <f t="shared" ca="1" si="424"/>
        <v>23</v>
      </c>
      <c r="Q939" s="304">
        <f t="shared" ca="1" si="425"/>
        <v>0</v>
      </c>
      <c r="R939" s="306">
        <f t="shared" ca="1" si="426"/>
        <v>0</v>
      </c>
      <c r="S939" s="307">
        <f t="shared" ca="1" si="427"/>
        <v>2.0843000000000003</v>
      </c>
      <c r="T939" s="304">
        <f t="shared" ca="1" si="407"/>
        <v>20.446983000000003</v>
      </c>
      <c r="U939" s="311">
        <f t="shared" ca="1" si="408"/>
        <v>0</v>
      </c>
      <c r="V939" s="306">
        <f t="shared" ca="1" si="409"/>
        <v>1.2254028430427073</v>
      </c>
      <c r="W939" s="304">
        <f t="shared" ca="1" si="410"/>
        <v>7.26443491179423</v>
      </c>
      <c r="Y939" s="314" t="str">
        <f t="shared" ca="1" si="428"/>
        <v/>
      </c>
      <c r="Z939" s="315" t="str">
        <f t="shared" ca="1" si="429"/>
        <v/>
      </c>
      <c r="AA939" s="316" t="str">
        <f t="shared" ca="1" si="430"/>
        <v/>
      </c>
      <c r="AC939" s="310" t="e">
        <f t="shared" ca="1" si="431"/>
        <v>#N/A</v>
      </c>
      <c r="AD939" s="323" t="e">
        <f t="shared" ca="1" si="432"/>
        <v>#N/A</v>
      </c>
      <c r="AE939" s="324">
        <f t="shared" ca="1" si="411"/>
        <v>-3.2879740068120822</v>
      </c>
      <c r="AG939" s="306">
        <f t="shared" ca="1" si="433"/>
        <v>6.2971584495901984</v>
      </c>
      <c r="AH939" s="304">
        <f t="shared" ca="1" si="434"/>
        <v>-3.4852253875863441</v>
      </c>
    </row>
    <row r="940" spans="1:34" x14ac:dyDescent="0.2">
      <c r="A940" s="347">
        <f t="shared" ca="1" si="412"/>
        <v>1E-4</v>
      </c>
      <c r="B940" s="304">
        <f t="shared" ca="1" si="413"/>
        <v>12.063599999999827</v>
      </c>
      <c r="D940" s="306">
        <f t="shared" ca="1" si="414"/>
        <v>-0.26133028487334553</v>
      </c>
      <c r="E940" s="307">
        <f t="shared" ca="1" si="415"/>
        <v>-6.3344995693091519</v>
      </c>
      <c r="F940" s="304">
        <f t="shared" ca="1" si="416"/>
        <v>6.3398878784541468</v>
      </c>
      <c r="G940" s="306">
        <f t="shared" ca="1" si="417"/>
        <v>3.9006053789981148</v>
      </c>
      <c r="H940" s="307">
        <f t="shared" ca="1" si="418"/>
        <v>-51.876161411000709</v>
      </c>
      <c r="I940" s="304">
        <f t="shared" ca="1" si="419"/>
        <v>52.022599368571228</v>
      </c>
      <c r="J940" s="306">
        <f t="shared" ca="1" si="420"/>
        <v>56.288824373840264</v>
      </c>
      <c r="K940" s="307">
        <f t="shared" ca="1" si="421"/>
        <v>-3.2931615912806844</v>
      </c>
      <c r="L940" s="304">
        <f t="shared" ca="1" si="406"/>
        <v>56.385074821758643</v>
      </c>
      <c r="M940" s="306">
        <f t="shared" ca="1" si="422"/>
        <v>-1.4957468390938258</v>
      </c>
      <c r="N940" s="304">
        <f t="shared" ca="1" si="423"/>
        <v>-85.699981100109667</v>
      </c>
      <c r="P940" s="310">
        <f t="shared" ca="1" si="424"/>
        <v>23</v>
      </c>
      <c r="Q940" s="304">
        <f t="shared" ca="1" si="425"/>
        <v>0</v>
      </c>
      <c r="R940" s="306">
        <f t="shared" ca="1" si="426"/>
        <v>0</v>
      </c>
      <c r="S940" s="307">
        <f t="shared" ca="1" si="427"/>
        <v>2.0843000000000003</v>
      </c>
      <c r="T940" s="304">
        <f t="shared" ca="1" si="407"/>
        <v>20.446983000000003</v>
      </c>
      <c r="U940" s="311">
        <f t="shared" ca="1" si="408"/>
        <v>0</v>
      </c>
      <c r="V940" s="306">
        <f t="shared" ca="1" si="409"/>
        <v>1.2254034787309651</v>
      </c>
      <c r="W940" s="304">
        <f t="shared" ca="1" si="410"/>
        <v>7.2646145482235367</v>
      </c>
      <c r="Y940" s="314" t="str">
        <f t="shared" ca="1" si="428"/>
        <v/>
      </c>
      <c r="Z940" s="315" t="str">
        <f t="shared" ca="1" si="429"/>
        <v/>
      </c>
      <c r="AA940" s="316" t="str">
        <f t="shared" ca="1" si="430"/>
        <v/>
      </c>
      <c r="AC940" s="310" t="e">
        <f t="shared" ca="1" si="431"/>
        <v>#N/A</v>
      </c>
      <c r="AD940" s="323" t="e">
        <f t="shared" ca="1" si="432"/>
        <v>#N/A</v>
      </c>
      <c r="AE940" s="324">
        <f t="shared" ca="1" si="411"/>
        <v>-3.2931615912806844</v>
      </c>
      <c r="AG940" s="306">
        <f t="shared" ca="1" si="433"/>
        <v>6.2970733041484532</v>
      </c>
      <c r="AH940" s="304">
        <f t="shared" ca="1" si="434"/>
        <v>-3.4853115730913156</v>
      </c>
    </row>
    <row r="941" spans="1:34" x14ac:dyDescent="0.2">
      <c r="A941" s="347">
        <f t="shared" ca="1" si="412"/>
        <v>1E-4</v>
      </c>
      <c r="B941" s="304">
        <f t="shared" ca="1" si="413"/>
        <v>12.063699999999827</v>
      </c>
      <c r="D941" s="306">
        <f t="shared" ca="1" si="414"/>
        <v>-0.26133183289774187</v>
      </c>
      <c r="E941" s="307">
        <f t="shared" ca="1" si="415"/>
        <v>-6.3344132569190901</v>
      </c>
      <c r="F941" s="304">
        <f t="shared" ca="1" si="416"/>
        <v>6.339801703233154</v>
      </c>
      <c r="G941" s="306">
        <f t="shared" ca="1" si="417"/>
        <v>3.900579245814825</v>
      </c>
      <c r="H941" s="307">
        <f t="shared" ca="1" si="418"/>
        <v>-51.876794852326398</v>
      </c>
      <c r="I941" s="304">
        <f t="shared" ca="1" si="419"/>
        <v>52.023229067439097</v>
      </c>
      <c r="J941" s="306">
        <f t="shared" ca="1" si="420"/>
        <v>56.288824373840264</v>
      </c>
      <c r="K941" s="307">
        <f t="shared" ca="1" si="421"/>
        <v>-3.2983492390938509</v>
      </c>
      <c r="L941" s="304">
        <f t="shared" ca="1" si="406"/>
        <v>56.38537804335504</v>
      </c>
      <c r="M941" s="306">
        <f t="shared" ca="1" si="422"/>
        <v>-1.4957482529709536</v>
      </c>
      <c r="N941" s="304">
        <f t="shared" ca="1" si="423"/>
        <v>-85.70006210930184</v>
      </c>
      <c r="P941" s="310">
        <f t="shared" ca="1" si="424"/>
        <v>23</v>
      </c>
      <c r="Q941" s="304">
        <f t="shared" ca="1" si="425"/>
        <v>0</v>
      </c>
      <c r="R941" s="306">
        <f t="shared" ca="1" si="426"/>
        <v>0</v>
      </c>
      <c r="S941" s="307">
        <f t="shared" ca="1" si="427"/>
        <v>2.0843000000000003</v>
      </c>
      <c r="T941" s="304">
        <f t="shared" ca="1" si="407"/>
        <v>20.446983000000003</v>
      </c>
      <c r="U941" s="311">
        <f t="shared" ca="1" si="408"/>
        <v>0</v>
      </c>
      <c r="V941" s="306">
        <f t="shared" ca="1" si="409"/>
        <v>1.2254041144273145</v>
      </c>
      <c r="W941" s="304">
        <f t="shared" ca="1" si="410"/>
        <v>7.2647941846340593</v>
      </c>
      <c r="Y941" s="314" t="str">
        <f t="shared" ca="1" si="428"/>
        <v/>
      </c>
      <c r="Z941" s="315" t="str">
        <f t="shared" ca="1" si="429"/>
        <v/>
      </c>
      <c r="AA941" s="316" t="str">
        <f t="shared" ca="1" si="430"/>
        <v/>
      </c>
      <c r="AC941" s="310" t="e">
        <f t="shared" ca="1" si="431"/>
        <v>#N/A</v>
      </c>
      <c r="AD941" s="323" t="e">
        <f t="shared" ca="1" si="432"/>
        <v>#N/A</v>
      </c>
      <c r="AE941" s="324">
        <f t="shared" ca="1" si="411"/>
        <v>-3.2983492390938509</v>
      </c>
      <c r="AG941" s="306">
        <f t="shared" ca="1" si="433"/>
        <v>6.2969881586639751</v>
      </c>
      <c r="AH941" s="304">
        <f t="shared" ca="1" si="434"/>
        <v>-3.4853977585873128</v>
      </c>
    </row>
    <row r="942" spans="1:34" x14ac:dyDescent="0.2">
      <c r="A942" s="347">
        <f t="shared" ca="1" si="412"/>
        <v>1E-4</v>
      </c>
      <c r="B942" s="304">
        <f t="shared" ca="1" si="413"/>
        <v>12.063799999999826</v>
      </c>
      <c r="D942" s="306">
        <f t="shared" ca="1" si="414"/>
        <v>-0.26133338082980079</v>
      </c>
      <c r="E942" s="307">
        <f t="shared" ca="1" si="415"/>
        <v>-6.3343269445381107</v>
      </c>
      <c r="F942" s="304">
        <f t="shared" ca="1" si="416"/>
        <v>6.3397155280215411</v>
      </c>
      <c r="G942" s="306">
        <f t="shared" ca="1" si="417"/>
        <v>3.9005531124767421</v>
      </c>
      <c r="H942" s="307">
        <f t="shared" ca="1" si="418"/>
        <v>-51.877428285020855</v>
      </c>
      <c r="I942" s="304">
        <f t="shared" ca="1" si="419"/>
        <v>52.023858757792404</v>
      </c>
      <c r="J942" s="306">
        <f t="shared" ca="1" si="420"/>
        <v>56.288824373840264</v>
      </c>
      <c r="K942" s="307">
        <f t="shared" ca="1" si="421"/>
        <v>-3.3035369502507184</v>
      </c>
      <c r="L942" s="304">
        <f t="shared" ca="1" si="406"/>
        <v>56.385681744310816</v>
      </c>
      <c r="M942" s="306">
        <f t="shared" ca="1" si="422"/>
        <v>-1.4957496668043824</v>
      </c>
      <c r="N942" s="304">
        <f t="shared" ca="1" si="423"/>
        <v>-85.700143115990244</v>
      </c>
      <c r="P942" s="310">
        <f t="shared" ca="1" si="424"/>
        <v>23</v>
      </c>
      <c r="Q942" s="304">
        <f t="shared" ca="1" si="425"/>
        <v>0</v>
      </c>
      <c r="R942" s="306">
        <f t="shared" ca="1" si="426"/>
        <v>0</v>
      </c>
      <c r="S942" s="307">
        <f t="shared" ca="1" si="427"/>
        <v>2.0843000000000003</v>
      </c>
      <c r="T942" s="304">
        <f t="shared" ca="1" si="407"/>
        <v>20.446983000000003</v>
      </c>
      <c r="U942" s="311">
        <f t="shared" ca="1" si="408"/>
        <v>0</v>
      </c>
      <c r="V942" s="306">
        <f t="shared" ca="1" si="409"/>
        <v>1.2254047501317566</v>
      </c>
      <c r="W942" s="304">
        <f t="shared" ca="1" si="410"/>
        <v>7.2649738210257135</v>
      </c>
      <c r="Y942" s="314" t="str">
        <f t="shared" ca="1" si="428"/>
        <v/>
      </c>
      <c r="Z942" s="315" t="str">
        <f t="shared" ca="1" si="429"/>
        <v/>
      </c>
      <c r="AA942" s="316" t="str">
        <f t="shared" ca="1" si="430"/>
        <v/>
      </c>
      <c r="AC942" s="310" t="e">
        <f t="shared" ca="1" si="431"/>
        <v>#N/A</v>
      </c>
      <c r="AD942" s="323" t="e">
        <f t="shared" ca="1" si="432"/>
        <v>#N/A</v>
      </c>
      <c r="AE942" s="324">
        <f t="shared" ca="1" si="411"/>
        <v>-3.3035369502507184</v>
      </c>
      <c r="AG942" s="306">
        <f t="shared" ca="1" si="433"/>
        <v>6.2969030131368076</v>
      </c>
      <c r="AH942" s="304">
        <f t="shared" ca="1" si="434"/>
        <v>-3.4854839440742977</v>
      </c>
    </row>
    <row r="943" spans="1:34" x14ac:dyDescent="0.2">
      <c r="A943" s="347">
        <f t="shared" ca="1" si="412"/>
        <v>1E-4</v>
      </c>
      <c r="B943" s="304">
        <f t="shared" ca="1" si="413"/>
        <v>12.063899999999826</v>
      </c>
      <c r="D943" s="306">
        <f t="shared" ca="1" si="414"/>
        <v>-0.26133492866952057</v>
      </c>
      <c r="E943" s="307">
        <f t="shared" ca="1" si="415"/>
        <v>-6.3342406321662539</v>
      </c>
      <c r="F943" s="304">
        <f t="shared" ca="1" si="416"/>
        <v>6.3396293528193466</v>
      </c>
      <c r="G943" s="306">
        <f t="shared" ca="1" si="417"/>
        <v>3.900526978983875</v>
      </c>
      <c r="H943" s="307">
        <f t="shared" ca="1" si="418"/>
        <v>-51.878061709084072</v>
      </c>
      <c r="I943" s="304">
        <f t="shared" ca="1" si="419"/>
        <v>52.024488439631156</v>
      </c>
      <c r="J943" s="306">
        <f t="shared" ca="1" si="420"/>
        <v>56.288824373840264</v>
      </c>
      <c r="K943" s="307">
        <f t="shared" ca="1" si="421"/>
        <v>-3.3087247247504235</v>
      </c>
      <c r="L943" s="304">
        <f t="shared" ca="1" si="406"/>
        <v>56.385985924635641</v>
      </c>
      <c r="M943" s="306">
        <f t="shared" ca="1" si="422"/>
        <v>-1.4957510805941134</v>
      </c>
      <c r="N943" s="304">
        <f t="shared" ca="1" si="423"/>
        <v>-85.700224120174951</v>
      </c>
      <c r="P943" s="310">
        <f t="shared" ca="1" si="424"/>
        <v>23</v>
      </c>
      <c r="Q943" s="304">
        <f t="shared" ca="1" si="425"/>
        <v>0</v>
      </c>
      <c r="R943" s="306">
        <f t="shared" ca="1" si="426"/>
        <v>0</v>
      </c>
      <c r="S943" s="307">
        <f t="shared" ca="1" si="427"/>
        <v>2.0843000000000003</v>
      </c>
      <c r="T943" s="304">
        <f t="shared" ca="1" si="407"/>
        <v>20.446983000000003</v>
      </c>
      <c r="U943" s="311">
        <f t="shared" ca="1" si="408"/>
        <v>0</v>
      </c>
      <c r="V943" s="306">
        <f t="shared" ca="1" si="409"/>
        <v>1.2254053858442902</v>
      </c>
      <c r="W943" s="304">
        <f t="shared" ca="1" si="410"/>
        <v>7.2651534573984105</v>
      </c>
      <c r="Y943" s="314" t="str">
        <f t="shared" ca="1" si="428"/>
        <v/>
      </c>
      <c r="Z943" s="315" t="str">
        <f t="shared" ca="1" si="429"/>
        <v/>
      </c>
      <c r="AA943" s="316" t="str">
        <f t="shared" ca="1" si="430"/>
        <v/>
      </c>
      <c r="AC943" s="310" t="e">
        <f t="shared" ca="1" si="431"/>
        <v>#N/A</v>
      </c>
      <c r="AD943" s="323" t="e">
        <f t="shared" ca="1" si="432"/>
        <v>#N/A</v>
      </c>
      <c r="AE943" s="324">
        <f t="shared" ca="1" si="411"/>
        <v>-3.3087247247504235</v>
      </c>
      <c r="AG943" s="306">
        <f t="shared" ca="1" si="433"/>
        <v>6.2968178675670003</v>
      </c>
      <c r="AH943" s="304">
        <f t="shared" ca="1" si="434"/>
        <v>-3.4855701295522299</v>
      </c>
    </row>
    <row r="944" spans="1:34" x14ac:dyDescent="0.2">
      <c r="A944" s="347">
        <f t="shared" ca="1" si="412"/>
        <v>1E-4</v>
      </c>
      <c r="B944" s="304">
        <f t="shared" ca="1" si="413"/>
        <v>12.063999999999826</v>
      </c>
      <c r="D944" s="306">
        <f t="shared" ca="1" si="414"/>
        <v>-0.26133647641690461</v>
      </c>
      <c r="E944" s="307">
        <f t="shared" ca="1" si="415"/>
        <v>-6.334154319803563</v>
      </c>
      <c r="F944" s="304">
        <f t="shared" ca="1" si="416"/>
        <v>6.3395431776266138</v>
      </c>
      <c r="G944" s="306">
        <f t="shared" ca="1" si="417"/>
        <v>3.9005008453362335</v>
      </c>
      <c r="H944" s="307">
        <f t="shared" ca="1" si="418"/>
        <v>-51.878695124516049</v>
      </c>
      <c r="I944" s="304">
        <f t="shared" ca="1" si="419"/>
        <v>52.02511811295534</v>
      </c>
      <c r="J944" s="306">
        <f t="shared" ca="1" si="420"/>
        <v>56.288824373840264</v>
      </c>
      <c r="K944" s="307">
        <f t="shared" ca="1" si="421"/>
        <v>-3.3139125625921033</v>
      </c>
      <c r="L944" s="304">
        <f t="shared" ca="1" si="406"/>
        <v>56.3862905843392</v>
      </c>
      <c r="M944" s="306">
        <f t="shared" ca="1" si="422"/>
        <v>-1.4957524943401495</v>
      </c>
      <c r="N944" s="304">
        <f t="shared" ca="1" si="423"/>
        <v>-85.700305121856118</v>
      </c>
      <c r="P944" s="310">
        <f t="shared" ca="1" si="424"/>
        <v>23</v>
      </c>
      <c r="Q944" s="304">
        <f t="shared" ca="1" si="425"/>
        <v>0</v>
      </c>
      <c r="R944" s="306">
        <f t="shared" ca="1" si="426"/>
        <v>0</v>
      </c>
      <c r="S944" s="307">
        <f t="shared" ca="1" si="427"/>
        <v>2.0843000000000003</v>
      </c>
      <c r="T944" s="304">
        <f t="shared" ca="1" si="407"/>
        <v>20.446983000000003</v>
      </c>
      <c r="U944" s="311">
        <f t="shared" ca="1" si="408"/>
        <v>0</v>
      </c>
      <c r="V944" s="306">
        <f t="shared" ca="1" si="409"/>
        <v>1.2254060215649161</v>
      </c>
      <c r="W944" s="304">
        <f t="shared" ca="1" si="410"/>
        <v>7.265333093752071</v>
      </c>
      <c r="Y944" s="314" t="str">
        <f t="shared" ca="1" si="428"/>
        <v/>
      </c>
      <c r="Z944" s="315" t="str">
        <f t="shared" ca="1" si="429"/>
        <v/>
      </c>
      <c r="AA944" s="316" t="str">
        <f t="shared" ca="1" si="430"/>
        <v/>
      </c>
      <c r="AC944" s="310" t="e">
        <f t="shared" ca="1" si="431"/>
        <v>#N/A</v>
      </c>
      <c r="AD944" s="323" t="e">
        <f t="shared" ca="1" si="432"/>
        <v>#N/A</v>
      </c>
      <c r="AE944" s="324">
        <f t="shared" ca="1" si="411"/>
        <v>-3.3139125625921033</v>
      </c>
      <c r="AG944" s="306">
        <f t="shared" ca="1" si="433"/>
        <v>6.2967327219545934</v>
      </c>
      <c r="AH944" s="304">
        <f t="shared" ca="1" si="434"/>
        <v>-3.4856563150210667</v>
      </c>
    </row>
    <row r="945" spans="1:34" x14ac:dyDescent="0.2">
      <c r="A945" s="347">
        <f t="shared" ca="1" si="412"/>
        <v>1E-4</v>
      </c>
      <c r="B945" s="304">
        <f t="shared" ca="1" si="413"/>
        <v>12.064099999999826</v>
      </c>
      <c r="D945" s="306">
        <f t="shared" ca="1" si="414"/>
        <v>-0.26133802407195222</v>
      </c>
      <c r="E945" s="307">
        <f t="shared" ca="1" si="415"/>
        <v>-6.3340680074500737</v>
      </c>
      <c r="F945" s="304">
        <f t="shared" ca="1" si="416"/>
        <v>6.3394570024433774</v>
      </c>
      <c r="G945" s="306">
        <f t="shared" ca="1" si="417"/>
        <v>3.9004747115338265</v>
      </c>
      <c r="H945" s="307">
        <f t="shared" ca="1" si="418"/>
        <v>-51.879328531316794</v>
      </c>
      <c r="I945" s="304">
        <f t="shared" ca="1" si="419"/>
        <v>52.025747777764963</v>
      </c>
      <c r="J945" s="306">
        <f t="shared" ca="1" si="420"/>
        <v>56.288824373840264</v>
      </c>
      <c r="K945" s="307">
        <f t="shared" ca="1" si="421"/>
        <v>-3.3191004637748951</v>
      </c>
      <c r="L945" s="304">
        <f t="shared" ca="1" si="406"/>
        <v>56.386595723431157</v>
      </c>
      <c r="M945" s="306">
        <f t="shared" ca="1" si="422"/>
        <v>-1.4957539080424922</v>
      </c>
      <c r="N945" s="304">
        <f t="shared" ca="1" si="423"/>
        <v>-85.700386121033844</v>
      </c>
      <c r="P945" s="310">
        <f t="shared" ca="1" si="424"/>
        <v>23</v>
      </c>
      <c r="Q945" s="304">
        <f t="shared" ca="1" si="425"/>
        <v>0</v>
      </c>
      <c r="R945" s="306">
        <f t="shared" ca="1" si="426"/>
        <v>0</v>
      </c>
      <c r="S945" s="307">
        <f t="shared" ca="1" si="427"/>
        <v>2.0843000000000003</v>
      </c>
      <c r="T945" s="304">
        <f t="shared" ca="1" si="407"/>
        <v>20.446983000000003</v>
      </c>
      <c r="U945" s="311">
        <f t="shared" ca="1" si="408"/>
        <v>0</v>
      </c>
      <c r="V945" s="306">
        <f t="shared" ca="1" si="409"/>
        <v>1.2254066572936331</v>
      </c>
      <c r="W945" s="304">
        <f t="shared" ca="1" si="410"/>
        <v>7.2655127300866011</v>
      </c>
      <c r="Y945" s="314" t="str">
        <f t="shared" ca="1" si="428"/>
        <v/>
      </c>
      <c r="Z945" s="315" t="str">
        <f t="shared" ca="1" si="429"/>
        <v/>
      </c>
      <c r="AA945" s="316" t="str">
        <f t="shared" ca="1" si="430"/>
        <v/>
      </c>
      <c r="AC945" s="310" t="e">
        <f t="shared" ca="1" si="431"/>
        <v>#N/A</v>
      </c>
      <c r="AD945" s="323" t="e">
        <f t="shared" ca="1" si="432"/>
        <v>#N/A</v>
      </c>
      <c r="AE945" s="324">
        <f t="shared" ca="1" si="411"/>
        <v>-3.3191004637748951</v>
      </c>
      <c r="AG945" s="306">
        <f t="shared" ca="1" si="433"/>
        <v>6.2966475762996277</v>
      </c>
      <c r="AH945" s="304">
        <f t="shared" ca="1" si="434"/>
        <v>-3.4857425004807707</v>
      </c>
    </row>
    <row r="946" spans="1:34" x14ac:dyDescent="0.2">
      <c r="A946" s="347">
        <f t="shared" ca="1" si="412"/>
        <v>1E-4</v>
      </c>
      <c r="B946" s="304">
        <f t="shared" ca="1" si="413"/>
        <v>12.064199999999826</v>
      </c>
      <c r="D946" s="306">
        <f t="shared" ca="1" si="414"/>
        <v>-0.2613395716346652</v>
      </c>
      <c r="E946" s="307">
        <f t="shared" ca="1" si="415"/>
        <v>-6.3339816951058339</v>
      </c>
      <c r="F946" s="304">
        <f t="shared" ca="1" si="416"/>
        <v>6.339370827269688</v>
      </c>
      <c r="G946" s="306">
        <f t="shared" ca="1" si="417"/>
        <v>3.9004485775766629</v>
      </c>
      <c r="H946" s="307">
        <f t="shared" ca="1" si="418"/>
        <v>-51.879961929486306</v>
      </c>
      <c r="I946" s="304">
        <f t="shared" ca="1" si="419"/>
        <v>52.026377434060009</v>
      </c>
      <c r="J946" s="306">
        <f t="shared" ca="1" si="420"/>
        <v>56.288824373840264</v>
      </c>
      <c r="K946" s="307">
        <f t="shared" ca="1" si="421"/>
        <v>-3.324288428297935</v>
      </c>
      <c r="L946" s="304">
        <f t="shared" ca="1" si="406"/>
        <v>56.386901341921153</v>
      </c>
      <c r="M946" s="306">
        <f t="shared" ca="1" si="422"/>
        <v>-1.4957553217011441</v>
      </c>
      <c r="N946" s="304">
        <f t="shared" ca="1" si="423"/>
        <v>-85.700467117708271</v>
      </c>
      <c r="P946" s="310">
        <f t="shared" ca="1" si="424"/>
        <v>23</v>
      </c>
      <c r="Q946" s="304">
        <f t="shared" ca="1" si="425"/>
        <v>0</v>
      </c>
      <c r="R946" s="306">
        <f t="shared" ca="1" si="426"/>
        <v>0</v>
      </c>
      <c r="S946" s="307">
        <f t="shared" ca="1" si="427"/>
        <v>2.0843000000000003</v>
      </c>
      <c r="T946" s="304">
        <f t="shared" ca="1" si="407"/>
        <v>20.446983000000003</v>
      </c>
      <c r="U946" s="311">
        <f t="shared" ca="1" si="408"/>
        <v>0</v>
      </c>
      <c r="V946" s="306">
        <f t="shared" ca="1" si="409"/>
        <v>1.2254072930304423</v>
      </c>
      <c r="W946" s="304">
        <f t="shared" ca="1" si="410"/>
        <v>7.2656923664019244</v>
      </c>
      <c r="Y946" s="314" t="str">
        <f t="shared" ca="1" si="428"/>
        <v/>
      </c>
      <c r="Z946" s="315" t="str">
        <f t="shared" ca="1" si="429"/>
        <v/>
      </c>
      <c r="AA946" s="316" t="str">
        <f t="shared" ca="1" si="430"/>
        <v/>
      </c>
      <c r="AC946" s="310" t="e">
        <f t="shared" ca="1" si="431"/>
        <v>#N/A</v>
      </c>
      <c r="AD946" s="323" t="e">
        <f t="shared" ca="1" si="432"/>
        <v>#N/A</v>
      </c>
      <c r="AE946" s="324">
        <f t="shared" ca="1" si="411"/>
        <v>-3.324288428297935</v>
      </c>
      <c r="AG946" s="306">
        <f t="shared" ca="1" si="433"/>
        <v>6.2965624306021528</v>
      </c>
      <c r="AH946" s="304">
        <f t="shared" ca="1" si="434"/>
        <v>-3.4858286859312959</v>
      </c>
    </row>
    <row r="947" spans="1:34" x14ac:dyDescent="0.2">
      <c r="A947" s="347">
        <f t="shared" ca="1" si="412"/>
        <v>1E-4</v>
      </c>
      <c r="B947" s="304">
        <f t="shared" ca="1" si="413"/>
        <v>12.064299999999825</v>
      </c>
      <c r="D947" s="306">
        <f t="shared" ca="1" si="414"/>
        <v>-0.26134111910504354</v>
      </c>
      <c r="E947" s="307">
        <f t="shared" ca="1" si="415"/>
        <v>-6.333895382770879</v>
      </c>
      <c r="F947" s="304">
        <f t="shared" ca="1" si="416"/>
        <v>6.3392846521055786</v>
      </c>
      <c r="G947" s="306">
        <f t="shared" ca="1" si="417"/>
        <v>3.9004224434647523</v>
      </c>
      <c r="H947" s="307">
        <f t="shared" ca="1" si="418"/>
        <v>-51.880595319024586</v>
      </c>
      <c r="I947" s="304">
        <f t="shared" ca="1" si="419"/>
        <v>52.02700708184048</v>
      </c>
      <c r="J947" s="306">
        <f t="shared" ca="1" si="420"/>
        <v>56.288824373840264</v>
      </c>
      <c r="K947" s="307">
        <f t="shared" ca="1" si="421"/>
        <v>-3.3294764561603607</v>
      </c>
      <c r="L947" s="304">
        <f t="shared" ca="1" si="406"/>
        <v>56.38720743981883</v>
      </c>
      <c r="M947" s="306">
        <f t="shared" ca="1" si="422"/>
        <v>-1.495756735316107</v>
      </c>
      <c r="N947" s="304">
        <f t="shared" ca="1" si="423"/>
        <v>-85.700548111879499</v>
      </c>
      <c r="P947" s="310">
        <f t="shared" ca="1" si="424"/>
        <v>23</v>
      </c>
      <c r="Q947" s="304">
        <f t="shared" ca="1" si="425"/>
        <v>0</v>
      </c>
      <c r="R947" s="306">
        <f t="shared" ca="1" si="426"/>
        <v>0</v>
      </c>
      <c r="S947" s="307">
        <f t="shared" ca="1" si="427"/>
        <v>2.0843000000000003</v>
      </c>
      <c r="T947" s="304">
        <f t="shared" ca="1" si="407"/>
        <v>20.446983000000003</v>
      </c>
      <c r="U947" s="311">
        <f t="shared" ca="1" si="408"/>
        <v>0</v>
      </c>
      <c r="V947" s="306">
        <f t="shared" ca="1" si="409"/>
        <v>1.2254079287753425</v>
      </c>
      <c r="W947" s="304">
        <f t="shared" ca="1" si="410"/>
        <v>7.2658720026979475</v>
      </c>
      <c r="Y947" s="314" t="str">
        <f t="shared" ca="1" si="428"/>
        <v/>
      </c>
      <c r="Z947" s="315" t="str">
        <f t="shared" ca="1" si="429"/>
        <v/>
      </c>
      <c r="AA947" s="316" t="str">
        <f t="shared" ca="1" si="430"/>
        <v/>
      </c>
      <c r="AC947" s="310" t="e">
        <f t="shared" ca="1" si="431"/>
        <v>#N/A</v>
      </c>
      <c r="AD947" s="323" t="e">
        <f t="shared" ca="1" si="432"/>
        <v>#N/A</v>
      </c>
      <c r="AE947" s="324">
        <f t="shared" ca="1" si="411"/>
        <v>-3.3294764561603607</v>
      </c>
      <c r="AG947" s="306">
        <f t="shared" ca="1" si="433"/>
        <v>6.2964772848622106</v>
      </c>
      <c r="AH947" s="304">
        <f t="shared" ca="1" si="434"/>
        <v>-3.4859148713726062</v>
      </c>
    </row>
    <row r="948" spans="1:34" x14ac:dyDescent="0.2">
      <c r="A948" s="347">
        <f t="shared" ca="1" si="412"/>
        <v>1E-4</v>
      </c>
      <c r="B948" s="304">
        <f t="shared" ca="1" si="413"/>
        <v>12.064399999999825</v>
      </c>
      <c r="D948" s="306">
        <f t="shared" ca="1" si="414"/>
        <v>-0.26134266648308901</v>
      </c>
      <c r="E948" s="307">
        <f t="shared" ca="1" si="415"/>
        <v>-6.3338090704452537</v>
      </c>
      <c r="F948" s="304">
        <f t="shared" ca="1" si="416"/>
        <v>6.3391984769510934</v>
      </c>
      <c r="G948" s="306">
        <f t="shared" ca="1" si="417"/>
        <v>3.9003963091981042</v>
      </c>
      <c r="H948" s="307">
        <f t="shared" ca="1" si="418"/>
        <v>-51.881228699931633</v>
      </c>
      <c r="I948" s="304">
        <f t="shared" ca="1" si="419"/>
        <v>52.027636721106369</v>
      </c>
      <c r="J948" s="306">
        <f t="shared" ca="1" si="420"/>
        <v>56.288824373840264</v>
      </c>
      <c r="K948" s="307">
        <f t="shared" ca="1" si="421"/>
        <v>-3.3346645473613084</v>
      </c>
      <c r="L948" s="304">
        <f t="shared" ca="1" si="406"/>
        <v>56.387514017133817</v>
      </c>
      <c r="M948" s="306">
        <f t="shared" ca="1" si="422"/>
        <v>-1.4957581488873832</v>
      </c>
      <c r="N948" s="304">
        <f t="shared" ca="1" si="423"/>
        <v>-85.700629103547669</v>
      </c>
      <c r="P948" s="310">
        <f t="shared" ca="1" si="424"/>
        <v>23</v>
      </c>
      <c r="Q948" s="304">
        <f t="shared" ca="1" si="425"/>
        <v>0</v>
      </c>
      <c r="R948" s="306">
        <f t="shared" ca="1" si="426"/>
        <v>0</v>
      </c>
      <c r="S948" s="307">
        <f t="shared" ca="1" si="427"/>
        <v>2.0843000000000003</v>
      </c>
      <c r="T948" s="304">
        <f t="shared" ca="1" si="407"/>
        <v>20.446983000000003</v>
      </c>
      <c r="U948" s="311">
        <f t="shared" ca="1" si="408"/>
        <v>0</v>
      </c>
      <c r="V948" s="306">
        <f t="shared" ca="1" si="409"/>
        <v>1.2254085645283344</v>
      </c>
      <c r="W948" s="304">
        <f t="shared" ca="1" si="410"/>
        <v>7.2660516389745942</v>
      </c>
      <c r="Y948" s="314" t="str">
        <f t="shared" ca="1" si="428"/>
        <v/>
      </c>
      <c r="Z948" s="315" t="str">
        <f t="shared" ca="1" si="429"/>
        <v/>
      </c>
      <c r="AA948" s="316" t="str">
        <f t="shared" ca="1" si="430"/>
        <v/>
      </c>
      <c r="AC948" s="310" t="e">
        <f t="shared" ca="1" si="431"/>
        <v>#N/A</v>
      </c>
      <c r="AD948" s="323" t="e">
        <f t="shared" ca="1" si="432"/>
        <v>#N/A</v>
      </c>
      <c r="AE948" s="324">
        <f t="shared" ca="1" si="411"/>
        <v>-3.3346645473613084</v>
      </c>
      <c r="AG948" s="306">
        <f t="shared" ca="1" si="433"/>
        <v>6.2963921390798472</v>
      </c>
      <c r="AH948" s="304">
        <f t="shared" ca="1" si="434"/>
        <v>-3.4860010568046569</v>
      </c>
    </row>
    <row r="949" spans="1:34" x14ac:dyDescent="0.2">
      <c r="A949" s="347">
        <f t="shared" ca="1" si="412"/>
        <v>1E-4</v>
      </c>
      <c r="B949" s="304">
        <f t="shared" ca="1" si="413"/>
        <v>12.064499999999825</v>
      </c>
      <c r="D949" s="306">
        <f t="shared" ca="1" si="414"/>
        <v>-0.26134421376880185</v>
      </c>
      <c r="E949" s="307">
        <f t="shared" ca="1" si="415"/>
        <v>-6.333722758128995</v>
      </c>
      <c r="F949" s="304">
        <f t="shared" ca="1" si="416"/>
        <v>6.3391123018062707</v>
      </c>
      <c r="G949" s="306">
        <f t="shared" ca="1" si="417"/>
        <v>3.9003701747767274</v>
      </c>
      <c r="H949" s="307">
        <f t="shared" ca="1" si="418"/>
        <v>-51.881862072207447</v>
      </c>
      <c r="I949" s="304">
        <f t="shared" ca="1" si="419"/>
        <v>52.028266351857674</v>
      </c>
      <c r="J949" s="306">
        <f t="shared" ca="1" si="420"/>
        <v>56.288824373840264</v>
      </c>
      <c r="K949" s="307">
        <f t="shared" ca="1" si="421"/>
        <v>-3.3398527018999151</v>
      </c>
      <c r="L949" s="304">
        <f t="shared" ca="1" si="406"/>
        <v>56.387821073875713</v>
      </c>
      <c r="M949" s="306">
        <f t="shared" ca="1" si="422"/>
        <v>-1.4957595624149747</v>
      </c>
      <c r="N949" s="304">
        <f t="shared" ca="1" si="423"/>
        <v>-85.700710092712882</v>
      </c>
      <c r="P949" s="310">
        <f t="shared" ca="1" si="424"/>
        <v>23</v>
      </c>
      <c r="Q949" s="304">
        <f t="shared" ca="1" si="425"/>
        <v>0</v>
      </c>
      <c r="R949" s="306">
        <f t="shared" ca="1" si="426"/>
        <v>0</v>
      </c>
      <c r="S949" s="307">
        <f t="shared" ca="1" si="427"/>
        <v>2.0843000000000003</v>
      </c>
      <c r="T949" s="304">
        <f t="shared" ca="1" si="407"/>
        <v>20.446983000000003</v>
      </c>
      <c r="U949" s="311">
        <f t="shared" ca="1" si="408"/>
        <v>0</v>
      </c>
      <c r="V949" s="306">
        <f t="shared" ca="1" si="409"/>
        <v>1.2254092002894175</v>
      </c>
      <c r="W949" s="304">
        <f t="shared" ca="1" si="410"/>
        <v>7.2662312752317728</v>
      </c>
      <c r="Y949" s="314" t="str">
        <f t="shared" ca="1" si="428"/>
        <v/>
      </c>
      <c r="Z949" s="315" t="str">
        <f t="shared" ca="1" si="429"/>
        <v/>
      </c>
      <c r="AA949" s="316" t="str">
        <f t="shared" ca="1" si="430"/>
        <v/>
      </c>
      <c r="AC949" s="310" t="e">
        <f t="shared" ca="1" si="431"/>
        <v>#N/A</v>
      </c>
      <c r="AD949" s="323" t="e">
        <f t="shared" ca="1" si="432"/>
        <v>#N/A</v>
      </c>
      <c r="AE949" s="324">
        <f t="shared" ca="1" si="411"/>
        <v>-3.3398527018999151</v>
      </c>
      <c r="AG949" s="306">
        <f t="shared" ca="1" si="433"/>
        <v>6.2963069932551026</v>
      </c>
      <c r="AH949" s="304">
        <f t="shared" ca="1" si="434"/>
        <v>-3.4860872422274114</v>
      </c>
    </row>
    <row r="950" spans="1:34" x14ac:dyDescent="0.2">
      <c r="A950" s="347">
        <f t="shared" ca="1" si="412"/>
        <v>1E-4</v>
      </c>
      <c r="B950" s="304">
        <f t="shared" ca="1" si="413"/>
        <v>12.064599999999825</v>
      </c>
      <c r="D950" s="306">
        <f t="shared" ca="1" si="414"/>
        <v>-0.26134576096218376</v>
      </c>
      <c r="E950" s="307">
        <f t="shared" ca="1" si="415"/>
        <v>-6.3336364458221466</v>
      </c>
      <c r="F950" s="304">
        <f t="shared" ca="1" si="416"/>
        <v>6.3390261266711549</v>
      </c>
      <c r="G950" s="306">
        <f t="shared" ca="1" si="417"/>
        <v>3.9003440402006313</v>
      </c>
      <c r="H950" s="307">
        <f t="shared" ca="1" si="418"/>
        <v>-51.882495435852029</v>
      </c>
      <c r="I950" s="304">
        <f t="shared" ca="1" si="419"/>
        <v>52.028895974094389</v>
      </c>
      <c r="J950" s="306">
        <f t="shared" ca="1" si="420"/>
        <v>56.288824373840264</v>
      </c>
      <c r="K950" s="307">
        <f t="shared" ca="1" si="421"/>
        <v>-3.3450409197753181</v>
      </c>
      <c r="L950" s="304">
        <f t="shared" ca="1" si="406"/>
        <v>56.388128610054132</v>
      </c>
      <c r="M950" s="306">
        <f t="shared" ca="1" si="422"/>
        <v>-1.4957609758988835</v>
      </c>
      <c r="N950" s="304">
        <f t="shared" ca="1" si="423"/>
        <v>-85.700791079375264</v>
      </c>
      <c r="P950" s="310">
        <f t="shared" ca="1" si="424"/>
        <v>23</v>
      </c>
      <c r="Q950" s="304">
        <f t="shared" ca="1" si="425"/>
        <v>0</v>
      </c>
      <c r="R950" s="306">
        <f t="shared" ca="1" si="426"/>
        <v>0</v>
      </c>
      <c r="S950" s="307">
        <f t="shared" ca="1" si="427"/>
        <v>2.0843000000000003</v>
      </c>
      <c r="T950" s="304">
        <f t="shared" ca="1" si="407"/>
        <v>20.446983000000003</v>
      </c>
      <c r="U950" s="311">
        <f t="shared" ca="1" si="408"/>
        <v>0</v>
      </c>
      <c r="V950" s="306">
        <f t="shared" ca="1" si="409"/>
        <v>1.2254098360585919</v>
      </c>
      <c r="W950" s="304">
        <f t="shared" ca="1" si="410"/>
        <v>7.2664109114694009</v>
      </c>
      <c r="Y950" s="314" t="str">
        <f t="shared" ca="1" si="428"/>
        <v/>
      </c>
      <c r="Z950" s="315" t="str">
        <f t="shared" ca="1" si="429"/>
        <v/>
      </c>
      <c r="AA950" s="316" t="str">
        <f t="shared" ca="1" si="430"/>
        <v/>
      </c>
      <c r="AC950" s="310" t="e">
        <f t="shared" ca="1" si="431"/>
        <v>#N/A</v>
      </c>
      <c r="AD950" s="323" t="e">
        <f t="shared" ca="1" si="432"/>
        <v>#N/A</v>
      </c>
      <c r="AE950" s="324">
        <f t="shared" ca="1" si="411"/>
        <v>-3.3450409197753181</v>
      </c>
      <c r="AG950" s="306">
        <f t="shared" ca="1" si="433"/>
        <v>6.2962218473880256</v>
      </c>
      <c r="AH950" s="304">
        <f t="shared" ca="1" si="434"/>
        <v>-3.4861734276408254</v>
      </c>
    </row>
    <row r="951" spans="1:34" x14ac:dyDescent="0.2">
      <c r="A951" s="347">
        <f t="shared" ca="1" si="412"/>
        <v>1E-4</v>
      </c>
      <c r="B951" s="304">
        <f t="shared" ca="1" si="413"/>
        <v>12.064699999999824</v>
      </c>
      <c r="D951" s="306">
        <f t="shared" ca="1" si="414"/>
        <v>-0.26134730806323542</v>
      </c>
      <c r="E951" s="307">
        <f t="shared" ca="1" si="415"/>
        <v>-6.3335501335247493</v>
      </c>
      <c r="F951" s="304">
        <f t="shared" ca="1" si="416"/>
        <v>6.3389399515457843</v>
      </c>
      <c r="G951" s="306">
        <f t="shared" ca="1" si="417"/>
        <v>3.9003179054698252</v>
      </c>
      <c r="H951" s="307">
        <f t="shared" ca="1" si="418"/>
        <v>-51.883128790865378</v>
      </c>
      <c r="I951" s="304">
        <f t="shared" ca="1" si="419"/>
        <v>52.029525587816508</v>
      </c>
      <c r="J951" s="306">
        <f t="shared" ca="1" si="420"/>
        <v>56.288824373840264</v>
      </c>
      <c r="K951" s="307">
        <f t="shared" ca="1" si="421"/>
        <v>-3.3502292009866541</v>
      </c>
      <c r="L951" s="304">
        <f t="shared" ca="1" si="406"/>
        <v>56.388436625678651</v>
      </c>
      <c r="M951" s="306">
        <f t="shared" ca="1" si="422"/>
        <v>-1.4957623893391119</v>
      </c>
      <c r="N951" s="304">
        <f t="shared" ca="1" si="423"/>
        <v>-85.700872063534945</v>
      </c>
      <c r="P951" s="310">
        <f t="shared" ca="1" si="424"/>
        <v>23</v>
      </c>
      <c r="Q951" s="304">
        <f t="shared" ca="1" si="425"/>
        <v>0</v>
      </c>
      <c r="R951" s="306">
        <f t="shared" ca="1" si="426"/>
        <v>0</v>
      </c>
      <c r="S951" s="307">
        <f t="shared" ca="1" si="427"/>
        <v>2.0843000000000003</v>
      </c>
      <c r="T951" s="304">
        <f t="shared" ca="1" si="407"/>
        <v>20.446983000000003</v>
      </c>
      <c r="U951" s="311">
        <f t="shared" ca="1" si="408"/>
        <v>0</v>
      </c>
      <c r="V951" s="306">
        <f t="shared" ca="1" si="409"/>
        <v>1.2254104718358576</v>
      </c>
      <c r="W951" s="304">
        <f t="shared" ca="1" si="410"/>
        <v>7.266590547687394</v>
      </c>
      <c r="Y951" s="314" t="str">
        <f t="shared" ca="1" si="428"/>
        <v/>
      </c>
      <c r="Z951" s="315" t="str">
        <f t="shared" ca="1" si="429"/>
        <v/>
      </c>
      <c r="AA951" s="316" t="str">
        <f t="shared" ca="1" si="430"/>
        <v/>
      </c>
      <c r="AC951" s="310" t="e">
        <f t="shared" ca="1" si="431"/>
        <v>#N/A</v>
      </c>
      <c r="AD951" s="323" t="e">
        <f t="shared" ca="1" si="432"/>
        <v>#N/A</v>
      </c>
      <c r="AE951" s="324">
        <f t="shared" ca="1" si="411"/>
        <v>-3.3502292009866541</v>
      </c>
      <c r="AG951" s="306">
        <f t="shared" ca="1" si="433"/>
        <v>6.2961367014786571</v>
      </c>
      <c r="AH951" s="304">
        <f t="shared" ca="1" si="434"/>
        <v>-3.4862596130448593</v>
      </c>
    </row>
    <row r="952" spans="1:34" x14ac:dyDescent="0.2">
      <c r="A952" s="347">
        <f t="shared" ca="1" si="412"/>
        <v>1E-4</v>
      </c>
      <c r="B952" s="304">
        <f t="shared" ca="1" si="413"/>
        <v>12.064799999999824</v>
      </c>
      <c r="D952" s="306">
        <f t="shared" ca="1" si="414"/>
        <v>-0.26134885507195743</v>
      </c>
      <c r="E952" s="307">
        <f t="shared" ca="1" si="415"/>
        <v>-6.3334638212368422</v>
      </c>
      <c r="F952" s="304">
        <f t="shared" ca="1" si="416"/>
        <v>6.3388537764302004</v>
      </c>
      <c r="G952" s="306">
        <f t="shared" ca="1" si="417"/>
        <v>3.9002917705843179</v>
      </c>
      <c r="H952" s="307">
        <f t="shared" ca="1" si="418"/>
        <v>-51.883762137247501</v>
      </c>
      <c r="I952" s="304">
        <f t="shared" ca="1" si="419"/>
        <v>52.030155193024022</v>
      </c>
      <c r="J952" s="306">
        <f t="shared" ca="1" si="420"/>
        <v>56.288824373840264</v>
      </c>
      <c r="K952" s="307">
        <f t="shared" ca="1" si="421"/>
        <v>-3.3554175455330597</v>
      </c>
      <c r="L952" s="304">
        <f t="shared" ca="1" si="406"/>
        <v>56.388745120758848</v>
      </c>
      <c r="M952" s="306">
        <f t="shared" ca="1" si="422"/>
        <v>-1.4957638027356619</v>
      </c>
      <c r="N952" s="304">
        <f t="shared" ca="1" si="423"/>
        <v>-85.700953045192051</v>
      </c>
      <c r="P952" s="310">
        <f t="shared" ca="1" si="424"/>
        <v>23</v>
      </c>
      <c r="Q952" s="304">
        <f t="shared" ca="1" si="425"/>
        <v>0</v>
      </c>
      <c r="R952" s="306">
        <f t="shared" ca="1" si="426"/>
        <v>0</v>
      </c>
      <c r="S952" s="307">
        <f t="shared" ca="1" si="427"/>
        <v>2.0843000000000003</v>
      </c>
      <c r="T952" s="304">
        <f t="shared" ca="1" si="407"/>
        <v>20.446983000000003</v>
      </c>
      <c r="U952" s="311">
        <f t="shared" ca="1" si="408"/>
        <v>0</v>
      </c>
      <c r="V952" s="306">
        <f t="shared" ca="1" si="409"/>
        <v>1.225411107621214</v>
      </c>
      <c r="W952" s="304">
        <f t="shared" ca="1" si="410"/>
        <v>7.2667701838856615</v>
      </c>
      <c r="Y952" s="314" t="str">
        <f t="shared" ca="1" si="428"/>
        <v/>
      </c>
      <c r="Z952" s="315" t="str">
        <f t="shared" ca="1" si="429"/>
        <v/>
      </c>
      <c r="AA952" s="316" t="str">
        <f t="shared" ca="1" si="430"/>
        <v/>
      </c>
      <c r="AC952" s="310" t="e">
        <f t="shared" ca="1" si="431"/>
        <v>#N/A</v>
      </c>
      <c r="AD952" s="323" t="e">
        <f t="shared" ca="1" si="432"/>
        <v>#N/A</v>
      </c>
      <c r="AE952" s="324">
        <f t="shared" ca="1" si="411"/>
        <v>-3.3554175455330597</v>
      </c>
      <c r="AG952" s="306">
        <f t="shared" ca="1" si="433"/>
        <v>6.2960515555270451</v>
      </c>
      <c r="AH952" s="304">
        <f t="shared" ca="1" si="434"/>
        <v>-3.4863457984394728</v>
      </c>
    </row>
    <row r="953" spans="1:34" x14ac:dyDescent="0.2">
      <c r="A953" s="347">
        <f t="shared" ca="1" si="412"/>
        <v>1E-4</v>
      </c>
      <c r="B953" s="304">
        <f t="shared" ca="1" si="413"/>
        <v>12.064899999999824</v>
      </c>
      <c r="D953" s="306">
        <f t="shared" ca="1" si="414"/>
        <v>-0.26135040198835086</v>
      </c>
      <c r="E953" s="307">
        <f t="shared" ca="1" si="415"/>
        <v>-6.3333775089584696</v>
      </c>
      <c r="F953" s="304">
        <f t="shared" ca="1" si="416"/>
        <v>6.3387676013244452</v>
      </c>
      <c r="G953" s="306">
        <f t="shared" ca="1" si="417"/>
        <v>3.9002656355441192</v>
      </c>
      <c r="H953" s="307">
        <f t="shared" ca="1" si="418"/>
        <v>-51.884395474998399</v>
      </c>
      <c r="I953" s="304">
        <f t="shared" ca="1" si="419"/>
        <v>52.030784789716947</v>
      </c>
      <c r="J953" s="306">
        <f t="shared" ca="1" si="420"/>
        <v>56.288824373840264</v>
      </c>
      <c r="K953" s="307">
        <f t="shared" ca="1" si="421"/>
        <v>-3.3606059534136721</v>
      </c>
      <c r="L953" s="304">
        <f t="shared" ca="1" si="406"/>
        <v>56.389054095304289</v>
      </c>
      <c r="M953" s="306">
        <f t="shared" ca="1" si="422"/>
        <v>-1.4957652160885355</v>
      </c>
      <c r="N953" s="304">
        <f t="shared" ca="1" si="423"/>
        <v>-85.701034024346669</v>
      </c>
      <c r="P953" s="310">
        <f t="shared" ca="1" si="424"/>
        <v>23</v>
      </c>
      <c r="Q953" s="304">
        <f t="shared" ca="1" si="425"/>
        <v>0</v>
      </c>
      <c r="R953" s="306">
        <f t="shared" ca="1" si="426"/>
        <v>0</v>
      </c>
      <c r="S953" s="307">
        <f t="shared" ca="1" si="427"/>
        <v>2.0843000000000003</v>
      </c>
      <c r="T953" s="304">
        <f t="shared" ca="1" si="407"/>
        <v>20.446983000000003</v>
      </c>
      <c r="U953" s="311">
        <f t="shared" ca="1" si="408"/>
        <v>0</v>
      </c>
      <c r="V953" s="306">
        <f t="shared" ca="1" si="409"/>
        <v>1.2254117434146619</v>
      </c>
      <c r="W953" s="304">
        <f t="shared" ca="1" si="410"/>
        <v>7.2669498200641307</v>
      </c>
      <c r="Y953" s="314" t="str">
        <f t="shared" ca="1" si="428"/>
        <v/>
      </c>
      <c r="Z953" s="315" t="str">
        <f t="shared" ca="1" si="429"/>
        <v/>
      </c>
      <c r="AA953" s="316" t="str">
        <f t="shared" ca="1" si="430"/>
        <v/>
      </c>
      <c r="AC953" s="310" t="e">
        <f t="shared" ca="1" si="431"/>
        <v>#N/A</v>
      </c>
      <c r="AD953" s="323" t="e">
        <f t="shared" ca="1" si="432"/>
        <v>#N/A</v>
      </c>
      <c r="AE953" s="324">
        <f t="shared" ca="1" si="411"/>
        <v>-3.3606059534136721</v>
      </c>
      <c r="AG953" s="306">
        <f t="shared" ca="1" si="433"/>
        <v>6.2959664095332313</v>
      </c>
      <c r="AH953" s="304">
        <f t="shared" ca="1" si="434"/>
        <v>-3.4864319838246223</v>
      </c>
    </row>
    <row r="954" spans="1:34" x14ac:dyDescent="0.2">
      <c r="A954" s="347">
        <f t="shared" ca="1" si="412"/>
        <v>1E-4</v>
      </c>
      <c r="B954" s="304">
        <f t="shared" ca="1" si="413"/>
        <v>12.064999999999824</v>
      </c>
      <c r="D954" s="306">
        <f t="shared" ca="1" si="414"/>
        <v>-0.26135194881241758</v>
      </c>
      <c r="E954" s="307">
        <f t="shared" ca="1" si="415"/>
        <v>-6.3332911966896663</v>
      </c>
      <c r="F954" s="304">
        <f t="shared" ca="1" si="416"/>
        <v>6.3386814262285558</v>
      </c>
      <c r="G954" s="306">
        <f t="shared" ca="1" si="417"/>
        <v>3.9002395003492381</v>
      </c>
      <c r="H954" s="307">
        <f t="shared" ca="1" si="418"/>
        <v>-51.885028804118072</v>
      </c>
      <c r="I954" s="304">
        <f t="shared" ca="1" si="419"/>
        <v>52.031414377895267</v>
      </c>
      <c r="J954" s="306">
        <f t="shared" ca="1" si="420"/>
        <v>56.288824373840264</v>
      </c>
      <c r="K954" s="307">
        <f t="shared" ca="1" si="421"/>
        <v>-3.3657944246276279</v>
      </c>
      <c r="L954" s="304">
        <f t="shared" ca="1" si="406"/>
        <v>56.389363549324514</v>
      </c>
      <c r="M954" s="306">
        <f t="shared" ca="1" si="422"/>
        <v>-1.495766629397735</v>
      </c>
      <c r="N954" s="304">
        <f t="shared" ca="1" si="423"/>
        <v>-85.701115000998939</v>
      </c>
      <c r="P954" s="310">
        <f t="shared" ca="1" si="424"/>
        <v>23</v>
      </c>
      <c r="Q954" s="304">
        <f t="shared" ca="1" si="425"/>
        <v>0</v>
      </c>
      <c r="R954" s="306">
        <f t="shared" ca="1" si="426"/>
        <v>0</v>
      </c>
      <c r="S954" s="307">
        <f t="shared" ca="1" si="427"/>
        <v>2.0843000000000003</v>
      </c>
      <c r="T954" s="304">
        <f t="shared" ca="1" si="407"/>
        <v>20.446983000000003</v>
      </c>
      <c r="U954" s="311">
        <f t="shared" ca="1" si="408"/>
        <v>0</v>
      </c>
      <c r="V954" s="306">
        <f t="shared" ca="1" si="409"/>
        <v>1.2254123792162002</v>
      </c>
      <c r="W954" s="304">
        <f t="shared" ca="1" si="410"/>
        <v>7.2671294562227065</v>
      </c>
      <c r="Y954" s="314" t="str">
        <f t="shared" ca="1" si="428"/>
        <v/>
      </c>
      <c r="Z954" s="315" t="str">
        <f t="shared" ca="1" si="429"/>
        <v/>
      </c>
      <c r="AA954" s="316" t="str">
        <f t="shared" ca="1" si="430"/>
        <v/>
      </c>
      <c r="AC954" s="310" t="e">
        <f t="shared" ca="1" si="431"/>
        <v>#N/A</v>
      </c>
      <c r="AD954" s="323" t="e">
        <f t="shared" ca="1" si="432"/>
        <v>#N/A</v>
      </c>
      <c r="AE954" s="324">
        <f t="shared" ca="1" si="411"/>
        <v>-3.3657944246276279</v>
      </c>
      <c r="AG954" s="306">
        <f t="shared" ca="1" si="433"/>
        <v>6.2958812634972539</v>
      </c>
      <c r="AH954" s="304">
        <f t="shared" ca="1" si="434"/>
        <v>-3.4865181692002736</v>
      </c>
    </row>
    <row r="955" spans="1:34" x14ac:dyDescent="0.2">
      <c r="A955" s="347">
        <f t="shared" ca="1" si="412"/>
        <v>1E-4</v>
      </c>
      <c r="B955" s="304">
        <f t="shared" ca="1" si="413"/>
        <v>12.065099999999823</v>
      </c>
      <c r="D955" s="306">
        <f t="shared" ca="1" si="414"/>
        <v>-0.26135349554415765</v>
      </c>
      <c r="E955" s="307">
        <f t="shared" ca="1" si="415"/>
        <v>-6.3332048844304776</v>
      </c>
      <c r="F955" s="304">
        <f t="shared" ca="1" si="416"/>
        <v>6.3385952511425758</v>
      </c>
      <c r="G955" s="306">
        <f t="shared" ca="1" si="417"/>
        <v>3.9002133649996837</v>
      </c>
      <c r="H955" s="307">
        <f t="shared" ca="1" si="418"/>
        <v>-51.885662124606512</v>
      </c>
      <c r="I955" s="304">
        <f t="shared" ca="1" si="419"/>
        <v>52.032043957558969</v>
      </c>
      <c r="J955" s="306">
        <f t="shared" ca="1" si="420"/>
        <v>56.288824373840264</v>
      </c>
      <c r="K955" s="307">
        <f t="shared" ca="1" si="421"/>
        <v>-3.3709829591740643</v>
      </c>
      <c r="L955" s="304">
        <f t="shared" ca="1" si="406"/>
        <v>56.389673482829068</v>
      </c>
      <c r="M955" s="306">
        <f t="shared" ca="1" si="422"/>
        <v>-1.4957680426632625</v>
      </c>
      <c r="N955" s="304">
        <f t="shared" ca="1" si="423"/>
        <v>-85.701195975149005</v>
      </c>
      <c r="P955" s="310">
        <f t="shared" ca="1" si="424"/>
        <v>23</v>
      </c>
      <c r="Q955" s="304">
        <f t="shared" ca="1" si="425"/>
        <v>0</v>
      </c>
      <c r="R955" s="306">
        <f t="shared" ca="1" si="426"/>
        <v>0</v>
      </c>
      <c r="S955" s="307">
        <f t="shared" ca="1" si="427"/>
        <v>2.0843000000000003</v>
      </c>
      <c r="T955" s="304">
        <f t="shared" ca="1" si="407"/>
        <v>20.446983000000003</v>
      </c>
      <c r="U955" s="311">
        <f t="shared" ca="1" si="408"/>
        <v>0</v>
      </c>
      <c r="V955" s="306">
        <f t="shared" ca="1" si="409"/>
        <v>1.2254130150258298</v>
      </c>
      <c r="W955" s="304">
        <f t="shared" ca="1" si="410"/>
        <v>7.2673090923613088</v>
      </c>
      <c r="Y955" s="314" t="str">
        <f t="shared" ca="1" si="428"/>
        <v/>
      </c>
      <c r="Z955" s="315" t="str">
        <f t="shared" ca="1" si="429"/>
        <v/>
      </c>
      <c r="AA955" s="316" t="str">
        <f t="shared" ca="1" si="430"/>
        <v/>
      </c>
      <c r="AC955" s="310" t="e">
        <f t="shared" ca="1" si="431"/>
        <v>#N/A</v>
      </c>
      <c r="AD955" s="323" t="e">
        <f t="shared" ca="1" si="432"/>
        <v>#N/A</v>
      </c>
      <c r="AE955" s="324">
        <f t="shared" ca="1" si="411"/>
        <v>-3.3709829591740643</v>
      </c>
      <c r="AG955" s="306">
        <f t="shared" ca="1" si="433"/>
        <v>6.295796117419167</v>
      </c>
      <c r="AH955" s="304">
        <f t="shared" ca="1" si="434"/>
        <v>-3.4866043545663801</v>
      </c>
    </row>
    <row r="956" spans="1:34" x14ac:dyDescent="0.2">
      <c r="A956" s="347">
        <f t="shared" ca="1" si="412"/>
        <v>1E-4</v>
      </c>
      <c r="B956" s="304">
        <f t="shared" ca="1" si="413"/>
        <v>12.065199999999823</v>
      </c>
      <c r="D956" s="306">
        <f t="shared" ca="1" si="414"/>
        <v>-0.26135504218357181</v>
      </c>
      <c r="E956" s="307">
        <f t="shared" ca="1" si="415"/>
        <v>-6.3331185721809424</v>
      </c>
      <c r="F956" s="304">
        <f t="shared" ca="1" si="416"/>
        <v>6.3385090760665443</v>
      </c>
      <c r="G956" s="306">
        <f t="shared" ca="1" si="417"/>
        <v>3.9001872294954656</v>
      </c>
      <c r="H956" s="307">
        <f t="shared" ca="1" si="418"/>
        <v>-51.886295436463733</v>
      </c>
      <c r="I956" s="304">
        <f t="shared" ca="1" si="419"/>
        <v>52.032673528708067</v>
      </c>
      <c r="J956" s="306">
        <f t="shared" ca="1" si="420"/>
        <v>56.288824373840264</v>
      </c>
      <c r="K956" s="307">
        <f t="shared" ca="1" si="421"/>
        <v>-3.376171557052118</v>
      </c>
      <c r="L956" s="304">
        <f t="shared" ca="1" si="406"/>
        <v>56.38998389582747</v>
      </c>
      <c r="M956" s="306">
        <f t="shared" ca="1" si="422"/>
        <v>-1.49576945588512</v>
      </c>
      <c r="N956" s="304">
        <f t="shared" ca="1" si="423"/>
        <v>-85.701276946796952</v>
      </c>
      <c r="P956" s="310">
        <f t="shared" ca="1" si="424"/>
        <v>23</v>
      </c>
      <c r="Q956" s="304">
        <f t="shared" ca="1" si="425"/>
        <v>0</v>
      </c>
      <c r="R956" s="306">
        <f t="shared" ca="1" si="426"/>
        <v>0</v>
      </c>
      <c r="S956" s="307">
        <f t="shared" ca="1" si="427"/>
        <v>2.0843000000000003</v>
      </c>
      <c r="T956" s="304">
        <f t="shared" ca="1" si="407"/>
        <v>20.446983000000003</v>
      </c>
      <c r="U956" s="311">
        <f t="shared" ca="1" si="408"/>
        <v>0</v>
      </c>
      <c r="V956" s="306">
        <f t="shared" ca="1" si="409"/>
        <v>1.2254136508435494</v>
      </c>
      <c r="W956" s="304">
        <f t="shared" ca="1" si="410"/>
        <v>7.2674887284798491</v>
      </c>
      <c r="Y956" s="314" t="str">
        <f t="shared" ca="1" si="428"/>
        <v/>
      </c>
      <c r="Z956" s="315" t="str">
        <f t="shared" ca="1" si="429"/>
        <v/>
      </c>
      <c r="AA956" s="316" t="str">
        <f t="shared" ca="1" si="430"/>
        <v/>
      </c>
      <c r="AC956" s="310" t="e">
        <f t="shared" ca="1" si="431"/>
        <v>#N/A</v>
      </c>
      <c r="AD956" s="323" t="e">
        <f t="shared" ca="1" si="432"/>
        <v>#N/A</v>
      </c>
      <c r="AE956" s="324">
        <f t="shared" ca="1" si="411"/>
        <v>-3.376171557052118</v>
      </c>
      <c r="AG956" s="306">
        <f t="shared" ca="1" si="433"/>
        <v>6.2957109712990089</v>
      </c>
      <c r="AH956" s="304">
        <f t="shared" ca="1" si="434"/>
        <v>-3.4866905399229036</v>
      </c>
    </row>
    <row r="957" spans="1:34" x14ac:dyDescent="0.2">
      <c r="A957" s="347">
        <f t="shared" ca="1" si="412"/>
        <v>1E-4</v>
      </c>
      <c r="B957" s="304">
        <f t="shared" ca="1" si="413"/>
        <v>12.065299999999823</v>
      </c>
      <c r="D957" s="306">
        <f t="shared" ca="1" si="414"/>
        <v>-0.2613565887306612</v>
      </c>
      <c r="E957" s="307">
        <f t="shared" ca="1" si="415"/>
        <v>-6.3330322599411035</v>
      </c>
      <c r="F957" s="304">
        <f t="shared" ca="1" si="416"/>
        <v>6.338422901000504</v>
      </c>
      <c r="G957" s="306">
        <f t="shared" ca="1" si="417"/>
        <v>3.9001610938365925</v>
      </c>
      <c r="H957" s="307">
        <f t="shared" ca="1" si="418"/>
        <v>-51.886928739689729</v>
      </c>
      <c r="I957" s="304">
        <f t="shared" ca="1" si="419"/>
        <v>52.033303091342532</v>
      </c>
      <c r="J957" s="306">
        <f t="shared" ca="1" si="420"/>
        <v>56.288824373840264</v>
      </c>
      <c r="K957" s="307">
        <f t="shared" ca="1" si="421"/>
        <v>-3.3813602182609257</v>
      </c>
      <c r="L957" s="304">
        <f t="shared" ca="1" si="406"/>
        <v>56.390294788329236</v>
      </c>
      <c r="M957" s="306">
        <f t="shared" ca="1" si="422"/>
        <v>-1.4957708690633098</v>
      </c>
      <c r="N957" s="304">
        <f t="shared" ca="1" si="423"/>
        <v>-85.701357915942921</v>
      </c>
      <c r="P957" s="310">
        <f t="shared" ca="1" si="424"/>
        <v>23</v>
      </c>
      <c r="Q957" s="304">
        <f t="shared" ca="1" si="425"/>
        <v>0</v>
      </c>
      <c r="R957" s="306">
        <f t="shared" ca="1" si="426"/>
        <v>0</v>
      </c>
      <c r="S957" s="307">
        <f t="shared" ca="1" si="427"/>
        <v>2.0843000000000003</v>
      </c>
      <c r="T957" s="304">
        <f t="shared" ca="1" si="407"/>
        <v>20.446983000000003</v>
      </c>
      <c r="U957" s="311">
        <f t="shared" ca="1" si="408"/>
        <v>0</v>
      </c>
      <c r="V957" s="306">
        <f t="shared" ca="1" si="409"/>
        <v>1.22541428666936</v>
      </c>
      <c r="W957" s="304">
        <f t="shared" ca="1" si="410"/>
        <v>7.2676683645782427</v>
      </c>
      <c r="Y957" s="314" t="str">
        <f t="shared" ca="1" si="428"/>
        <v/>
      </c>
      <c r="Z957" s="315" t="str">
        <f t="shared" ca="1" si="429"/>
        <v/>
      </c>
      <c r="AA957" s="316" t="str">
        <f t="shared" ca="1" si="430"/>
        <v/>
      </c>
      <c r="AC957" s="310" t="e">
        <f t="shared" ca="1" si="431"/>
        <v>#N/A</v>
      </c>
      <c r="AD957" s="323" t="e">
        <f t="shared" ca="1" si="432"/>
        <v>#N/A</v>
      </c>
      <c r="AE957" s="324">
        <f t="shared" ca="1" si="411"/>
        <v>-3.3813602182609257</v>
      </c>
      <c r="AG957" s="306">
        <f t="shared" ca="1" si="433"/>
        <v>6.2956258251368258</v>
      </c>
      <c r="AH957" s="304">
        <f t="shared" ca="1" si="434"/>
        <v>-3.4867767252698019</v>
      </c>
    </row>
    <row r="958" spans="1:34" x14ac:dyDescent="0.2">
      <c r="A958" s="347">
        <f t="shared" ca="1" si="412"/>
        <v>1E-4</v>
      </c>
      <c r="B958" s="304">
        <f t="shared" ca="1" si="413"/>
        <v>12.065399999999823</v>
      </c>
      <c r="D958" s="306">
        <f t="shared" ca="1" si="414"/>
        <v>-0.2613581351854265</v>
      </c>
      <c r="E958" s="307">
        <f t="shared" ca="1" si="415"/>
        <v>-6.3329459477109999</v>
      </c>
      <c r="F958" s="304">
        <f t="shared" ca="1" si="416"/>
        <v>6.3383367259444947</v>
      </c>
      <c r="G958" s="306">
        <f t="shared" ca="1" si="417"/>
        <v>3.9001349580230738</v>
      </c>
      <c r="H958" s="307">
        <f t="shared" ca="1" si="418"/>
        <v>-51.8875620342845</v>
      </c>
      <c r="I958" s="304">
        <f t="shared" ca="1" si="419"/>
        <v>52.033932645462379</v>
      </c>
      <c r="J958" s="306">
        <f t="shared" ca="1" si="420"/>
        <v>56.288824373840264</v>
      </c>
      <c r="K958" s="307">
        <f t="shared" ca="1" si="421"/>
        <v>-3.3865489427996245</v>
      </c>
      <c r="L958" s="304">
        <f t="shared" ca="1" si="406"/>
        <v>56.390606160343864</v>
      </c>
      <c r="M958" s="306">
        <f t="shared" ca="1" si="422"/>
        <v>-1.4957722821978336</v>
      </c>
      <c r="N958" s="304">
        <f t="shared" ca="1" si="423"/>
        <v>-85.701438882587027</v>
      </c>
      <c r="P958" s="310">
        <f t="shared" ca="1" si="424"/>
        <v>23</v>
      </c>
      <c r="Q958" s="304">
        <f t="shared" ca="1" si="425"/>
        <v>0</v>
      </c>
      <c r="R958" s="306">
        <f t="shared" ca="1" si="426"/>
        <v>0</v>
      </c>
      <c r="S958" s="307">
        <f t="shared" ca="1" si="427"/>
        <v>2.0843000000000003</v>
      </c>
      <c r="T958" s="304">
        <f t="shared" ca="1" si="407"/>
        <v>20.446983000000003</v>
      </c>
      <c r="U958" s="311">
        <f t="shared" ca="1" si="408"/>
        <v>0</v>
      </c>
      <c r="V958" s="306">
        <f t="shared" ca="1" si="409"/>
        <v>1.2254149225032611</v>
      </c>
      <c r="W958" s="304">
        <f t="shared" ca="1" si="410"/>
        <v>7.2678480006564055</v>
      </c>
      <c r="Y958" s="314" t="str">
        <f t="shared" ca="1" si="428"/>
        <v/>
      </c>
      <c r="Z958" s="315" t="str">
        <f t="shared" ca="1" si="429"/>
        <v/>
      </c>
      <c r="AA958" s="316" t="str">
        <f t="shared" ca="1" si="430"/>
        <v/>
      </c>
      <c r="AC958" s="310" t="e">
        <f t="shared" ca="1" si="431"/>
        <v>#N/A</v>
      </c>
      <c r="AD958" s="323" t="e">
        <f t="shared" ca="1" si="432"/>
        <v>#N/A</v>
      </c>
      <c r="AE958" s="324">
        <f t="shared" ca="1" si="411"/>
        <v>-3.3865489427996245</v>
      </c>
      <c r="AG958" s="306">
        <f t="shared" ca="1" si="433"/>
        <v>6.2955406789326629</v>
      </c>
      <c r="AH958" s="304">
        <f t="shared" ca="1" si="434"/>
        <v>-3.4868629106070346</v>
      </c>
    </row>
    <row r="959" spans="1:34" x14ac:dyDescent="0.2">
      <c r="A959" s="347">
        <f t="shared" ca="1" si="412"/>
        <v>1E-4</v>
      </c>
      <c r="B959" s="304">
        <f t="shared" ca="1" si="413"/>
        <v>12.065499999999822</v>
      </c>
      <c r="D959" s="306">
        <f t="shared" ca="1" si="414"/>
        <v>-0.2613596815478697</v>
      </c>
      <c r="E959" s="307">
        <f t="shared" ca="1" si="415"/>
        <v>-6.3328596354906752</v>
      </c>
      <c r="F959" s="304">
        <f t="shared" ca="1" si="416"/>
        <v>6.3382505508985592</v>
      </c>
      <c r="G959" s="306">
        <f t="shared" ca="1" si="417"/>
        <v>3.9001088220549192</v>
      </c>
      <c r="H959" s="307">
        <f t="shared" ca="1" si="418"/>
        <v>-51.888195320248052</v>
      </c>
      <c r="I959" s="304">
        <f t="shared" ca="1" si="419"/>
        <v>52.0345621910676</v>
      </c>
      <c r="J959" s="306">
        <f t="shared" ca="1" si="420"/>
        <v>56.288824373840264</v>
      </c>
      <c r="K959" s="307">
        <f t="shared" ca="1" si="421"/>
        <v>-3.3917377306673511</v>
      </c>
      <c r="L959" s="304">
        <f t="shared" ca="1" si="406"/>
        <v>56.390918011880835</v>
      </c>
      <c r="M959" s="306">
        <f t="shared" ca="1" si="422"/>
        <v>-1.495773695288694</v>
      </c>
      <c r="N959" s="304">
        <f t="shared" ca="1" si="423"/>
        <v>-85.701519846729397</v>
      </c>
      <c r="P959" s="310">
        <f t="shared" ca="1" si="424"/>
        <v>23</v>
      </c>
      <c r="Q959" s="304">
        <f t="shared" ca="1" si="425"/>
        <v>0</v>
      </c>
      <c r="R959" s="306">
        <f t="shared" ca="1" si="426"/>
        <v>0</v>
      </c>
      <c r="S959" s="307">
        <f t="shared" ca="1" si="427"/>
        <v>2.0843000000000003</v>
      </c>
      <c r="T959" s="304">
        <f t="shared" ca="1" si="407"/>
        <v>20.446983000000003</v>
      </c>
      <c r="U959" s="311">
        <f t="shared" ca="1" si="408"/>
        <v>0</v>
      </c>
      <c r="V959" s="306">
        <f t="shared" ca="1" si="409"/>
        <v>1.2254155583452528</v>
      </c>
      <c r="W959" s="304">
        <f t="shared" ca="1" si="410"/>
        <v>7.2680276367142564</v>
      </c>
      <c r="Y959" s="314" t="str">
        <f t="shared" ca="1" si="428"/>
        <v/>
      </c>
      <c r="Z959" s="315" t="str">
        <f t="shared" ca="1" si="429"/>
        <v/>
      </c>
      <c r="AA959" s="316" t="str">
        <f t="shared" ca="1" si="430"/>
        <v/>
      </c>
      <c r="AC959" s="310" t="e">
        <f t="shared" ca="1" si="431"/>
        <v>#N/A</v>
      </c>
      <c r="AD959" s="323" t="e">
        <f t="shared" ca="1" si="432"/>
        <v>#N/A</v>
      </c>
      <c r="AE959" s="324">
        <f t="shared" ca="1" si="411"/>
        <v>-3.3917377306673511</v>
      </c>
      <c r="AG959" s="306">
        <f t="shared" ca="1" si="433"/>
        <v>6.295455532686562</v>
      </c>
      <c r="AH959" s="304">
        <f t="shared" ca="1" si="434"/>
        <v>-3.4869490959345604</v>
      </c>
    </row>
    <row r="960" spans="1:34" x14ac:dyDescent="0.2">
      <c r="A960" s="347">
        <f t="shared" ca="1" si="412"/>
        <v>1E-4</v>
      </c>
      <c r="B960" s="304">
        <f t="shared" ca="1" si="413"/>
        <v>12.065599999999822</v>
      </c>
      <c r="D960" s="306">
        <f t="shared" ca="1" si="414"/>
        <v>-0.26136122781799087</v>
      </c>
      <c r="E960" s="307">
        <f t="shared" ca="1" si="415"/>
        <v>-6.3327733232801648</v>
      </c>
      <c r="F960" s="304">
        <f t="shared" ca="1" si="416"/>
        <v>6.3381643758627328</v>
      </c>
      <c r="G960" s="306">
        <f t="shared" ca="1" si="417"/>
        <v>3.9000826859321371</v>
      </c>
      <c r="H960" s="307">
        <f t="shared" ca="1" si="418"/>
        <v>-51.888828597580378</v>
      </c>
      <c r="I960" s="304">
        <f t="shared" ca="1" si="419"/>
        <v>52.035191728158189</v>
      </c>
      <c r="J960" s="306">
        <f t="shared" ca="1" si="420"/>
        <v>56.288824373840264</v>
      </c>
      <c r="K960" s="307">
        <f t="shared" ca="1" si="421"/>
        <v>-3.3969265818632426</v>
      </c>
      <c r="L960" s="304">
        <f t="shared" ca="1" si="406"/>
        <v>56.391230342949633</v>
      </c>
      <c r="M960" s="306">
        <f t="shared" ca="1" si="422"/>
        <v>-1.495775108335893</v>
      </c>
      <c r="N960" s="304">
        <f t="shared" ca="1" si="423"/>
        <v>-85.701600808370145</v>
      </c>
      <c r="P960" s="310">
        <f t="shared" ca="1" si="424"/>
        <v>23</v>
      </c>
      <c r="Q960" s="304">
        <f t="shared" ca="1" si="425"/>
        <v>0</v>
      </c>
      <c r="R960" s="306">
        <f t="shared" ca="1" si="426"/>
        <v>0</v>
      </c>
      <c r="S960" s="307">
        <f t="shared" ca="1" si="427"/>
        <v>2.0843000000000003</v>
      </c>
      <c r="T960" s="304">
        <f t="shared" ca="1" si="407"/>
        <v>20.446983000000003</v>
      </c>
      <c r="U960" s="311">
        <f t="shared" ca="1" si="408"/>
        <v>0</v>
      </c>
      <c r="V960" s="306">
        <f t="shared" ca="1" si="409"/>
        <v>1.2254161941953345</v>
      </c>
      <c r="W960" s="304">
        <f t="shared" ca="1" si="410"/>
        <v>7.2682072727517042</v>
      </c>
      <c r="Y960" s="314" t="str">
        <f t="shared" ca="1" si="428"/>
        <v/>
      </c>
      <c r="Z960" s="315" t="str">
        <f t="shared" ca="1" si="429"/>
        <v/>
      </c>
      <c r="AA960" s="316" t="str">
        <f t="shared" ca="1" si="430"/>
        <v/>
      </c>
      <c r="AC960" s="310" t="e">
        <f t="shared" ca="1" si="431"/>
        <v>#N/A</v>
      </c>
      <c r="AD960" s="323" t="e">
        <f t="shared" ca="1" si="432"/>
        <v>#N/A</v>
      </c>
      <c r="AE960" s="324">
        <f t="shared" ca="1" si="411"/>
        <v>-3.3969265818632426</v>
      </c>
      <c r="AG960" s="306">
        <f t="shared" ca="1" si="433"/>
        <v>6.2953703863985666</v>
      </c>
      <c r="AH960" s="304">
        <f t="shared" ca="1" si="434"/>
        <v>-3.4870352812523415</v>
      </c>
    </row>
    <row r="961" spans="1:34" x14ac:dyDescent="0.2">
      <c r="A961" s="347">
        <f t="shared" ca="1" si="412"/>
        <v>1E-4</v>
      </c>
      <c r="B961" s="304">
        <f t="shared" ca="1" si="413"/>
        <v>12.065699999999822</v>
      </c>
      <c r="D961" s="306">
        <f t="shared" ca="1" si="414"/>
        <v>-0.26136277399579017</v>
      </c>
      <c r="E961" s="307">
        <f t="shared" ca="1" si="415"/>
        <v>-6.3326870110795159</v>
      </c>
      <c r="F961" s="304">
        <f t="shared" ca="1" si="416"/>
        <v>6.3380782008370637</v>
      </c>
      <c r="G961" s="306">
        <f t="shared" ca="1" si="417"/>
        <v>3.9000565496547375</v>
      </c>
      <c r="H961" s="307">
        <f t="shared" ca="1" si="418"/>
        <v>-51.889461866281486</v>
      </c>
      <c r="I961" s="304">
        <f t="shared" ca="1" si="419"/>
        <v>52.035821256734145</v>
      </c>
      <c r="J961" s="306">
        <f t="shared" ca="1" si="420"/>
        <v>56.288824373840264</v>
      </c>
      <c r="K961" s="307">
        <f t="shared" ca="1" si="421"/>
        <v>-3.4021154963864357</v>
      </c>
      <c r="L961" s="304">
        <f t="shared" ca="1" si="406"/>
        <v>56.391543153559709</v>
      </c>
      <c r="M961" s="306">
        <f t="shared" ca="1" si="422"/>
        <v>-1.4957765213394323</v>
      </c>
      <c r="N961" s="304">
        <f t="shared" ca="1" si="423"/>
        <v>-85.701681767509385</v>
      </c>
      <c r="P961" s="310">
        <f t="shared" ca="1" si="424"/>
        <v>23</v>
      </c>
      <c r="Q961" s="304">
        <f t="shared" ca="1" si="425"/>
        <v>0</v>
      </c>
      <c r="R961" s="306">
        <f t="shared" ca="1" si="426"/>
        <v>0</v>
      </c>
      <c r="S961" s="307">
        <f t="shared" ca="1" si="427"/>
        <v>2.0843000000000003</v>
      </c>
      <c r="T961" s="304">
        <f t="shared" ca="1" si="407"/>
        <v>20.446983000000003</v>
      </c>
      <c r="U961" s="311">
        <f t="shared" ca="1" si="408"/>
        <v>0</v>
      </c>
      <c r="V961" s="306">
        <f t="shared" ca="1" si="409"/>
        <v>1.2254168300535064</v>
      </c>
      <c r="W961" s="304">
        <f t="shared" ca="1" si="410"/>
        <v>7.268386908768667</v>
      </c>
      <c r="Y961" s="314" t="str">
        <f t="shared" ca="1" si="428"/>
        <v/>
      </c>
      <c r="Z961" s="315" t="str">
        <f t="shared" ca="1" si="429"/>
        <v/>
      </c>
      <c r="AA961" s="316" t="str">
        <f t="shared" ca="1" si="430"/>
        <v/>
      </c>
      <c r="AC961" s="310" t="e">
        <f t="shared" ca="1" si="431"/>
        <v>#N/A</v>
      </c>
      <c r="AD961" s="323" t="e">
        <f t="shared" ca="1" si="432"/>
        <v>#N/A</v>
      </c>
      <c r="AE961" s="324">
        <f t="shared" ca="1" si="411"/>
        <v>-3.4021154963864357</v>
      </c>
      <c r="AG961" s="306">
        <f t="shared" ca="1" si="433"/>
        <v>6.2952852400687238</v>
      </c>
      <c r="AH961" s="304">
        <f t="shared" ca="1" si="434"/>
        <v>-3.4871214665603336</v>
      </c>
    </row>
    <row r="962" spans="1:34" x14ac:dyDescent="0.2">
      <c r="A962" s="347">
        <f t="shared" ca="1" si="412"/>
        <v>1E-4</v>
      </c>
      <c r="B962" s="304">
        <f t="shared" ca="1" si="413"/>
        <v>12.065799999999822</v>
      </c>
      <c r="D962" s="306">
        <f t="shared" ca="1" si="414"/>
        <v>-0.26136432008127064</v>
      </c>
      <c r="E962" s="307">
        <f t="shared" ca="1" si="415"/>
        <v>-6.3326006988887649</v>
      </c>
      <c r="F962" s="304">
        <f t="shared" ca="1" si="416"/>
        <v>6.3379920258215865</v>
      </c>
      <c r="G962" s="306">
        <f t="shared" ca="1" si="417"/>
        <v>3.9000304132227295</v>
      </c>
      <c r="H962" s="307">
        <f t="shared" ca="1" si="418"/>
        <v>-51.890095126351376</v>
      </c>
      <c r="I962" s="304">
        <f t="shared" ca="1" si="419"/>
        <v>52.036450776795462</v>
      </c>
      <c r="J962" s="306">
        <f t="shared" ca="1" si="420"/>
        <v>56.288824373840264</v>
      </c>
      <c r="K962" s="307">
        <f t="shared" ca="1" si="421"/>
        <v>-3.4073044742360672</v>
      </c>
      <c r="L962" s="304">
        <f t="shared" ca="1" si="406"/>
        <v>56.391856443720513</v>
      </c>
      <c r="M962" s="306">
        <f t="shared" ca="1" si="422"/>
        <v>-1.4957779342993143</v>
      </c>
      <c r="N962" s="304">
        <f t="shared" ca="1" si="423"/>
        <v>-85.701762724147244</v>
      </c>
      <c r="P962" s="310">
        <f t="shared" ca="1" si="424"/>
        <v>23</v>
      </c>
      <c r="Q962" s="304">
        <f t="shared" ca="1" si="425"/>
        <v>0</v>
      </c>
      <c r="R962" s="306">
        <f t="shared" ca="1" si="426"/>
        <v>0</v>
      </c>
      <c r="S962" s="307">
        <f t="shared" ca="1" si="427"/>
        <v>2.0843000000000003</v>
      </c>
      <c r="T962" s="304">
        <f t="shared" ca="1" si="407"/>
        <v>20.446983000000003</v>
      </c>
      <c r="U962" s="311">
        <f t="shared" ca="1" si="408"/>
        <v>0</v>
      </c>
      <c r="V962" s="306">
        <f t="shared" ca="1" si="409"/>
        <v>1.2254174659197687</v>
      </c>
      <c r="W962" s="304">
        <f t="shared" ca="1" si="410"/>
        <v>7.2685665447650623</v>
      </c>
      <c r="Y962" s="314" t="str">
        <f t="shared" ca="1" si="428"/>
        <v/>
      </c>
      <c r="Z962" s="315" t="str">
        <f t="shared" ca="1" si="429"/>
        <v/>
      </c>
      <c r="AA962" s="316" t="str">
        <f t="shared" ca="1" si="430"/>
        <v/>
      </c>
      <c r="AC962" s="310" t="e">
        <f t="shared" ca="1" si="431"/>
        <v>#N/A</v>
      </c>
      <c r="AD962" s="323" t="e">
        <f t="shared" ca="1" si="432"/>
        <v>#N/A</v>
      </c>
      <c r="AE962" s="324">
        <f t="shared" ca="1" si="411"/>
        <v>-3.4073044742360672</v>
      </c>
      <c r="AG962" s="306">
        <f t="shared" ca="1" si="433"/>
        <v>6.2952000936970745</v>
      </c>
      <c r="AH962" s="304">
        <f t="shared" ca="1" si="434"/>
        <v>-3.4872076518584976</v>
      </c>
    </row>
    <row r="963" spans="1:34" x14ac:dyDescent="0.2">
      <c r="A963" s="347">
        <f t="shared" ca="1" si="412"/>
        <v>1E-4</v>
      </c>
      <c r="B963" s="304">
        <f t="shared" ca="1" si="413"/>
        <v>12.065899999999822</v>
      </c>
      <c r="D963" s="306">
        <f t="shared" ca="1" si="414"/>
        <v>-0.26136586607443213</v>
      </c>
      <c r="E963" s="307">
        <f t="shared" ca="1" si="415"/>
        <v>-6.3325143867079525</v>
      </c>
      <c r="F963" s="304">
        <f t="shared" ca="1" si="416"/>
        <v>6.3379058508163428</v>
      </c>
      <c r="G963" s="306">
        <f t="shared" ca="1" si="417"/>
        <v>3.900004276636122</v>
      </c>
      <c r="H963" s="307">
        <f t="shared" ca="1" si="418"/>
        <v>-51.890728377790047</v>
      </c>
      <c r="I963" s="304">
        <f t="shared" ca="1" si="419"/>
        <v>52.037080288342132</v>
      </c>
      <c r="J963" s="306">
        <f t="shared" ca="1" si="420"/>
        <v>56.288824373840264</v>
      </c>
      <c r="K963" s="307">
        <f t="shared" ca="1" si="421"/>
        <v>-3.4124935154112741</v>
      </c>
      <c r="L963" s="304">
        <f t="shared" ca="1" si="406"/>
        <v>56.392170213441496</v>
      </c>
      <c r="M963" s="306">
        <f t="shared" ca="1" si="422"/>
        <v>-1.4957793472155412</v>
      </c>
      <c r="N963" s="304">
        <f t="shared" ca="1" si="423"/>
        <v>-85.701843678283851</v>
      </c>
      <c r="P963" s="310">
        <f t="shared" ca="1" si="424"/>
        <v>23</v>
      </c>
      <c r="Q963" s="304">
        <f t="shared" ca="1" si="425"/>
        <v>0</v>
      </c>
      <c r="R963" s="306">
        <f t="shared" ca="1" si="426"/>
        <v>0</v>
      </c>
      <c r="S963" s="307">
        <f t="shared" ca="1" si="427"/>
        <v>2.0843000000000003</v>
      </c>
      <c r="T963" s="304">
        <f t="shared" ca="1" si="407"/>
        <v>20.446983000000003</v>
      </c>
      <c r="U963" s="311">
        <f t="shared" ca="1" si="408"/>
        <v>0</v>
      </c>
      <c r="V963" s="306">
        <f t="shared" ca="1" si="409"/>
        <v>1.2254181017941208</v>
      </c>
      <c r="W963" s="304">
        <f t="shared" ca="1" si="410"/>
        <v>7.2687461807407985</v>
      </c>
      <c r="Y963" s="314" t="str">
        <f t="shared" ca="1" si="428"/>
        <v/>
      </c>
      <c r="Z963" s="315" t="str">
        <f t="shared" ca="1" si="429"/>
        <v/>
      </c>
      <c r="AA963" s="316" t="str">
        <f t="shared" ca="1" si="430"/>
        <v/>
      </c>
      <c r="AC963" s="310" t="e">
        <f t="shared" ca="1" si="431"/>
        <v>#N/A</v>
      </c>
      <c r="AD963" s="323" t="e">
        <f t="shared" ca="1" si="432"/>
        <v>#N/A</v>
      </c>
      <c r="AE963" s="324">
        <f t="shared" ca="1" si="411"/>
        <v>-3.4124935154112741</v>
      </c>
      <c r="AG963" s="306">
        <f t="shared" ca="1" si="433"/>
        <v>6.2951149472836629</v>
      </c>
      <c r="AH963" s="304">
        <f t="shared" ca="1" si="434"/>
        <v>-3.4872938371467934</v>
      </c>
    </row>
    <row r="964" spans="1:34" x14ac:dyDescent="0.2">
      <c r="A964" s="347">
        <f t="shared" ca="1" si="412"/>
        <v>1E-4</v>
      </c>
      <c r="B964" s="304">
        <f t="shared" ca="1" si="413"/>
        <v>12.065999999999821</v>
      </c>
      <c r="D964" s="306">
        <f t="shared" ca="1" si="414"/>
        <v>-0.26136741197527491</v>
      </c>
      <c r="E964" s="307">
        <f t="shared" ca="1" si="415"/>
        <v>-6.3324280745371233</v>
      </c>
      <c r="F964" s="304">
        <f t="shared" ca="1" si="416"/>
        <v>6.3378196758213772</v>
      </c>
      <c r="G964" s="306">
        <f t="shared" ca="1" si="417"/>
        <v>3.8999781398949245</v>
      </c>
      <c r="H964" s="307">
        <f t="shared" ca="1" si="418"/>
        <v>-51.8913616205975</v>
      </c>
      <c r="I964" s="304">
        <f t="shared" ca="1" si="419"/>
        <v>52.037709791374155</v>
      </c>
      <c r="J964" s="306">
        <f t="shared" ca="1" si="420"/>
        <v>56.288824373840264</v>
      </c>
      <c r="K964" s="307">
        <f t="shared" ca="1" si="421"/>
        <v>-3.4176826199111936</v>
      </c>
      <c r="L964" s="304">
        <f t="shared" ref="L964:L1004" ca="1" si="435">SQRT(pos_x^2+pos_z^2)</f>
        <v>56.392484462732064</v>
      </c>
      <c r="M964" s="306">
        <f t="shared" ca="1" si="422"/>
        <v>-1.495780760088115</v>
      </c>
      <c r="N964" s="304">
        <f t="shared" ca="1" si="423"/>
        <v>-85.701924629919318</v>
      </c>
      <c r="P964" s="310">
        <f t="shared" ca="1" si="424"/>
        <v>23</v>
      </c>
      <c r="Q964" s="304">
        <f t="shared" ca="1" si="425"/>
        <v>0</v>
      </c>
      <c r="R964" s="306">
        <f t="shared" ca="1" si="426"/>
        <v>0</v>
      </c>
      <c r="S964" s="307">
        <f t="shared" ca="1" si="427"/>
        <v>2.0843000000000003</v>
      </c>
      <c r="T964" s="304">
        <f t="shared" ref="T964:T1004" ca="1" si="436">m*g</f>
        <v>20.446983000000003</v>
      </c>
      <c r="U964" s="311">
        <f t="shared" ref="U964:U1004" ca="1" si="437">IF(pos_xz&lt;L_rampe,Poids*COS(Beta),0)</f>
        <v>0</v>
      </c>
      <c r="V964" s="306">
        <f t="shared" ref="V964:V1004" ca="1" si="438">Rho_moyen*(20000-Alt_rampe-pos_z)/(20000+Alt_rampe+pos_z)</f>
        <v>1.2254187376765631</v>
      </c>
      <c r="W964" s="304">
        <f t="shared" ref="W964:W1003" ca="1" si="439">1/2*Rho*Sref*Cx*vit_xz^2</f>
        <v>7.2689258166957975</v>
      </c>
      <c r="Y964" s="314" t="str">
        <f t="shared" ca="1" si="428"/>
        <v/>
      </c>
      <c r="Z964" s="315" t="str">
        <f t="shared" ca="1" si="429"/>
        <v/>
      </c>
      <c r="AA964" s="316" t="str">
        <f t="shared" ca="1" si="430"/>
        <v/>
      </c>
      <c r="AC964" s="310" t="e">
        <f t="shared" ca="1" si="431"/>
        <v>#N/A</v>
      </c>
      <c r="AD964" s="323" t="e">
        <f t="shared" ca="1" si="432"/>
        <v>#N/A</v>
      </c>
      <c r="AE964" s="324">
        <f t="shared" ref="AE964:AE1004" ca="1" si="440">IF(t&lt;T_para, pos_z, NA())</f>
        <v>-3.4176826199111936</v>
      </c>
      <c r="AG964" s="306">
        <f t="shared" ca="1" si="433"/>
        <v>6.2950298008285372</v>
      </c>
      <c r="AH964" s="304">
        <f t="shared" ca="1" si="434"/>
        <v>-3.4873800224251776</v>
      </c>
    </row>
    <row r="965" spans="1:34" x14ac:dyDescent="0.2">
      <c r="A965" s="347">
        <f t="shared" ref="A965:A1004" ca="1" si="441">IF(B964+0.01&lt;=T_ini+ROUNDUP(Temps_fin_propu,0), 0.01, IF(K964&gt;0, 0.1, 0.0001))</f>
        <v>1E-4</v>
      </c>
      <c r="B965" s="304">
        <f t="shared" ref="B965:B1004" ca="1" si="442">B964+pas</f>
        <v>12.066099999999821</v>
      </c>
      <c r="D965" s="306">
        <f t="shared" ref="D965:D1004" ca="1" si="443">IF(AND(L964&lt;L_rampe,Poussee&lt;Poids*SIN(M964)),0,(-W964+Poussee)/m*COS(M964)-U964/m*SIN(M964))</f>
        <v>-0.26136895778380059</v>
      </c>
      <c r="E965" s="307">
        <f t="shared" ref="E965:E1004" ca="1" si="444">IF(AND(L964&lt;L_rampe,Poussee&lt;Poids*SIN(M964)),0,(-W964+Poussee)/m*SIN(M964)+U964/m*COS(M964)-Poids/m)</f>
        <v>-6.3323417623763145</v>
      </c>
      <c r="F965" s="304">
        <f t="shared" ref="F965:F1004" ca="1" si="445">SQRT(acc_x^2+acc_z^2)</f>
        <v>6.3377335008367268</v>
      </c>
      <c r="G965" s="306">
        <f t="shared" ref="G965:G1004" ca="1" si="446">G964+acc_x*pas</f>
        <v>3.8999520029991461</v>
      </c>
      <c r="H965" s="307">
        <f t="shared" ref="H965:H1004" ca="1" si="447">H964+acc_z*pas</f>
        <v>-51.891994854773735</v>
      </c>
      <c r="I965" s="304">
        <f t="shared" ref="I965:I1004" ca="1" si="448">SQRT(vit_x^2+vit_z^2)</f>
        <v>52.038339285891517</v>
      </c>
      <c r="J965" s="306">
        <f t="shared" ref="J965:J1004" ca="1" si="449">J964+0.5*(vit_x+G964)*pas*(K964&gt;=0)</f>
        <v>56.288824373840264</v>
      </c>
      <c r="K965" s="307">
        <f t="shared" ref="K965:K1004" ca="1" si="450">K964+0.5*(vit_z+H964)*pas</f>
        <v>-3.4228717877349624</v>
      </c>
      <c r="L965" s="304">
        <f t="shared" ca="1" si="435"/>
        <v>56.392799191601632</v>
      </c>
      <c r="M965" s="306">
        <f t="shared" ref="M965:M1004" ca="1" si="451">IF(AND(L964&gt;L_rampe,G965&gt;0),ATAN2(G965,H965),$M$4)</f>
        <v>-1.4957821729170377</v>
      </c>
      <c r="N965" s="304">
        <f t="shared" ref="N965:N1004" ca="1" si="452">DEGREES(Beta)</f>
        <v>-85.702005579053775</v>
      </c>
      <c r="P965" s="310">
        <f t="shared" ref="P965:P1004" ca="1" si="453">MATCH(t-pas/2-T_ini,CdP_t)</f>
        <v>23</v>
      </c>
      <c r="Q965" s="304">
        <f t="shared" ref="Q965:Q1004" ca="1" si="454">(INDEX(CdP,2,i_P+1)-INDEX(CdP,2,i_P+0))/(INDEX(CdP,1,i_P+1)-INDEX(CdP,1,i_P+0))*(t-pas/2-T_ini-INDEX(CdP,1,i_P+0))+INDEX(CdP,2,i_P+0)</f>
        <v>0</v>
      </c>
      <c r="R965" s="306">
        <f t="shared" ref="R965:R1004" ca="1" si="455">Poussee/(g*ISP)</f>
        <v>0</v>
      </c>
      <c r="S965" s="307">
        <f t="shared" ref="S965:S1004" ca="1" si="456">S964-Débit*pas</f>
        <v>2.0843000000000003</v>
      </c>
      <c r="T965" s="304">
        <f t="shared" ca="1" si="436"/>
        <v>20.446983000000003</v>
      </c>
      <c r="U965" s="311">
        <f t="shared" ca="1" si="437"/>
        <v>0</v>
      </c>
      <c r="V965" s="306">
        <f t="shared" ca="1" si="438"/>
        <v>1.2254193735670951</v>
      </c>
      <c r="W965" s="304">
        <f t="shared" ca="1" si="439"/>
        <v>7.269105452629967</v>
      </c>
      <c r="Y965" s="314" t="str">
        <f t="shared" ref="Y965:Y1003" ca="1" si="457">IF(AND(pos_z&lt;=0,K964&gt;0),"Impact balistique","") &amp; IF(AND(H966&lt;0,vit_z&gt;=0),"Apogée","") &amp; IF(AND(Poussee=0,Q964&gt;0),"Fin de propulsion","") &amp; IF(AND(L966&gt;L_rampe,pos_xz&lt;=L_rampe),"Sortie de rampe","")</f>
        <v/>
      </c>
      <c r="Z965" s="315" t="str">
        <f t="shared" ref="Z965:Z1004" ca="1" si="458">IF(ABS(t-T_para)&lt;pas/2,"Para","")</f>
        <v/>
      </c>
      <c r="AA965" s="316" t="str">
        <f t="shared" ref="AA965:AA1004" ca="1" si="459">IF(ABS(t-T_satellite)&lt;pas/2,"Satellite","")</f>
        <v/>
      </c>
      <c r="AC965" s="310" t="e">
        <f t="shared" ref="AC965:AC1004" ca="1" si="460">IF(ABS(t-ROUND(t,0))&lt;0.001,t,NA())</f>
        <v>#N/A</v>
      </c>
      <c r="AD965" s="323" t="e">
        <f t="shared" ref="AD965:AD1004" ca="1" si="461">IF(ABS(t-ROUND(t,0))&lt;0.001,pos_x,NA())</f>
        <v>#N/A</v>
      </c>
      <c r="AE965" s="324">
        <f t="shared" ca="1" si="440"/>
        <v>-3.4228717877349624</v>
      </c>
      <c r="AG965" s="306">
        <f t="shared" ref="AG965:AG1004" ca="1" si="462">IF(AND(L964&lt;L_rampe,Poussee&lt;Poids*SIN(M964)),0,(-W964+Poussee)/m-Poids*SIN(M964)/m)</f>
        <v>6.2949446543317382</v>
      </c>
      <c r="AH965" s="304">
        <f t="shared" ref="AH965:AH1004" ca="1" si="463">IF(AND(L964&lt;L_rampe,Poussee&lt;Poids*SIN(M964)), g*SIN(M964), (-W964+Poussee)/m)</f>
        <v>-3.4874662076936125</v>
      </c>
    </row>
    <row r="966" spans="1:34" x14ac:dyDescent="0.2">
      <c r="A966" s="347">
        <f t="shared" ca="1" si="441"/>
        <v>1E-4</v>
      </c>
      <c r="B966" s="304">
        <f t="shared" ca="1" si="442"/>
        <v>12.066199999999821</v>
      </c>
      <c r="D966" s="306">
        <f t="shared" ca="1" si="443"/>
        <v>-0.26137050350001018</v>
      </c>
      <c r="E966" s="307">
        <f t="shared" ca="1" si="444"/>
        <v>-6.3322554502255706</v>
      </c>
      <c r="F966" s="304">
        <f t="shared" ca="1" si="445"/>
        <v>6.3376473258624362</v>
      </c>
      <c r="G966" s="306">
        <f t="shared" ca="1" si="446"/>
        <v>3.8999258659487963</v>
      </c>
      <c r="H966" s="307">
        <f t="shared" ca="1" si="447"/>
        <v>-51.892628080318758</v>
      </c>
      <c r="I966" s="304">
        <f t="shared" ca="1" si="448"/>
        <v>52.03896877189424</v>
      </c>
      <c r="J966" s="306">
        <f t="shared" ca="1" si="449"/>
        <v>56.288824373840264</v>
      </c>
      <c r="K966" s="307">
        <f t="shared" ca="1" si="450"/>
        <v>-3.4280610188817171</v>
      </c>
      <c r="L966" s="304">
        <f t="shared" ca="1" si="435"/>
        <v>56.393114400059609</v>
      </c>
      <c r="M966" s="306">
        <f t="shared" ca="1" si="451"/>
        <v>-1.4957835857023116</v>
      </c>
      <c r="N966" s="304">
        <f t="shared" ca="1" si="452"/>
        <v>-85.702086525687321</v>
      </c>
      <c r="P966" s="310">
        <f t="shared" ca="1" si="453"/>
        <v>23</v>
      </c>
      <c r="Q966" s="304">
        <f t="shared" ca="1" si="454"/>
        <v>0</v>
      </c>
      <c r="R966" s="306">
        <f t="shared" ca="1" si="455"/>
        <v>0</v>
      </c>
      <c r="S966" s="307">
        <f t="shared" ca="1" si="456"/>
        <v>2.0843000000000003</v>
      </c>
      <c r="T966" s="304">
        <f t="shared" ca="1" si="436"/>
        <v>20.446983000000003</v>
      </c>
      <c r="U966" s="311">
        <f t="shared" ca="1" si="437"/>
        <v>0</v>
      </c>
      <c r="V966" s="306">
        <f t="shared" ca="1" si="438"/>
        <v>1.2254200094657173</v>
      </c>
      <c r="W966" s="304">
        <f t="shared" ca="1" si="439"/>
        <v>7.2692850885432341</v>
      </c>
      <c r="Y966" s="314" t="str">
        <f t="shared" ca="1" si="457"/>
        <v/>
      </c>
      <c r="Z966" s="315" t="str">
        <f t="shared" ca="1" si="458"/>
        <v/>
      </c>
      <c r="AA966" s="316" t="str">
        <f t="shared" ca="1" si="459"/>
        <v/>
      </c>
      <c r="AC966" s="310" t="e">
        <f t="shared" ca="1" si="460"/>
        <v>#N/A</v>
      </c>
      <c r="AD966" s="323" t="e">
        <f t="shared" ca="1" si="461"/>
        <v>#N/A</v>
      </c>
      <c r="AE966" s="324">
        <f t="shared" ca="1" si="440"/>
        <v>-3.4280610188817171</v>
      </c>
      <c r="AG966" s="306">
        <f t="shared" ca="1" si="462"/>
        <v>6.294859507793312</v>
      </c>
      <c r="AH966" s="304">
        <f t="shared" ca="1" si="463"/>
        <v>-3.487552392952054</v>
      </c>
    </row>
    <row r="967" spans="1:34" x14ac:dyDescent="0.2">
      <c r="A967" s="347">
        <f t="shared" ca="1" si="441"/>
        <v>1E-4</v>
      </c>
      <c r="B967" s="304">
        <f t="shared" ca="1" si="442"/>
        <v>12.066299999999821</v>
      </c>
      <c r="D967" s="306">
        <f t="shared" ca="1" si="443"/>
        <v>-0.26137204912390466</v>
      </c>
      <c r="E967" s="307">
        <f t="shared" ca="1" si="444"/>
        <v>-6.332169138084927</v>
      </c>
      <c r="F967" s="304">
        <f t="shared" ca="1" si="445"/>
        <v>6.3375611508985408</v>
      </c>
      <c r="G967" s="306">
        <f t="shared" ca="1" si="446"/>
        <v>3.8998997287438839</v>
      </c>
      <c r="H967" s="307">
        <f t="shared" ca="1" si="447"/>
        <v>-51.89326129723257</v>
      </c>
      <c r="I967" s="304">
        <f t="shared" ca="1" si="448"/>
        <v>52.039598249382294</v>
      </c>
      <c r="J967" s="306">
        <f t="shared" ca="1" si="449"/>
        <v>56.288824373840264</v>
      </c>
      <c r="K967" s="307">
        <f t="shared" ca="1" si="450"/>
        <v>-3.4332503133505945</v>
      </c>
      <c r="L967" s="304">
        <f t="shared" ca="1" si="435"/>
        <v>56.393430088115366</v>
      </c>
      <c r="M967" s="306">
        <f t="shared" ca="1" si="451"/>
        <v>-1.4957849984439386</v>
      </c>
      <c r="N967" s="304">
        <f t="shared" ca="1" si="452"/>
        <v>-85.702167469820097</v>
      </c>
      <c r="P967" s="310">
        <f t="shared" ca="1" si="453"/>
        <v>23</v>
      </c>
      <c r="Q967" s="304">
        <f t="shared" ca="1" si="454"/>
        <v>0</v>
      </c>
      <c r="R967" s="306">
        <f t="shared" ca="1" si="455"/>
        <v>0</v>
      </c>
      <c r="S967" s="307">
        <f t="shared" ca="1" si="456"/>
        <v>2.0843000000000003</v>
      </c>
      <c r="T967" s="304">
        <f t="shared" ca="1" si="436"/>
        <v>20.446983000000003</v>
      </c>
      <c r="U967" s="311">
        <f t="shared" ca="1" si="437"/>
        <v>0</v>
      </c>
      <c r="V967" s="306">
        <f t="shared" ca="1" si="438"/>
        <v>1.2254206453724286</v>
      </c>
      <c r="W967" s="304">
        <f t="shared" ca="1" si="439"/>
        <v>7.2694647244355002</v>
      </c>
      <c r="Y967" s="314" t="str">
        <f t="shared" ca="1" si="457"/>
        <v/>
      </c>
      <c r="Z967" s="315" t="str">
        <f t="shared" ca="1" si="458"/>
        <v/>
      </c>
      <c r="AA967" s="316" t="str">
        <f t="shared" ca="1" si="459"/>
        <v/>
      </c>
      <c r="AC967" s="310" t="e">
        <f t="shared" ca="1" si="460"/>
        <v>#N/A</v>
      </c>
      <c r="AD967" s="323" t="e">
        <f t="shared" ca="1" si="461"/>
        <v>#N/A</v>
      </c>
      <c r="AE967" s="324">
        <f t="shared" ca="1" si="440"/>
        <v>-3.4332503133505945</v>
      </c>
      <c r="AG967" s="306">
        <f t="shared" ca="1" si="462"/>
        <v>6.2947743612132978</v>
      </c>
      <c r="AH967" s="304">
        <f t="shared" ca="1" si="463"/>
        <v>-3.4876385782004671</v>
      </c>
    </row>
    <row r="968" spans="1:34" x14ac:dyDescent="0.2">
      <c r="A968" s="347">
        <f t="shared" ca="1" si="441"/>
        <v>1E-4</v>
      </c>
      <c r="B968" s="304">
        <f t="shared" ca="1" si="442"/>
        <v>12.06639999999982</v>
      </c>
      <c r="D968" s="306">
        <f t="shared" ca="1" si="443"/>
        <v>-0.26137359465548488</v>
      </c>
      <c r="E968" s="307">
        <f t="shared" ca="1" si="444"/>
        <v>-6.3320828259544291</v>
      </c>
      <c r="F968" s="304">
        <f t="shared" ca="1" si="445"/>
        <v>6.337474975945085</v>
      </c>
      <c r="G968" s="306">
        <f t="shared" ca="1" si="446"/>
        <v>3.8998735913844182</v>
      </c>
      <c r="H968" s="307">
        <f t="shared" ca="1" si="447"/>
        <v>-51.893894505515163</v>
      </c>
      <c r="I968" s="304">
        <f t="shared" ca="1" si="448"/>
        <v>52.040227718355681</v>
      </c>
      <c r="J968" s="306">
        <f t="shared" ca="1" si="449"/>
        <v>56.288824373840264</v>
      </c>
      <c r="K968" s="307">
        <f t="shared" ca="1" si="450"/>
        <v>-3.4384396711407317</v>
      </c>
      <c r="L968" s="304">
        <f t="shared" ca="1" si="435"/>
        <v>56.393746255778296</v>
      </c>
      <c r="M968" s="306">
        <f t="shared" ca="1" si="451"/>
        <v>-1.495786411141921</v>
      </c>
      <c r="N968" s="304">
        <f t="shared" ca="1" si="452"/>
        <v>-85.702248411452217</v>
      </c>
      <c r="P968" s="310">
        <f t="shared" ca="1" si="453"/>
        <v>23</v>
      </c>
      <c r="Q968" s="304">
        <f t="shared" ca="1" si="454"/>
        <v>0</v>
      </c>
      <c r="R968" s="306">
        <f t="shared" ca="1" si="455"/>
        <v>0</v>
      </c>
      <c r="S968" s="307">
        <f t="shared" ca="1" si="456"/>
        <v>2.0843000000000003</v>
      </c>
      <c r="T968" s="304">
        <f t="shared" ca="1" si="436"/>
        <v>20.446983000000003</v>
      </c>
      <c r="U968" s="311">
        <f t="shared" ca="1" si="437"/>
        <v>0</v>
      </c>
      <c r="V968" s="306">
        <f t="shared" ca="1" si="438"/>
        <v>1.2254212812872294</v>
      </c>
      <c r="W968" s="304">
        <f t="shared" ca="1" si="439"/>
        <v>7.269644360306688</v>
      </c>
      <c r="Y968" s="314" t="str">
        <f t="shared" ca="1" si="457"/>
        <v/>
      </c>
      <c r="Z968" s="315" t="str">
        <f t="shared" ca="1" si="458"/>
        <v/>
      </c>
      <c r="AA968" s="316" t="str">
        <f t="shared" ca="1" si="459"/>
        <v/>
      </c>
      <c r="AC968" s="310" t="e">
        <f t="shared" ca="1" si="460"/>
        <v>#N/A</v>
      </c>
      <c r="AD968" s="323" t="e">
        <f t="shared" ca="1" si="461"/>
        <v>#N/A</v>
      </c>
      <c r="AE968" s="324">
        <f t="shared" ca="1" si="440"/>
        <v>-3.4384396711407317</v>
      </c>
      <c r="AG968" s="306">
        <f t="shared" ca="1" si="462"/>
        <v>6.294689214591747</v>
      </c>
      <c r="AH968" s="304">
        <f t="shared" ca="1" si="463"/>
        <v>-3.4877247634388042</v>
      </c>
    </row>
    <row r="969" spans="1:34" x14ac:dyDescent="0.2">
      <c r="A969" s="347">
        <f t="shared" ca="1" si="441"/>
        <v>1E-4</v>
      </c>
      <c r="B969" s="304">
        <f t="shared" ca="1" si="442"/>
        <v>12.06649999999982</v>
      </c>
      <c r="D969" s="306">
        <f t="shared" ca="1" si="443"/>
        <v>-0.2613751400947516</v>
      </c>
      <c r="E969" s="307">
        <f t="shared" ca="1" si="444"/>
        <v>-6.3319965138341168</v>
      </c>
      <c r="F969" s="304">
        <f t="shared" ca="1" si="445"/>
        <v>6.3373888010021098</v>
      </c>
      <c r="G969" s="306">
        <f t="shared" ca="1" si="446"/>
        <v>3.8998474538704087</v>
      </c>
      <c r="H969" s="307">
        <f t="shared" ca="1" si="447"/>
        <v>-51.894527705166546</v>
      </c>
      <c r="I969" s="304">
        <f t="shared" ca="1" si="448"/>
        <v>52.040857178814392</v>
      </c>
      <c r="J969" s="306">
        <f t="shared" ca="1" si="449"/>
        <v>56.288824373840264</v>
      </c>
      <c r="K969" s="307">
        <f t="shared" ca="1" si="450"/>
        <v>-3.4436290922512658</v>
      </c>
      <c r="L969" s="304">
        <f t="shared" ca="1" si="435"/>
        <v>56.394062903057737</v>
      </c>
      <c r="M969" s="306">
        <f t="shared" ca="1" si="451"/>
        <v>-1.495787823796261</v>
      </c>
      <c r="N969" s="304">
        <f t="shared" ca="1" si="452"/>
        <v>-85.702329350583796</v>
      </c>
      <c r="P969" s="310">
        <f t="shared" ca="1" si="453"/>
        <v>23</v>
      </c>
      <c r="Q969" s="304">
        <f t="shared" ca="1" si="454"/>
        <v>0</v>
      </c>
      <c r="R969" s="306">
        <f t="shared" ca="1" si="455"/>
        <v>0</v>
      </c>
      <c r="S969" s="307">
        <f t="shared" ca="1" si="456"/>
        <v>2.0843000000000003</v>
      </c>
      <c r="T969" s="304">
        <f t="shared" ca="1" si="436"/>
        <v>20.446983000000003</v>
      </c>
      <c r="U969" s="311">
        <f t="shared" ca="1" si="437"/>
        <v>0</v>
      </c>
      <c r="V969" s="306">
        <f t="shared" ca="1" si="438"/>
        <v>1.2254219172101197</v>
      </c>
      <c r="W969" s="304">
        <f t="shared" ca="1" si="439"/>
        <v>7.269823996156707</v>
      </c>
      <c r="Y969" s="314" t="str">
        <f t="shared" ca="1" si="457"/>
        <v/>
      </c>
      <c r="Z969" s="315" t="str">
        <f t="shared" ca="1" si="458"/>
        <v/>
      </c>
      <c r="AA969" s="316" t="str">
        <f t="shared" ca="1" si="459"/>
        <v/>
      </c>
      <c r="AC969" s="310" t="e">
        <f t="shared" ca="1" si="460"/>
        <v>#N/A</v>
      </c>
      <c r="AD969" s="323" t="e">
        <f t="shared" ca="1" si="461"/>
        <v>#N/A</v>
      </c>
      <c r="AE969" s="324">
        <f t="shared" ca="1" si="440"/>
        <v>-3.4436290922512658</v>
      </c>
      <c r="AG969" s="306">
        <f t="shared" ca="1" si="462"/>
        <v>6.2946040679286996</v>
      </c>
      <c r="AH969" s="304">
        <f t="shared" ca="1" si="463"/>
        <v>-3.4878109486670281</v>
      </c>
    </row>
    <row r="970" spans="1:34" x14ac:dyDescent="0.2">
      <c r="A970" s="347">
        <f t="shared" ca="1" si="441"/>
        <v>1E-4</v>
      </c>
      <c r="B970" s="304">
        <f t="shared" ca="1" si="442"/>
        <v>12.06659999999982</v>
      </c>
      <c r="D970" s="306">
        <f t="shared" ca="1" si="443"/>
        <v>-0.26137668544170523</v>
      </c>
      <c r="E970" s="307">
        <f t="shared" ca="1" si="444"/>
        <v>-6.3319102017240301</v>
      </c>
      <c r="F970" s="304">
        <f t="shared" ca="1" si="445"/>
        <v>6.3373026260696541</v>
      </c>
      <c r="G970" s="306">
        <f t="shared" ca="1" si="446"/>
        <v>3.8998213162018645</v>
      </c>
      <c r="H970" s="307">
        <f t="shared" ca="1" si="447"/>
        <v>-51.895160896186717</v>
      </c>
      <c r="I970" s="304">
        <f t="shared" ca="1" si="448"/>
        <v>52.041486630758442</v>
      </c>
      <c r="J970" s="306">
        <f t="shared" ca="1" si="449"/>
        <v>56.288824373840264</v>
      </c>
      <c r="K970" s="307">
        <f t="shared" ca="1" si="450"/>
        <v>-3.4488185766813335</v>
      </c>
      <c r="L970" s="304">
        <f t="shared" ca="1" si="435"/>
        <v>56.39438002996306</v>
      </c>
      <c r="M970" s="306">
        <f t="shared" ca="1" si="451"/>
        <v>-1.4957892364069603</v>
      </c>
      <c r="N970" s="304">
        <f t="shared" ca="1" si="452"/>
        <v>-85.70241028721496</v>
      </c>
      <c r="P970" s="310">
        <f t="shared" ca="1" si="453"/>
        <v>23</v>
      </c>
      <c r="Q970" s="304">
        <f t="shared" ca="1" si="454"/>
        <v>0</v>
      </c>
      <c r="R970" s="306">
        <f t="shared" ca="1" si="455"/>
        <v>0</v>
      </c>
      <c r="S970" s="307">
        <f t="shared" ca="1" si="456"/>
        <v>2.0843000000000003</v>
      </c>
      <c r="T970" s="304">
        <f t="shared" ca="1" si="436"/>
        <v>20.446983000000003</v>
      </c>
      <c r="U970" s="311">
        <f t="shared" ca="1" si="437"/>
        <v>0</v>
      </c>
      <c r="V970" s="306">
        <f t="shared" ca="1" si="438"/>
        <v>1.2254225531410998</v>
      </c>
      <c r="W970" s="304">
        <f t="shared" ca="1" si="439"/>
        <v>7.2700036319854826</v>
      </c>
      <c r="Y970" s="314" t="str">
        <f t="shared" ca="1" si="457"/>
        <v/>
      </c>
      <c r="Z970" s="315" t="str">
        <f t="shared" ca="1" si="458"/>
        <v/>
      </c>
      <c r="AA970" s="316" t="str">
        <f t="shared" ca="1" si="459"/>
        <v/>
      </c>
      <c r="AC970" s="310" t="e">
        <f t="shared" ca="1" si="460"/>
        <v>#N/A</v>
      </c>
      <c r="AD970" s="323" t="e">
        <f t="shared" ca="1" si="461"/>
        <v>#N/A</v>
      </c>
      <c r="AE970" s="324">
        <f t="shared" ca="1" si="440"/>
        <v>-3.4488185766813335</v>
      </c>
      <c r="AG970" s="306">
        <f t="shared" ca="1" si="462"/>
        <v>6.2945189212242001</v>
      </c>
      <c r="AH970" s="304">
        <f t="shared" ca="1" si="463"/>
        <v>-3.4878971338850961</v>
      </c>
    </row>
    <row r="971" spans="1:34" x14ac:dyDescent="0.2">
      <c r="A971" s="347">
        <f t="shared" ca="1" si="441"/>
        <v>1E-4</v>
      </c>
      <c r="B971" s="304">
        <f t="shared" ca="1" si="442"/>
        <v>12.06669999999982</v>
      </c>
      <c r="D971" s="306">
        <f t="shared" ca="1" si="443"/>
        <v>-0.26137823069634813</v>
      </c>
      <c r="E971" s="307">
        <f t="shared" ca="1" si="444"/>
        <v>-6.3318238896242089</v>
      </c>
      <c r="F971" s="304">
        <f t="shared" ca="1" si="445"/>
        <v>6.3372164511477589</v>
      </c>
      <c r="G971" s="306">
        <f t="shared" ca="1" si="446"/>
        <v>3.899795178378795</v>
      </c>
      <c r="H971" s="307">
        <f t="shared" ca="1" si="447"/>
        <v>-51.895794078575676</v>
      </c>
      <c r="I971" s="304">
        <f t="shared" ca="1" si="448"/>
        <v>52.042116074187803</v>
      </c>
      <c r="J971" s="306">
        <f t="shared" ca="1" si="449"/>
        <v>56.288824373840264</v>
      </c>
      <c r="K971" s="307">
        <f t="shared" ca="1" si="450"/>
        <v>-3.4540081244300715</v>
      </c>
      <c r="L971" s="304">
        <f t="shared" ca="1" si="435"/>
        <v>56.394697636503579</v>
      </c>
      <c r="M971" s="306">
        <f t="shared" ca="1" si="451"/>
        <v>-1.4957906489740211</v>
      </c>
      <c r="N971" s="304">
        <f t="shared" ca="1" si="452"/>
        <v>-85.702491221345838</v>
      </c>
      <c r="P971" s="310">
        <f t="shared" ca="1" si="453"/>
        <v>23</v>
      </c>
      <c r="Q971" s="304">
        <f t="shared" ca="1" si="454"/>
        <v>0</v>
      </c>
      <c r="R971" s="306">
        <f t="shared" ca="1" si="455"/>
        <v>0</v>
      </c>
      <c r="S971" s="307">
        <f t="shared" ca="1" si="456"/>
        <v>2.0843000000000003</v>
      </c>
      <c r="T971" s="304">
        <f t="shared" ca="1" si="436"/>
        <v>20.446983000000003</v>
      </c>
      <c r="U971" s="311">
        <f t="shared" ca="1" si="437"/>
        <v>0</v>
      </c>
      <c r="V971" s="306">
        <f t="shared" ca="1" si="438"/>
        <v>1.2254231890801688</v>
      </c>
      <c r="W971" s="304">
        <f t="shared" ca="1" si="439"/>
        <v>7.2701832677929152</v>
      </c>
      <c r="Y971" s="314" t="str">
        <f t="shared" ca="1" si="457"/>
        <v/>
      </c>
      <c r="Z971" s="315" t="str">
        <f t="shared" ca="1" si="458"/>
        <v/>
      </c>
      <c r="AA971" s="316" t="str">
        <f t="shared" ca="1" si="459"/>
        <v/>
      </c>
      <c r="AC971" s="310" t="e">
        <f t="shared" ca="1" si="460"/>
        <v>#N/A</v>
      </c>
      <c r="AD971" s="323" t="e">
        <f t="shared" ca="1" si="461"/>
        <v>#N/A</v>
      </c>
      <c r="AE971" s="324">
        <f t="shared" ca="1" si="440"/>
        <v>-3.4540081244300715</v>
      </c>
      <c r="AG971" s="306">
        <f t="shared" ca="1" si="462"/>
        <v>6.294433774478291</v>
      </c>
      <c r="AH971" s="304">
        <f t="shared" ca="1" si="463"/>
        <v>-3.4879833190929719</v>
      </c>
    </row>
    <row r="972" spans="1:34" x14ac:dyDescent="0.2">
      <c r="A972" s="347">
        <f t="shared" ca="1" si="441"/>
        <v>1E-4</v>
      </c>
      <c r="B972" s="304">
        <f t="shared" ca="1" si="442"/>
        <v>12.066799999999819</v>
      </c>
      <c r="D972" s="306">
        <f t="shared" ca="1" si="443"/>
        <v>-0.26137977585868044</v>
      </c>
      <c r="E972" s="307">
        <f t="shared" ca="1" si="444"/>
        <v>-6.3317375775346978</v>
      </c>
      <c r="F972" s="304">
        <f t="shared" ca="1" si="445"/>
        <v>6.3371302762364685</v>
      </c>
      <c r="G972" s="306">
        <f t="shared" ca="1" si="446"/>
        <v>3.8997690404012091</v>
      </c>
      <c r="H972" s="307">
        <f t="shared" ca="1" si="447"/>
        <v>-51.896427252333432</v>
      </c>
      <c r="I972" s="304">
        <f t="shared" ca="1" si="448"/>
        <v>52.042745509102495</v>
      </c>
      <c r="J972" s="306">
        <f t="shared" ca="1" si="449"/>
        <v>56.288824373840264</v>
      </c>
      <c r="K972" s="307">
        <f t="shared" ca="1" si="450"/>
        <v>-3.459197735496617</v>
      </c>
      <c r="L972" s="304">
        <f t="shared" ca="1" si="435"/>
        <v>56.39501572268864</v>
      </c>
      <c r="M972" s="306">
        <f t="shared" ca="1" si="451"/>
        <v>-1.4957920614974458</v>
      </c>
      <c r="N972" s="304">
        <f t="shared" ca="1" si="452"/>
        <v>-85.702572152976529</v>
      </c>
      <c r="P972" s="310">
        <f t="shared" ca="1" si="453"/>
        <v>23</v>
      </c>
      <c r="Q972" s="304">
        <f t="shared" ca="1" si="454"/>
        <v>0</v>
      </c>
      <c r="R972" s="306">
        <f t="shared" ca="1" si="455"/>
        <v>0</v>
      </c>
      <c r="S972" s="307">
        <f t="shared" ca="1" si="456"/>
        <v>2.0843000000000003</v>
      </c>
      <c r="T972" s="304">
        <f t="shared" ca="1" si="436"/>
        <v>20.446983000000003</v>
      </c>
      <c r="U972" s="311">
        <f t="shared" ca="1" si="437"/>
        <v>0</v>
      </c>
      <c r="V972" s="306">
        <f t="shared" ca="1" si="438"/>
        <v>1.2254238250273273</v>
      </c>
      <c r="W972" s="304">
        <f t="shared" ca="1" si="439"/>
        <v>7.2703629035789374</v>
      </c>
      <c r="Y972" s="314" t="str">
        <f t="shared" ca="1" si="457"/>
        <v/>
      </c>
      <c r="Z972" s="315" t="str">
        <f t="shared" ca="1" si="458"/>
        <v/>
      </c>
      <c r="AA972" s="316" t="str">
        <f t="shared" ca="1" si="459"/>
        <v/>
      </c>
      <c r="AC972" s="310" t="e">
        <f t="shared" ca="1" si="460"/>
        <v>#N/A</v>
      </c>
      <c r="AD972" s="323" t="e">
        <f t="shared" ca="1" si="461"/>
        <v>#N/A</v>
      </c>
      <c r="AE972" s="324">
        <f t="shared" ca="1" si="440"/>
        <v>-3.459197735496617</v>
      </c>
      <c r="AG972" s="306">
        <f t="shared" ca="1" si="462"/>
        <v>6.2943486276910203</v>
      </c>
      <c r="AH972" s="304">
        <f t="shared" ca="1" si="463"/>
        <v>-3.4880695042906082</v>
      </c>
    </row>
    <row r="973" spans="1:34" x14ac:dyDescent="0.2">
      <c r="A973" s="347">
        <f t="shared" ca="1" si="441"/>
        <v>1E-4</v>
      </c>
      <c r="B973" s="304">
        <f t="shared" ca="1" si="442"/>
        <v>12.066899999999819</v>
      </c>
      <c r="D973" s="306">
        <f t="shared" ca="1" si="443"/>
        <v>-0.2613813209287032</v>
      </c>
      <c r="E973" s="307">
        <f t="shared" ca="1" si="444"/>
        <v>-6.3316512654555313</v>
      </c>
      <c r="F973" s="304">
        <f t="shared" ca="1" si="445"/>
        <v>6.3370441013358167</v>
      </c>
      <c r="G973" s="306">
        <f t="shared" ca="1" si="446"/>
        <v>3.8997429022691161</v>
      </c>
      <c r="H973" s="307">
        <f t="shared" ca="1" si="447"/>
        <v>-51.897060417459976</v>
      </c>
      <c r="I973" s="304">
        <f t="shared" ca="1" si="448"/>
        <v>52.043374935502499</v>
      </c>
      <c r="J973" s="306">
        <f t="shared" ca="1" si="449"/>
        <v>56.288824373840264</v>
      </c>
      <c r="K973" s="307">
        <f t="shared" ca="1" si="450"/>
        <v>-3.4643874098801066</v>
      </c>
      <c r="L973" s="304">
        <f t="shared" ca="1" si="435"/>
        <v>56.395334288527536</v>
      </c>
      <c r="M973" s="306">
        <f t="shared" ca="1" si="451"/>
        <v>-1.4957934739772365</v>
      </c>
      <c r="N973" s="304">
        <f t="shared" ca="1" si="452"/>
        <v>-85.70265308210719</v>
      </c>
      <c r="P973" s="310">
        <f t="shared" ca="1" si="453"/>
        <v>23</v>
      </c>
      <c r="Q973" s="304">
        <f t="shared" ca="1" si="454"/>
        <v>0</v>
      </c>
      <c r="R973" s="306">
        <f t="shared" ca="1" si="455"/>
        <v>0</v>
      </c>
      <c r="S973" s="307">
        <f t="shared" ca="1" si="456"/>
        <v>2.0843000000000003</v>
      </c>
      <c r="T973" s="304">
        <f t="shared" ca="1" si="436"/>
        <v>20.446983000000003</v>
      </c>
      <c r="U973" s="311">
        <f t="shared" ca="1" si="437"/>
        <v>0</v>
      </c>
      <c r="V973" s="306">
        <f t="shared" ca="1" si="438"/>
        <v>1.2254244609825746</v>
      </c>
      <c r="W973" s="304">
        <f t="shared" ca="1" si="439"/>
        <v>7.2705425393434497</v>
      </c>
      <c r="Y973" s="314" t="str">
        <f t="shared" ca="1" si="457"/>
        <v/>
      </c>
      <c r="Z973" s="315" t="str">
        <f t="shared" ca="1" si="458"/>
        <v/>
      </c>
      <c r="AA973" s="316" t="str">
        <f t="shared" ca="1" si="459"/>
        <v/>
      </c>
      <c r="AC973" s="310" t="e">
        <f t="shared" ca="1" si="460"/>
        <v>#N/A</v>
      </c>
      <c r="AD973" s="323" t="e">
        <f t="shared" ca="1" si="461"/>
        <v>#N/A</v>
      </c>
      <c r="AE973" s="324">
        <f t="shared" ca="1" si="440"/>
        <v>-3.4643874098801066</v>
      </c>
      <c r="AG973" s="306">
        <f t="shared" ca="1" si="462"/>
        <v>6.2942634808624263</v>
      </c>
      <c r="AH973" s="304">
        <f t="shared" ca="1" si="463"/>
        <v>-3.4881556894779719</v>
      </c>
    </row>
    <row r="974" spans="1:34" x14ac:dyDescent="0.2">
      <c r="A974" s="347">
        <f t="shared" ca="1" si="441"/>
        <v>1E-4</v>
      </c>
      <c r="B974" s="304">
        <f t="shared" ca="1" si="442"/>
        <v>12.066999999999819</v>
      </c>
      <c r="D974" s="306">
        <f t="shared" ca="1" si="443"/>
        <v>-0.26138286590641652</v>
      </c>
      <c r="E974" s="307">
        <f t="shared" ca="1" si="444"/>
        <v>-6.3315649533867564</v>
      </c>
      <c r="F974" s="304">
        <f t="shared" ca="1" si="445"/>
        <v>6.3369579264458507</v>
      </c>
      <c r="G974" s="306">
        <f t="shared" ca="1" si="446"/>
        <v>3.8997167639825254</v>
      </c>
      <c r="H974" s="307">
        <f t="shared" ca="1" si="447"/>
        <v>-51.897693573955316</v>
      </c>
      <c r="I974" s="304">
        <f t="shared" ca="1" si="448"/>
        <v>52.044004353387805</v>
      </c>
      <c r="J974" s="306">
        <f t="shared" ca="1" si="449"/>
        <v>56.288824373840264</v>
      </c>
      <c r="K974" s="307">
        <f t="shared" ca="1" si="450"/>
        <v>-3.4695771475796775</v>
      </c>
      <c r="L974" s="304">
        <f t="shared" ca="1" si="435"/>
        <v>56.395653334029575</v>
      </c>
      <c r="M974" s="306">
        <f t="shared" ca="1" si="451"/>
        <v>-1.495794886413395</v>
      </c>
      <c r="N974" s="304">
        <f t="shared" ca="1" si="452"/>
        <v>-85.702734008737892</v>
      </c>
      <c r="P974" s="310">
        <f t="shared" ca="1" si="453"/>
        <v>23</v>
      </c>
      <c r="Q974" s="304">
        <f t="shared" ca="1" si="454"/>
        <v>0</v>
      </c>
      <c r="R974" s="306">
        <f t="shared" ca="1" si="455"/>
        <v>0</v>
      </c>
      <c r="S974" s="307">
        <f t="shared" ca="1" si="456"/>
        <v>2.0843000000000003</v>
      </c>
      <c r="T974" s="304">
        <f t="shared" ca="1" si="436"/>
        <v>20.446983000000003</v>
      </c>
      <c r="U974" s="311">
        <f t="shared" ca="1" si="437"/>
        <v>0</v>
      </c>
      <c r="V974" s="306">
        <f t="shared" ca="1" si="438"/>
        <v>1.2254250969459108</v>
      </c>
      <c r="W974" s="304">
        <f t="shared" ca="1" si="439"/>
        <v>7.2707221750863713</v>
      </c>
      <c r="Y974" s="314" t="str">
        <f t="shared" ca="1" si="457"/>
        <v/>
      </c>
      <c r="Z974" s="315" t="str">
        <f t="shared" ca="1" si="458"/>
        <v/>
      </c>
      <c r="AA974" s="316" t="str">
        <f t="shared" ca="1" si="459"/>
        <v/>
      </c>
      <c r="AC974" s="310" t="e">
        <f t="shared" ca="1" si="460"/>
        <v>#N/A</v>
      </c>
      <c r="AD974" s="323" t="e">
        <f t="shared" ca="1" si="461"/>
        <v>#N/A</v>
      </c>
      <c r="AE974" s="324">
        <f t="shared" ca="1" si="440"/>
        <v>-3.4695771475796775</v>
      </c>
      <c r="AG974" s="306">
        <f t="shared" ca="1" si="462"/>
        <v>6.2941783339925621</v>
      </c>
      <c r="AH974" s="304">
        <f t="shared" ca="1" si="463"/>
        <v>-3.4882418746550155</v>
      </c>
    </row>
    <row r="975" spans="1:34" x14ac:dyDescent="0.2">
      <c r="A975" s="347">
        <f t="shared" ca="1" si="441"/>
        <v>1E-4</v>
      </c>
      <c r="B975" s="304">
        <f t="shared" ca="1" si="442"/>
        <v>12.067099999999819</v>
      </c>
      <c r="D975" s="306">
        <f t="shared" ca="1" si="443"/>
        <v>-0.26138441079182251</v>
      </c>
      <c r="E975" s="307">
        <f t="shared" ca="1" si="444"/>
        <v>-6.3314786413284114</v>
      </c>
      <c r="F975" s="304">
        <f t="shared" ca="1" si="445"/>
        <v>6.3368717515666084</v>
      </c>
      <c r="G975" s="306">
        <f t="shared" ca="1" si="446"/>
        <v>3.8996906255414463</v>
      </c>
      <c r="H975" s="307">
        <f t="shared" ca="1" si="447"/>
        <v>-51.898326721819451</v>
      </c>
      <c r="I975" s="304">
        <f t="shared" ca="1" si="448"/>
        <v>52.044633762758437</v>
      </c>
      <c r="J975" s="306">
        <f t="shared" ca="1" si="449"/>
        <v>56.288824373840264</v>
      </c>
      <c r="K975" s="307">
        <f t="shared" ca="1" si="450"/>
        <v>-3.4747669485944663</v>
      </c>
      <c r="L975" s="304">
        <f t="shared" ca="1" si="435"/>
        <v>56.395972859204036</v>
      </c>
      <c r="M975" s="306">
        <f t="shared" ca="1" si="451"/>
        <v>-1.4957962988059235</v>
      </c>
      <c r="N975" s="304">
        <f t="shared" ca="1" si="452"/>
        <v>-85.70281493286879</v>
      </c>
      <c r="P975" s="310">
        <f t="shared" ca="1" si="453"/>
        <v>23</v>
      </c>
      <c r="Q975" s="304">
        <f t="shared" ca="1" si="454"/>
        <v>0</v>
      </c>
      <c r="R975" s="306">
        <f t="shared" ca="1" si="455"/>
        <v>0</v>
      </c>
      <c r="S975" s="307">
        <f t="shared" ca="1" si="456"/>
        <v>2.0843000000000003</v>
      </c>
      <c r="T975" s="304">
        <f t="shared" ca="1" si="436"/>
        <v>20.446983000000003</v>
      </c>
      <c r="U975" s="311">
        <f t="shared" ca="1" si="437"/>
        <v>0</v>
      </c>
      <c r="V975" s="306">
        <f t="shared" ca="1" si="438"/>
        <v>1.2254257329173366</v>
      </c>
      <c r="W975" s="304">
        <f t="shared" ca="1" si="439"/>
        <v>7.2709018108076258</v>
      </c>
      <c r="Y975" s="314" t="str">
        <f t="shared" ca="1" si="457"/>
        <v/>
      </c>
      <c r="Z975" s="315" t="str">
        <f t="shared" ca="1" si="458"/>
        <v/>
      </c>
      <c r="AA975" s="316" t="str">
        <f t="shared" ca="1" si="459"/>
        <v/>
      </c>
      <c r="AC975" s="310" t="e">
        <f t="shared" ca="1" si="460"/>
        <v>#N/A</v>
      </c>
      <c r="AD975" s="323" t="e">
        <f t="shared" ca="1" si="461"/>
        <v>#N/A</v>
      </c>
      <c r="AE975" s="324">
        <f t="shared" ca="1" si="440"/>
        <v>-3.4747669485944663</v>
      </c>
      <c r="AG975" s="306">
        <f t="shared" ca="1" si="462"/>
        <v>6.2940931870814634</v>
      </c>
      <c r="AH975" s="304">
        <f t="shared" ca="1" si="463"/>
        <v>-3.4883280598217006</v>
      </c>
    </row>
    <row r="976" spans="1:34" x14ac:dyDescent="0.2">
      <c r="A976" s="347">
        <f t="shared" ca="1" si="441"/>
        <v>1E-4</v>
      </c>
      <c r="B976" s="304">
        <f t="shared" ca="1" si="442"/>
        <v>12.067199999999819</v>
      </c>
      <c r="D976" s="306">
        <f t="shared" ca="1" si="443"/>
        <v>-0.26138595558492211</v>
      </c>
      <c r="E976" s="307">
        <f t="shared" ca="1" si="444"/>
        <v>-6.3313923292805327</v>
      </c>
      <c r="F976" s="304">
        <f t="shared" ca="1" si="445"/>
        <v>6.3367855766981265</v>
      </c>
      <c r="G976" s="306">
        <f t="shared" ca="1" si="446"/>
        <v>3.8996644869458876</v>
      </c>
      <c r="H976" s="307">
        <f t="shared" ca="1" si="447"/>
        <v>-51.898959861052383</v>
      </c>
      <c r="I976" s="304">
        <f t="shared" ca="1" si="448"/>
        <v>52.045263163614351</v>
      </c>
      <c r="J976" s="306">
        <f t="shared" ca="1" si="449"/>
        <v>56.288824373840264</v>
      </c>
      <c r="K976" s="307">
        <f t="shared" ca="1" si="450"/>
        <v>-3.4799568129236098</v>
      </c>
      <c r="L976" s="304">
        <f t="shared" ca="1" si="435"/>
        <v>56.3962928640602</v>
      </c>
      <c r="M976" s="306">
        <f t="shared" ca="1" si="451"/>
        <v>-1.4957977111548242</v>
      </c>
      <c r="N976" s="304">
        <f t="shared" ca="1" si="452"/>
        <v>-85.702895854499999</v>
      </c>
      <c r="P976" s="310">
        <f t="shared" ca="1" si="453"/>
        <v>23</v>
      </c>
      <c r="Q976" s="304">
        <f t="shared" ca="1" si="454"/>
        <v>0</v>
      </c>
      <c r="R976" s="306">
        <f t="shared" ca="1" si="455"/>
        <v>0</v>
      </c>
      <c r="S976" s="307">
        <f t="shared" ca="1" si="456"/>
        <v>2.0843000000000003</v>
      </c>
      <c r="T976" s="304">
        <f t="shared" ca="1" si="436"/>
        <v>20.446983000000003</v>
      </c>
      <c r="U976" s="311">
        <f t="shared" ca="1" si="437"/>
        <v>0</v>
      </c>
      <c r="V976" s="306">
        <f t="shared" ca="1" si="438"/>
        <v>1.2254263688968507</v>
      </c>
      <c r="W976" s="304">
        <f t="shared" ca="1" si="439"/>
        <v>7.2710814465071119</v>
      </c>
      <c r="Y976" s="314" t="str">
        <f t="shared" ca="1" si="457"/>
        <v/>
      </c>
      <c r="Z976" s="315" t="str">
        <f t="shared" ca="1" si="458"/>
        <v/>
      </c>
      <c r="AA976" s="316" t="str">
        <f t="shared" ca="1" si="459"/>
        <v/>
      </c>
      <c r="AC976" s="310" t="e">
        <f t="shared" ca="1" si="460"/>
        <v>#N/A</v>
      </c>
      <c r="AD976" s="323" t="e">
        <f t="shared" ca="1" si="461"/>
        <v>#N/A</v>
      </c>
      <c r="AE976" s="324">
        <f t="shared" ca="1" si="440"/>
        <v>-3.4799568129236098</v>
      </c>
      <c r="AG976" s="306">
        <f t="shared" ca="1" si="462"/>
        <v>6.2940080401291745</v>
      </c>
      <c r="AH976" s="304">
        <f t="shared" ca="1" si="463"/>
        <v>-3.48841424497799</v>
      </c>
    </row>
    <row r="977" spans="1:34" x14ac:dyDescent="0.2">
      <c r="A977" s="347">
        <f t="shared" ca="1" si="441"/>
        <v>1E-4</v>
      </c>
      <c r="B977" s="304">
        <f t="shared" ca="1" si="442"/>
        <v>12.067299999999818</v>
      </c>
      <c r="D977" s="306">
        <f t="shared" ca="1" si="443"/>
        <v>-0.26138750028571528</v>
      </c>
      <c r="E977" s="307">
        <f t="shared" ca="1" si="444"/>
        <v>-6.331306017243171</v>
      </c>
      <c r="F977" s="304">
        <f t="shared" ca="1" si="445"/>
        <v>6.3366994018404563</v>
      </c>
      <c r="G977" s="306">
        <f t="shared" ca="1" si="446"/>
        <v>3.8996383481958592</v>
      </c>
      <c r="H977" s="307">
        <f t="shared" ca="1" si="447"/>
        <v>-51.89959299165411</v>
      </c>
      <c r="I977" s="304">
        <f t="shared" ca="1" si="448"/>
        <v>52.045892555955575</v>
      </c>
      <c r="J977" s="306">
        <f t="shared" ca="1" si="449"/>
        <v>56.288824373840264</v>
      </c>
      <c r="K977" s="307">
        <f t="shared" ca="1" si="450"/>
        <v>-3.4851467405662451</v>
      </c>
      <c r="L977" s="304">
        <f t="shared" ca="1" si="435"/>
        <v>56.396613348607318</v>
      </c>
      <c r="M977" s="306">
        <f t="shared" ca="1" si="451"/>
        <v>-1.4957991234600991</v>
      </c>
      <c r="N977" s="304">
        <f t="shared" ca="1" si="452"/>
        <v>-85.702976773631647</v>
      </c>
      <c r="P977" s="310">
        <f t="shared" ca="1" si="453"/>
        <v>23</v>
      </c>
      <c r="Q977" s="304">
        <f t="shared" ca="1" si="454"/>
        <v>0</v>
      </c>
      <c r="R977" s="306">
        <f t="shared" ca="1" si="455"/>
        <v>0</v>
      </c>
      <c r="S977" s="307">
        <f t="shared" ca="1" si="456"/>
        <v>2.0843000000000003</v>
      </c>
      <c r="T977" s="304">
        <f t="shared" ca="1" si="436"/>
        <v>20.446983000000003</v>
      </c>
      <c r="U977" s="311">
        <f t="shared" ca="1" si="437"/>
        <v>0</v>
      </c>
      <c r="V977" s="306">
        <f t="shared" ca="1" si="438"/>
        <v>1.2254270048844536</v>
      </c>
      <c r="W977" s="304">
        <f t="shared" ca="1" si="439"/>
        <v>7.2712610821847585</v>
      </c>
      <c r="Y977" s="314" t="str">
        <f t="shared" ca="1" si="457"/>
        <v/>
      </c>
      <c r="Z977" s="315" t="str">
        <f t="shared" ca="1" si="458"/>
        <v/>
      </c>
      <c r="AA977" s="316" t="str">
        <f t="shared" ca="1" si="459"/>
        <v/>
      </c>
      <c r="AC977" s="310" t="e">
        <f t="shared" ca="1" si="460"/>
        <v>#N/A</v>
      </c>
      <c r="AD977" s="323" t="e">
        <f t="shared" ca="1" si="461"/>
        <v>#N/A</v>
      </c>
      <c r="AE977" s="324">
        <f t="shared" ca="1" si="440"/>
        <v>-3.4851467405662451</v>
      </c>
      <c r="AG977" s="306">
        <f t="shared" ca="1" si="462"/>
        <v>6.2939228931357469</v>
      </c>
      <c r="AH977" s="304">
        <f t="shared" ca="1" si="463"/>
        <v>-3.4885004301238358</v>
      </c>
    </row>
    <row r="978" spans="1:34" x14ac:dyDescent="0.2">
      <c r="A978" s="347">
        <f t="shared" ca="1" si="441"/>
        <v>1E-4</v>
      </c>
      <c r="B978" s="304">
        <f t="shared" ca="1" si="442"/>
        <v>12.067399999999818</v>
      </c>
      <c r="D978" s="306">
        <f t="shared" ca="1" si="443"/>
        <v>-0.26138904489420373</v>
      </c>
      <c r="E978" s="307">
        <f t="shared" ca="1" si="444"/>
        <v>-6.331219705216359</v>
      </c>
      <c r="F978" s="304">
        <f t="shared" ca="1" si="445"/>
        <v>6.3366132269936299</v>
      </c>
      <c r="G978" s="306">
        <f t="shared" ca="1" si="446"/>
        <v>3.8996122092913699</v>
      </c>
      <c r="H978" s="307">
        <f t="shared" ca="1" si="447"/>
        <v>-51.900226113624633</v>
      </c>
      <c r="I978" s="304">
        <f t="shared" ca="1" si="448"/>
        <v>52.046521939782089</v>
      </c>
      <c r="J978" s="306">
        <f t="shared" ca="1" si="449"/>
        <v>56.288824373840264</v>
      </c>
      <c r="K978" s="307">
        <f t="shared" ca="1" si="450"/>
        <v>-3.4903367315215088</v>
      </c>
      <c r="L978" s="304">
        <f t="shared" ca="1" si="435"/>
        <v>56.396934312854654</v>
      </c>
      <c r="M978" s="306">
        <f t="shared" ca="1" si="451"/>
        <v>-1.4958005357217503</v>
      </c>
      <c r="N978" s="304">
        <f t="shared" ca="1" si="452"/>
        <v>-85.703057690263819</v>
      </c>
      <c r="P978" s="310">
        <f t="shared" ca="1" si="453"/>
        <v>23</v>
      </c>
      <c r="Q978" s="304">
        <f t="shared" ca="1" si="454"/>
        <v>0</v>
      </c>
      <c r="R978" s="306">
        <f t="shared" ca="1" si="455"/>
        <v>0</v>
      </c>
      <c r="S978" s="307">
        <f t="shared" ca="1" si="456"/>
        <v>2.0843000000000003</v>
      </c>
      <c r="T978" s="304">
        <f t="shared" ca="1" si="436"/>
        <v>20.446983000000003</v>
      </c>
      <c r="U978" s="311">
        <f t="shared" ca="1" si="437"/>
        <v>0</v>
      </c>
      <c r="V978" s="306">
        <f t="shared" ca="1" si="438"/>
        <v>1.225427640880145</v>
      </c>
      <c r="W978" s="304">
        <f t="shared" ca="1" si="439"/>
        <v>7.2714407178404725</v>
      </c>
      <c r="Y978" s="314" t="str">
        <f t="shared" ca="1" si="457"/>
        <v/>
      </c>
      <c r="Z978" s="315" t="str">
        <f t="shared" ca="1" si="458"/>
        <v/>
      </c>
      <c r="AA978" s="316" t="str">
        <f t="shared" ca="1" si="459"/>
        <v/>
      </c>
      <c r="AC978" s="310" t="e">
        <f t="shared" ca="1" si="460"/>
        <v>#N/A</v>
      </c>
      <c r="AD978" s="323" t="e">
        <f t="shared" ca="1" si="461"/>
        <v>#N/A</v>
      </c>
      <c r="AE978" s="324">
        <f t="shared" ca="1" si="440"/>
        <v>-3.4903367315215088</v>
      </c>
      <c r="AG978" s="306">
        <f t="shared" ca="1" si="462"/>
        <v>6.293837746101218</v>
      </c>
      <c r="AH978" s="304">
        <f t="shared" ca="1" si="463"/>
        <v>-3.4885866152592033</v>
      </c>
    </row>
    <row r="979" spans="1:34" x14ac:dyDescent="0.2">
      <c r="A979" s="347">
        <f t="shared" ca="1" si="441"/>
        <v>1E-4</v>
      </c>
      <c r="B979" s="304">
        <f t="shared" ca="1" si="442"/>
        <v>12.067499999999818</v>
      </c>
      <c r="D979" s="306">
        <f t="shared" ca="1" si="443"/>
        <v>-0.26139058941038856</v>
      </c>
      <c r="E979" s="307">
        <f t="shared" ca="1" si="444"/>
        <v>-6.3311333932001412</v>
      </c>
      <c r="F979" s="304">
        <f t="shared" ca="1" si="445"/>
        <v>6.3365270521576917</v>
      </c>
      <c r="G979" s="306">
        <f t="shared" ca="1" si="446"/>
        <v>3.899586070232429</v>
      </c>
      <c r="H979" s="307">
        <f t="shared" ca="1" si="447"/>
        <v>-51.900859226963952</v>
      </c>
      <c r="I979" s="304">
        <f t="shared" ca="1" si="448"/>
        <v>52.047151315093892</v>
      </c>
      <c r="J979" s="306">
        <f t="shared" ca="1" si="449"/>
        <v>56.288824373840264</v>
      </c>
      <c r="K979" s="307">
        <f t="shared" ca="1" si="450"/>
        <v>-3.4955267857885381</v>
      </c>
      <c r="L979" s="304">
        <f t="shared" ca="1" si="435"/>
        <v>56.397255756811425</v>
      </c>
      <c r="M979" s="306">
        <f t="shared" ca="1" si="451"/>
        <v>-1.4958019479397802</v>
      </c>
      <c r="N979" s="304">
        <f t="shared" ca="1" si="452"/>
        <v>-85.703138604396685</v>
      </c>
      <c r="P979" s="310">
        <f t="shared" ca="1" si="453"/>
        <v>23</v>
      </c>
      <c r="Q979" s="304">
        <f t="shared" ca="1" si="454"/>
        <v>0</v>
      </c>
      <c r="R979" s="306">
        <f t="shared" ca="1" si="455"/>
        <v>0</v>
      </c>
      <c r="S979" s="307">
        <f t="shared" ca="1" si="456"/>
        <v>2.0843000000000003</v>
      </c>
      <c r="T979" s="304">
        <f t="shared" ca="1" si="436"/>
        <v>20.446983000000003</v>
      </c>
      <c r="U979" s="311">
        <f t="shared" ca="1" si="437"/>
        <v>0</v>
      </c>
      <c r="V979" s="306">
        <f t="shared" ca="1" si="438"/>
        <v>1.2254282768839251</v>
      </c>
      <c r="W979" s="304">
        <f t="shared" ca="1" si="439"/>
        <v>7.2716203534741748</v>
      </c>
      <c r="Y979" s="314" t="str">
        <f t="shared" ca="1" si="457"/>
        <v/>
      </c>
      <c r="Z979" s="315" t="str">
        <f t="shared" ca="1" si="458"/>
        <v/>
      </c>
      <c r="AA979" s="316" t="str">
        <f t="shared" ca="1" si="459"/>
        <v/>
      </c>
      <c r="AC979" s="310" t="e">
        <f t="shared" ca="1" si="460"/>
        <v>#N/A</v>
      </c>
      <c r="AD979" s="323" t="e">
        <f t="shared" ca="1" si="461"/>
        <v>#N/A</v>
      </c>
      <c r="AE979" s="324">
        <f t="shared" ca="1" si="440"/>
        <v>-3.4955267857885381</v>
      </c>
      <c r="AG979" s="306">
        <f t="shared" ca="1" si="462"/>
        <v>6.2937525990256358</v>
      </c>
      <c r="AH979" s="304">
        <f t="shared" ca="1" si="463"/>
        <v>-3.4886728003840481</v>
      </c>
    </row>
    <row r="980" spans="1:34" x14ac:dyDescent="0.2">
      <c r="A980" s="347">
        <f t="shared" ca="1" si="441"/>
        <v>1E-4</v>
      </c>
      <c r="B980" s="304">
        <f t="shared" ca="1" si="442"/>
        <v>12.067599999999818</v>
      </c>
      <c r="D980" s="306">
        <f t="shared" ca="1" si="443"/>
        <v>-0.26139213383426968</v>
      </c>
      <c r="E980" s="307">
        <f t="shared" ca="1" si="444"/>
        <v>-6.3310470811945567</v>
      </c>
      <c r="F980" s="304">
        <f t="shared" ca="1" si="445"/>
        <v>6.3364408773326808</v>
      </c>
      <c r="G980" s="306">
        <f t="shared" ca="1" si="446"/>
        <v>3.8995599310190454</v>
      </c>
      <c r="H980" s="307">
        <f t="shared" ca="1" si="447"/>
        <v>-51.901492331672074</v>
      </c>
      <c r="I980" s="304">
        <f t="shared" ca="1" si="448"/>
        <v>52.047780681890984</v>
      </c>
      <c r="J980" s="306">
        <f t="shared" ca="1" si="449"/>
        <v>56.288824373840264</v>
      </c>
      <c r="K980" s="307">
        <f t="shared" ca="1" si="450"/>
        <v>-3.5007169033664698</v>
      </c>
      <c r="L980" s="304">
        <f t="shared" ca="1" si="435"/>
        <v>56.397577680486862</v>
      </c>
      <c r="M980" s="306">
        <f t="shared" ca="1" si="451"/>
        <v>-1.4958033601141905</v>
      </c>
      <c r="N980" s="304">
        <f t="shared" ca="1" si="452"/>
        <v>-85.70321951603033</v>
      </c>
      <c r="P980" s="310">
        <f t="shared" ca="1" si="453"/>
        <v>23</v>
      </c>
      <c r="Q980" s="304">
        <f t="shared" ca="1" si="454"/>
        <v>0</v>
      </c>
      <c r="R980" s="306">
        <f t="shared" ca="1" si="455"/>
        <v>0</v>
      </c>
      <c r="S980" s="307">
        <f t="shared" ca="1" si="456"/>
        <v>2.0843000000000003</v>
      </c>
      <c r="T980" s="304">
        <f t="shared" ca="1" si="436"/>
        <v>20.446983000000003</v>
      </c>
      <c r="U980" s="311">
        <f t="shared" ca="1" si="437"/>
        <v>0</v>
      </c>
      <c r="V980" s="306">
        <f t="shared" ca="1" si="438"/>
        <v>1.2254289128957938</v>
      </c>
      <c r="W980" s="304">
        <f t="shared" ca="1" si="439"/>
        <v>7.2717999890857792</v>
      </c>
      <c r="Y980" s="314" t="str">
        <f t="shared" ca="1" si="457"/>
        <v/>
      </c>
      <c r="Z980" s="315" t="str">
        <f t="shared" ca="1" si="458"/>
        <v/>
      </c>
      <c r="AA980" s="316" t="str">
        <f t="shared" ca="1" si="459"/>
        <v/>
      </c>
      <c r="AC980" s="310" t="e">
        <f t="shared" ca="1" si="460"/>
        <v>#N/A</v>
      </c>
      <c r="AD980" s="323" t="e">
        <f t="shared" ca="1" si="461"/>
        <v>#N/A</v>
      </c>
      <c r="AE980" s="324">
        <f t="shared" ca="1" si="440"/>
        <v>-3.5007169033664698</v>
      </c>
      <c r="AG980" s="306">
        <f t="shared" ca="1" si="462"/>
        <v>6.2936674519090392</v>
      </c>
      <c r="AH980" s="304">
        <f t="shared" ca="1" si="463"/>
        <v>-3.4887589854983321</v>
      </c>
    </row>
    <row r="981" spans="1:34" x14ac:dyDescent="0.2">
      <c r="A981" s="347">
        <f t="shared" ca="1" si="441"/>
        <v>1E-4</v>
      </c>
      <c r="B981" s="304">
        <f t="shared" ca="1" si="442"/>
        <v>12.067699999999817</v>
      </c>
      <c r="D981" s="306">
        <f t="shared" ca="1" si="443"/>
        <v>-0.26139367816584919</v>
      </c>
      <c r="E981" s="307">
        <f t="shared" ca="1" si="444"/>
        <v>-6.3309607691996455</v>
      </c>
      <c r="F981" s="304">
        <f t="shared" ca="1" si="445"/>
        <v>6.3363547025186362</v>
      </c>
      <c r="G981" s="306">
        <f t="shared" ca="1" si="446"/>
        <v>3.8995337916512289</v>
      </c>
      <c r="H981" s="307">
        <f t="shared" ca="1" si="447"/>
        <v>-51.902125427748992</v>
      </c>
      <c r="I981" s="304">
        <f t="shared" ca="1" si="448"/>
        <v>52.048410040173351</v>
      </c>
      <c r="J981" s="306">
        <f t="shared" ca="1" si="449"/>
        <v>56.288824373840264</v>
      </c>
      <c r="K981" s="307">
        <f t="shared" ca="1" si="450"/>
        <v>-3.5059070842544409</v>
      </c>
      <c r="L981" s="304">
        <f t="shared" ca="1" si="435"/>
        <v>56.397900083890178</v>
      </c>
      <c r="M981" s="306">
        <f t="shared" ca="1" si="451"/>
        <v>-1.4958047722449834</v>
      </c>
      <c r="N981" s="304">
        <f t="shared" ca="1" si="452"/>
        <v>-85.703300425164898</v>
      </c>
      <c r="P981" s="310">
        <f t="shared" ca="1" si="453"/>
        <v>23</v>
      </c>
      <c r="Q981" s="304">
        <f t="shared" ca="1" si="454"/>
        <v>0</v>
      </c>
      <c r="R981" s="306">
        <f t="shared" ca="1" si="455"/>
        <v>0</v>
      </c>
      <c r="S981" s="307">
        <f t="shared" ca="1" si="456"/>
        <v>2.0843000000000003</v>
      </c>
      <c r="T981" s="304">
        <f t="shared" ca="1" si="436"/>
        <v>20.446983000000003</v>
      </c>
      <c r="U981" s="311">
        <f t="shared" ca="1" si="437"/>
        <v>0</v>
      </c>
      <c r="V981" s="306">
        <f t="shared" ca="1" si="438"/>
        <v>1.2254295489157505</v>
      </c>
      <c r="W981" s="304">
        <f t="shared" ca="1" si="439"/>
        <v>7.271979624675196</v>
      </c>
      <c r="Y981" s="314" t="str">
        <f t="shared" ca="1" si="457"/>
        <v/>
      </c>
      <c r="Z981" s="315" t="str">
        <f t="shared" ca="1" si="458"/>
        <v/>
      </c>
      <c r="AA981" s="316" t="str">
        <f t="shared" ca="1" si="459"/>
        <v/>
      </c>
      <c r="AC981" s="310" t="e">
        <f t="shared" ca="1" si="460"/>
        <v>#N/A</v>
      </c>
      <c r="AD981" s="323" t="e">
        <f t="shared" ca="1" si="461"/>
        <v>#N/A</v>
      </c>
      <c r="AE981" s="324">
        <f t="shared" ca="1" si="440"/>
        <v>-3.5059070842544409</v>
      </c>
      <c r="AG981" s="306">
        <f t="shared" ca="1" si="462"/>
        <v>6.2935823047514781</v>
      </c>
      <c r="AH981" s="304">
        <f t="shared" ca="1" si="463"/>
        <v>-3.4888451706020143</v>
      </c>
    </row>
    <row r="982" spans="1:34" x14ac:dyDescent="0.2">
      <c r="A982" s="347">
        <f t="shared" ca="1" si="441"/>
        <v>1E-4</v>
      </c>
      <c r="B982" s="304">
        <f t="shared" ca="1" si="442"/>
        <v>12.067799999999817</v>
      </c>
      <c r="D982" s="306">
        <f t="shared" ca="1" si="443"/>
        <v>-0.26139522240512741</v>
      </c>
      <c r="E982" s="307">
        <f t="shared" ca="1" si="444"/>
        <v>-6.3308744572154509</v>
      </c>
      <c r="F982" s="304">
        <f t="shared" ca="1" si="445"/>
        <v>6.3362685277156032</v>
      </c>
      <c r="G982" s="306">
        <f t="shared" ca="1" si="446"/>
        <v>3.8995076521289884</v>
      </c>
      <c r="H982" s="307">
        <f t="shared" ca="1" si="447"/>
        <v>-51.902758515194712</v>
      </c>
      <c r="I982" s="304">
        <f t="shared" ca="1" si="448"/>
        <v>52.049039389941001</v>
      </c>
      <c r="J982" s="306">
        <f t="shared" ca="1" si="449"/>
        <v>56.288824373840264</v>
      </c>
      <c r="K982" s="307">
        <f t="shared" ca="1" si="450"/>
        <v>-3.5110973284515881</v>
      </c>
      <c r="L982" s="304">
        <f t="shared" ca="1" si="435"/>
        <v>56.398222967030563</v>
      </c>
      <c r="M982" s="306">
        <f t="shared" ca="1" si="451"/>
        <v>-1.4958061843321611</v>
      </c>
      <c r="N982" s="304">
        <f t="shared" ca="1" si="452"/>
        <v>-85.703381331800472</v>
      </c>
      <c r="P982" s="310">
        <f t="shared" ca="1" si="453"/>
        <v>23</v>
      </c>
      <c r="Q982" s="304">
        <f t="shared" ca="1" si="454"/>
        <v>0</v>
      </c>
      <c r="R982" s="306">
        <f t="shared" ca="1" si="455"/>
        <v>0</v>
      </c>
      <c r="S982" s="307">
        <f t="shared" ca="1" si="456"/>
        <v>2.0843000000000003</v>
      </c>
      <c r="T982" s="304">
        <f t="shared" ca="1" si="436"/>
        <v>20.446983000000003</v>
      </c>
      <c r="U982" s="311">
        <f t="shared" ca="1" si="437"/>
        <v>0</v>
      </c>
      <c r="V982" s="306">
        <f t="shared" ca="1" si="438"/>
        <v>1.2254301849437956</v>
      </c>
      <c r="W982" s="304">
        <f t="shared" ca="1" si="439"/>
        <v>7.2721592602423453</v>
      </c>
      <c r="Y982" s="314" t="str">
        <f t="shared" ca="1" si="457"/>
        <v/>
      </c>
      <c r="Z982" s="315" t="str">
        <f t="shared" ca="1" si="458"/>
        <v/>
      </c>
      <c r="AA982" s="316" t="str">
        <f t="shared" ca="1" si="459"/>
        <v/>
      </c>
      <c r="AC982" s="310" t="e">
        <f t="shared" ca="1" si="460"/>
        <v>#N/A</v>
      </c>
      <c r="AD982" s="323" t="e">
        <f t="shared" ca="1" si="461"/>
        <v>#N/A</v>
      </c>
      <c r="AE982" s="324">
        <f t="shared" ca="1" si="440"/>
        <v>-3.5110973284515881</v>
      </c>
      <c r="AG982" s="306">
        <f t="shared" ca="1" si="462"/>
        <v>6.293497157552995</v>
      </c>
      <c r="AH982" s="304">
        <f t="shared" ca="1" si="463"/>
        <v>-3.4889313556950512</v>
      </c>
    </row>
    <row r="983" spans="1:34" x14ac:dyDescent="0.2">
      <c r="A983" s="347">
        <f t="shared" ca="1" si="441"/>
        <v>1E-4</v>
      </c>
      <c r="B983" s="304">
        <f t="shared" ca="1" si="442"/>
        <v>12.067899999999817</v>
      </c>
      <c r="D983" s="306">
        <f t="shared" ca="1" si="443"/>
        <v>-0.26139676655210581</v>
      </c>
      <c r="E983" s="307">
        <f t="shared" ca="1" si="444"/>
        <v>-6.3307881452420132</v>
      </c>
      <c r="F983" s="304">
        <f t="shared" ca="1" si="445"/>
        <v>6.336182352923621</v>
      </c>
      <c r="G983" s="306">
        <f t="shared" ca="1" si="446"/>
        <v>3.8994815124523332</v>
      </c>
      <c r="H983" s="307">
        <f t="shared" ca="1" si="447"/>
        <v>-51.903391594009236</v>
      </c>
      <c r="I983" s="304">
        <f t="shared" ca="1" si="448"/>
        <v>52.049668731193918</v>
      </c>
      <c r="J983" s="306">
        <f t="shared" ca="1" si="449"/>
        <v>56.288824373840264</v>
      </c>
      <c r="K983" s="307">
        <f t="shared" ca="1" si="450"/>
        <v>-3.5162876359570481</v>
      </c>
      <c r="L983" s="304">
        <f t="shared" ca="1" si="435"/>
        <v>56.39854632991721</v>
      </c>
      <c r="M983" s="306">
        <f t="shared" ca="1" si="451"/>
        <v>-1.4958075963757258</v>
      </c>
      <c r="N983" s="304">
        <f t="shared" ca="1" si="452"/>
        <v>-85.703462235937224</v>
      </c>
      <c r="P983" s="310">
        <f t="shared" ca="1" si="453"/>
        <v>23</v>
      </c>
      <c r="Q983" s="304">
        <f t="shared" ca="1" si="454"/>
        <v>0</v>
      </c>
      <c r="R983" s="306">
        <f t="shared" ca="1" si="455"/>
        <v>0</v>
      </c>
      <c r="S983" s="307">
        <f t="shared" ca="1" si="456"/>
        <v>2.0843000000000003</v>
      </c>
      <c r="T983" s="304">
        <f t="shared" ca="1" si="436"/>
        <v>20.446983000000003</v>
      </c>
      <c r="U983" s="311">
        <f t="shared" ca="1" si="437"/>
        <v>0</v>
      </c>
      <c r="V983" s="306">
        <f t="shared" ca="1" si="438"/>
        <v>1.2254308209799292</v>
      </c>
      <c r="W983" s="304">
        <f t="shared" ca="1" si="439"/>
        <v>7.2723388957871409</v>
      </c>
      <c r="Y983" s="314" t="str">
        <f t="shared" ca="1" si="457"/>
        <v/>
      </c>
      <c r="Z983" s="315" t="str">
        <f t="shared" ca="1" si="458"/>
        <v/>
      </c>
      <c r="AA983" s="316" t="str">
        <f t="shared" ca="1" si="459"/>
        <v/>
      </c>
      <c r="AC983" s="310" t="e">
        <f t="shared" ca="1" si="460"/>
        <v>#N/A</v>
      </c>
      <c r="AD983" s="323" t="e">
        <f t="shared" ca="1" si="461"/>
        <v>#N/A</v>
      </c>
      <c r="AE983" s="324">
        <f t="shared" ca="1" si="440"/>
        <v>-3.5162876359570481</v>
      </c>
      <c r="AG983" s="306">
        <f t="shared" ca="1" si="462"/>
        <v>6.2934120103136317</v>
      </c>
      <c r="AH983" s="304">
        <f t="shared" ca="1" si="463"/>
        <v>-3.4890175407774047</v>
      </c>
    </row>
    <row r="984" spans="1:34" x14ac:dyDescent="0.2">
      <c r="A984" s="347">
        <f t="shared" ca="1" si="441"/>
        <v>1E-4</v>
      </c>
      <c r="B984" s="304">
        <f t="shared" ca="1" si="442"/>
        <v>12.067999999999817</v>
      </c>
      <c r="D984" s="306">
        <f t="shared" ca="1" si="443"/>
        <v>-0.26139831060678415</v>
      </c>
      <c r="E984" s="307">
        <f t="shared" ca="1" si="444"/>
        <v>-6.3307018332793721</v>
      </c>
      <c r="F984" s="304">
        <f t="shared" ca="1" si="445"/>
        <v>6.3360961781427285</v>
      </c>
      <c r="G984" s="306">
        <f t="shared" ca="1" si="446"/>
        <v>3.8994553726212726</v>
      </c>
      <c r="H984" s="307">
        <f t="shared" ca="1" si="447"/>
        <v>-51.904024664192562</v>
      </c>
      <c r="I984" s="304">
        <f t="shared" ca="1" si="448"/>
        <v>52.050298063932111</v>
      </c>
      <c r="J984" s="306">
        <f t="shared" ca="1" si="449"/>
        <v>56.288824373840264</v>
      </c>
      <c r="K984" s="307">
        <f t="shared" ca="1" si="450"/>
        <v>-3.521478006769958</v>
      </c>
      <c r="L984" s="304">
        <f t="shared" ca="1" si="435"/>
        <v>56.398870172559292</v>
      </c>
      <c r="M984" s="306">
        <f t="shared" ca="1" si="451"/>
        <v>-1.4958090083756792</v>
      </c>
      <c r="N984" s="304">
        <f t="shared" ca="1" si="452"/>
        <v>-85.703543137575224</v>
      </c>
      <c r="P984" s="310">
        <f t="shared" ca="1" si="453"/>
        <v>23</v>
      </c>
      <c r="Q984" s="304">
        <f t="shared" ca="1" si="454"/>
        <v>0</v>
      </c>
      <c r="R984" s="306">
        <f t="shared" ca="1" si="455"/>
        <v>0</v>
      </c>
      <c r="S984" s="307">
        <f t="shared" ca="1" si="456"/>
        <v>2.0843000000000003</v>
      </c>
      <c r="T984" s="304">
        <f t="shared" ca="1" si="436"/>
        <v>20.446983000000003</v>
      </c>
      <c r="U984" s="311">
        <f t="shared" ca="1" si="437"/>
        <v>0</v>
      </c>
      <c r="V984" s="306">
        <f t="shared" ca="1" si="438"/>
        <v>1.2254314570241505</v>
      </c>
      <c r="W984" s="304">
        <f t="shared" ca="1" si="439"/>
        <v>7.2725185313094984</v>
      </c>
      <c r="Y984" s="314" t="str">
        <f t="shared" ca="1" si="457"/>
        <v/>
      </c>
      <c r="Z984" s="315" t="str">
        <f t="shared" ca="1" si="458"/>
        <v/>
      </c>
      <c r="AA984" s="316" t="str">
        <f t="shared" ca="1" si="459"/>
        <v/>
      </c>
      <c r="AC984" s="310" t="e">
        <f t="shared" ca="1" si="460"/>
        <v>#N/A</v>
      </c>
      <c r="AD984" s="323" t="e">
        <f t="shared" ca="1" si="461"/>
        <v>#N/A</v>
      </c>
      <c r="AE984" s="324">
        <f t="shared" ca="1" si="440"/>
        <v>-3.521478006769958</v>
      </c>
      <c r="AG984" s="306">
        <f t="shared" ca="1" si="462"/>
        <v>6.2933268630334327</v>
      </c>
      <c r="AH984" s="304">
        <f t="shared" ca="1" si="463"/>
        <v>-3.4891037258490334</v>
      </c>
    </row>
    <row r="985" spans="1:34" x14ac:dyDescent="0.2">
      <c r="A985" s="347">
        <f t="shared" ca="1" si="441"/>
        <v>1E-4</v>
      </c>
      <c r="B985" s="304">
        <f t="shared" ca="1" si="442"/>
        <v>12.068099999999816</v>
      </c>
      <c r="D985" s="306">
        <f t="shared" ca="1" si="443"/>
        <v>-0.26139985456916515</v>
      </c>
      <c r="E985" s="307">
        <f t="shared" ca="1" si="444"/>
        <v>-6.3306155213275686</v>
      </c>
      <c r="F985" s="304">
        <f t="shared" ca="1" si="445"/>
        <v>6.3360100033729667</v>
      </c>
      <c r="G985" s="306">
        <f t="shared" ca="1" si="446"/>
        <v>3.8994292326358155</v>
      </c>
      <c r="H985" s="307">
        <f t="shared" ca="1" si="447"/>
        <v>-51.904657725744691</v>
      </c>
      <c r="I985" s="304">
        <f t="shared" ca="1" si="448"/>
        <v>52.050927388155564</v>
      </c>
      <c r="J985" s="306">
        <f t="shared" ca="1" si="449"/>
        <v>56.288824373840264</v>
      </c>
      <c r="K985" s="307">
        <f t="shared" ca="1" si="450"/>
        <v>-3.5266684408894551</v>
      </c>
      <c r="L985" s="304">
        <f t="shared" ca="1" si="435"/>
        <v>56.399194494965968</v>
      </c>
      <c r="M985" s="306">
        <f t="shared" ca="1" si="451"/>
        <v>-1.4958104203320239</v>
      </c>
      <c r="N985" s="304">
        <f t="shared" ca="1" si="452"/>
        <v>-85.703624036714629</v>
      </c>
      <c r="P985" s="310">
        <f t="shared" ca="1" si="453"/>
        <v>23</v>
      </c>
      <c r="Q985" s="304">
        <f t="shared" ca="1" si="454"/>
        <v>0</v>
      </c>
      <c r="R985" s="306">
        <f t="shared" ca="1" si="455"/>
        <v>0</v>
      </c>
      <c r="S985" s="307">
        <f t="shared" ca="1" si="456"/>
        <v>2.0843000000000003</v>
      </c>
      <c r="T985" s="304">
        <f t="shared" ca="1" si="436"/>
        <v>20.446983000000003</v>
      </c>
      <c r="U985" s="311">
        <f t="shared" ca="1" si="437"/>
        <v>0</v>
      </c>
      <c r="V985" s="306">
        <f t="shared" ca="1" si="438"/>
        <v>1.2254320930764597</v>
      </c>
      <c r="W985" s="304">
        <f t="shared" ca="1" si="439"/>
        <v>7.2726981668093282</v>
      </c>
      <c r="Y985" s="314" t="str">
        <f t="shared" ca="1" si="457"/>
        <v/>
      </c>
      <c r="Z985" s="315" t="str">
        <f t="shared" ca="1" si="458"/>
        <v/>
      </c>
      <c r="AA985" s="316" t="str">
        <f t="shared" ca="1" si="459"/>
        <v/>
      </c>
      <c r="AC985" s="310" t="e">
        <f t="shared" ca="1" si="460"/>
        <v>#N/A</v>
      </c>
      <c r="AD985" s="323" t="e">
        <f t="shared" ca="1" si="461"/>
        <v>#N/A</v>
      </c>
      <c r="AE985" s="324">
        <f t="shared" ca="1" si="440"/>
        <v>-3.5266684408894551</v>
      </c>
      <c r="AG985" s="306">
        <f t="shared" ca="1" si="462"/>
        <v>6.2932417157124441</v>
      </c>
      <c r="AH985" s="304">
        <f t="shared" ca="1" si="463"/>
        <v>-3.4891899109098965</v>
      </c>
    </row>
    <row r="986" spans="1:34" x14ac:dyDescent="0.2">
      <c r="A986" s="347">
        <f t="shared" ca="1" si="441"/>
        <v>1E-4</v>
      </c>
      <c r="B986" s="304">
        <f t="shared" ca="1" si="442"/>
        <v>12.068199999999816</v>
      </c>
      <c r="D986" s="306">
        <f t="shared" ca="1" si="443"/>
        <v>-0.26140139843924792</v>
      </c>
      <c r="E986" s="307">
        <f t="shared" ca="1" si="444"/>
        <v>-6.3305292093866452</v>
      </c>
      <c r="F986" s="304">
        <f t="shared" ca="1" si="445"/>
        <v>6.3359238286143791</v>
      </c>
      <c r="G986" s="306">
        <f t="shared" ca="1" si="446"/>
        <v>3.8994030924959717</v>
      </c>
      <c r="H986" s="307">
        <f t="shared" ca="1" si="447"/>
        <v>-51.905290778665631</v>
      </c>
      <c r="I986" s="304">
        <f t="shared" ca="1" si="448"/>
        <v>52.051556703864279</v>
      </c>
      <c r="J986" s="306">
        <f t="shared" ca="1" si="449"/>
        <v>56.288824373840264</v>
      </c>
      <c r="K986" s="307">
        <f t="shared" ca="1" si="450"/>
        <v>-3.5318589383146755</v>
      </c>
      <c r="L986" s="304">
        <f t="shared" ca="1" si="435"/>
        <v>56.399519297146384</v>
      </c>
      <c r="M986" s="306">
        <f t="shared" ca="1" si="451"/>
        <v>-1.4958118322447618</v>
      </c>
      <c r="N986" s="304">
        <f t="shared" ca="1" si="452"/>
        <v>-85.703704933355553</v>
      </c>
      <c r="P986" s="310">
        <f t="shared" ca="1" si="453"/>
        <v>23</v>
      </c>
      <c r="Q986" s="304">
        <f t="shared" ca="1" si="454"/>
        <v>0</v>
      </c>
      <c r="R986" s="306">
        <f t="shared" ca="1" si="455"/>
        <v>0</v>
      </c>
      <c r="S986" s="307">
        <f t="shared" ca="1" si="456"/>
        <v>2.0843000000000003</v>
      </c>
      <c r="T986" s="304">
        <f t="shared" ca="1" si="436"/>
        <v>20.446983000000003</v>
      </c>
      <c r="U986" s="311">
        <f t="shared" ca="1" si="437"/>
        <v>0</v>
      </c>
      <c r="V986" s="306">
        <f t="shared" ca="1" si="438"/>
        <v>1.225432729136857</v>
      </c>
      <c r="W986" s="304">
        <f t="shared" ca="1" si="439"/>
        <v>7.2728778022865521</v>
      </c>
      <c r="Y986" s="314" t="str">
        <f t="shared" ca="1" si="457"/>
        <v/>
      </c>
      <c r="Z986" s="315" t="str">
        <f t="shared" ca="1" si="458"/>
        <v/>
      </c>
      <c r="AA986" s="316" t="str">
        <f t="shared" ca="1" si="459"/>
        <v/>
      </c>
      <c r="AC986" s="310" t="e">
        <f t="shared" ca="1" si="460"/>
        <v>#N/A</v>
      </c>
      <c r="AD986" s="323" t="e">
        <f t="shared" ca="1" si="461"/>
        <v>#N/A</v>
      </c>
      <c r="AE986" s="324">
        <f t="shared" ca="1" si="440"/>
        <v>-3.5318589383146755</v>
      </c>
      <c r="AG986" s="306">
        <f t="shared" ca="1" si="462"/>
        <v>6.2931565683507102</v>
      </c>
      <c r="AH986" s="304">
        <f t="shared" ca="1" si="463"/>
        <v>-3.4892760959599518</v>
      </c>
    </row>
    <row r="987" spans="1:34" x14ac:dyDescent="0.2">
      <c r="A987" s="347">
        <f t="shared" ca="1" si="441"/>
        <v>1E-4</v>
      </c>
      <c r="B987" s="304">
        <f t="shared" ca="1" si="442"/>
        <v>12.068299999999816</v>
      </c>
      <c r="D987" s="306">
        <f t="shared" ca="1" si="443"/>
        <v>-0.26140294221703447</v>
      </c>
      <c r="E987" s="307">
        <f t="shared" ca="1" si="444"/>
        <v>-6.3304428974566402</v>
      </c>
      <c r="F987" s="304">
        <f t="shared" ca="1" si="445"/>
        <v>6.3358376538670047</v>
      </c>
      <c r="G987" s="306">
        <f t="shared" ca="1" si="446"/>
        <v>3.8993769522017501</v>
      </c>
      <c r="H987" s="307">
        <f t="shared" ca="1" si="447"/>
        <v>-51.905923822955373</v>
      </c>
      <c r="I987" s="304">
        <f t="shared" ca="1" si="448"/>
        <v>52.052186011058254</v>
      </c>
      <c r="J987" s="306">
        <f t="shared" ca="1" si="449"/>
        <v>56.288824373840264</v>
      </c>
      <c r="K987" s="307">
        <f t="shared" ca="1" si="450"/>
        <v>-3.5370494990447563</v>
      </c>
      <c r="L987" s="304">
        <f t="shared" ca="1" si="435"/>
        <v>56.399844579109669</v>
      </c>
      <c r="M987" s="306">
        <f t="shared" ca="1" si="451"/>
        <v>-1.4958132441138949</v>
      </c>
      <c r="N987" s="304">
        <f t="shared" ca="1" si="452"/>
        <v>-85.703785827498109</v>
      </c>
      <c r="P987" s="310">
        <f t="shared" ca="1" si="453"/>
        <v>23</v>
      </c>
      <c r="Q987" s="304">
        <f t="shared" ca="1" si="454"/>
        <v>0</v>
      </c>
      <c r="R987" s="306">
        <f t="shared" ca="1" si="455"/>
        <v>0</v>
      </c>
      <c r="S987" s="307">
        <f t="shared" ca="1" si="456"/>
        <v>2.0843000000000003</v>
      </c>
      <c r="T987" s="304">
        <f t="shared" ca="1" si="436"/>
        <v>20.446983000000003</v>
      </c>
      <c r="U987" s="311">
        <f t="shared" ca="1" si="437"/>
        <v>0</v>
      </c>
      <c r="V987" s="306">
        <f t="shared" ca="1" si="438"/>
        <v>1.2254333652053424</v>
      </c>
      <c r="W987" s="304">
        <f t="shared" ca="1" si="439"/>
        <v>7.2730574377410839</v>
      </c>
      <c r="Y987" s="314" t="str">
        <f t="shared" ca="1" si="457"/>
        <v/>
      </c>
      <c r="Z987" s="315" t="str">
        <f t="shared" ca="1" si="458"/>
        <v/>
      </c>
      <c r="AA987" s="316" t="str">
        <f t="shared" ca="1" si="459"/>
        <v/>
      </c>
      <c r="AC987" s="310" t="e">
        <f t="shared" ca="1" si="460"/>
        <v>#N/A</v>
      </c>
      <c r="AD987" s="323" t="e">
        <f t="shared" ca="1" si="461"/>
        <v>#N/A</v>
      </c>
      <c r="AE987" s="324">
        <f t="shared" ca="1" si="440"/>
        <v>-3.5370494990447563</v>
      </c>
      <c r="AG987" s="306">
        <f t="shared" ca="1" si="462"/>
        <v>6.293071420948273</v>
      </c>
      <c r="AH987" s="304">
        <f t="shared" ca="1" si="463"/>
        <v>-3.4893622809991611</v>
      </c>
    </row>
    <row r="988" spans="1:34" x14ac:dyDescent="0.2">
      <c r="A988" s="347">
        <f t="shared" ca="1" si="441"/>
        <v>1E-4</v>
      </c>
      <c r="B988" s="304">
        <f t="shared" ca="1" si="442"/>
        <v>12.068399999999816</v>
      </c>
      <c r="D988" s="306">
        <f t="shared" ca="1" si="443"/>
        <v>-0.26140448590252552</v>
      </c>
      <c r="E988" s="307">
        <f t="shared" ca="1" si="444"/>
        <v>-6.3303565855375945</v>
      </c>
      <c r="F988" s="304">
        <f t="shared" ca="1" si="445"/>
        <v>6.3357514791308818</v>
      </c>
      <c r="G988" s="306">
        <f t="shared" ca="1" si="446"/>
        <v>3.8993508117531599</v>
      </c>
      <c r="H988" s="307">
        <f t="shared" ca="1" si="447"/>
        <v>-51.906556858613925</v>
      </c>
      <c r="I988" s="304">
        <f t="shared" ca="1" si="448"/>
        <v>52.052815309737476</v>
      </c>
      <c r="J988" s="306">
        <f t="shared" ca="1" si="449"/>
        <v>56.288824373840264</v>
      </c>
      <c r="K988" s="307">
        <f t="shared" ca="1" si="450"/>
        <v>-3.5422401230788347</v>
      </c>
      <c r="L988" s="304">
        <f t="shared" ca="1" si="435"/>
        <v>56.40017034086496</v>
      </c>
      <c r="M988" s="306">
        <f t="shared" ca="1" si="451"/>
        <v>-1.4958146559394254</v>
      </c>
      <c r="N988" s="304">
        <f t="shared" ca="1" si="452"/>
        <v>-85.703866719142411</v>
      </c>
      <c r="P988" s="310">
        <f t="shared" ca="1" si="453"/>
        <v>23</v>
      </c>
      <c r="Q988" s="304">
        <f t="shared" ca="1" si="454"/>
        <v>0</v>
      </c>
      <c r="R988" s="306">
        <f t="shared" ca="1" si="455"/>
        <v>0</v>
      </c>
      <c r="S988" s="307">
        <f t="shared" ca="1" si="456"/>
        <v>2.0843000000000003</v>
      </c>
      <c r="T988" s="304">
        <f t="shared" ca="1" si="436"/>
        <v>20.446983000000003</v>
      </c>
      <c r="U988" s="311">
        <f t="shared" ca="1" si="437"/>
        <v>0</v>
      </c>
      <c r="V988" s="306">
        <f t="shared" ca="1" si="438"/>
        <v>1.2254340012819152</v>
      </c>
      <c r="W988" s="304">
        <f t="shared" ca="1" si="439"/>
        <v>7.273237073172834</v>
      </c>
      <c r="Y988" s="314" t="str">
        <f t="shared" ca="1" si="457"/>
        <v/>
      </c>
      <c r="Z988" s="315" t="str">
        <f t="shared" ca="1" si="458"/>
        <v/>
      </c>
      <c r="AA988" s="316" t="str">
        <f t="shared" ca="1" si="459"/>
        <v/>
      </c>
      <c r="AC988" s="310" t="e">
        <f t="shared" ca="1" si="460"/>
        <v>#N/A</v>
      </c>
      <c r="AD988" s="323" t="e">
        <f t="shared" ca="1" si="461"/>
        <v>#N/A</v>
      </c>
      <c r="AE988" s="324">
        <f t="shared" ca="1" si="440"/>
        <v>-3.5422401230788347</v>
      </c>
      <c r="AG988" s="306">
        <f t="shared" ca="1" si="462"/>
        <v>6.2929862735051785</v>
      </c>
      <c r="AH988" s="304">
        <f t="shared" ca="1" si="463"/>
        <v>-3.4894484660274832</v>
      </c>
    </row>
    <row r="989" spans="1:34" x14ac:dyDescent="0.2">
      <c r="A989" s="347">
        <f t="shared" ca="1" si="441"/>
        <v>1E-4</v>
      </c>
      <c r="B989" s="304">
        <f t="shared" ca="1" si="442"/>
        <v>12.068499999999815</v>
      </c>
      <c r="D989" s="306">
        <f t="shared" ca="1" si="443"/>
        <v>-0.261406029495722</v>
      </c>
      <c r="E989" s="307">
        <f t="shared" ca="1" si="444"/>
        <v>-6.3302702736295515</v>
      </c>
      <c r="F989" s="304">
        <f t="shared" ca="1" si="445"/>
        <v>6.3356653044060556</v>
      </c>
      <c r="G989" s="306">
        <f t="shared" ca="1" si="446"/>
        <v>3.8993246711502105</v>
      </c>
      <c r="H989" s="307">
        <f t="shared" ca="1" si="447"/>
        <v>-51.907189885641287</v>
      </c>
      <c r="I989" s="304">
        <f t="shared" ca="1" si="448"/>
        <v>52.053444599901951</v>
      </c>
      <c r="J989" s="306">
        <f t="shared" ca="1" si="449"/>
        <v>56.288824373840264</v>
      </c>
      <c r="K989" s="307">
        <f t="shared" ca="1" si="450"/>
        <v>-3.5474308104160475</v>
      </c>
      <c r="L989" s="304">
        <f t="shared" ca="1" si="435"/>
        <v>56.400496582421354</v>
      </c>
      <c r="M989" s="306">
        <f t="shared" ca="1" si="451"/>
        <v>-1.4958160677213554</v>
      </c>
      <c r="N989" s="304">
        <f t="shared" ca="1" si="452"/>
        <v>-85.703947608288601</v>
      </c>
      <c r="P989" s="310">
        <f t="shared" ca="1" si="453"/>
        <v>23</v>
      </c>
      <c r="Q989" s="304">
        <f t="shared" ca="1" si="454"/>
        <v>0</v>
      </c>
      <c r="R989" s="306">
        <f t="shared" ca="1" si="455"/>
        <v>0</v>
      </c>
      <c r="S989" s="307">
        <f t="shared" ca="1" si="456"/>
        <v>2.0843000000000003</v>
      </c>
      <c r="T989" s="304">
        <f t="shared" ca="1" si="436"/>
        <v>20.446983000000003</v>
      </c>
      <c r="U989" s="311">
        <f t="shared" ca="1" si="437"/>
        <v>0</v>
      </c>
      <c r="V989" s="306">
        <f t="shared" ca="1" si="438"/>
        <v>1.2254346373665754</v>
      </c>
      <c r="W989" s="304">
        <f t="shared" ca="1" si="439"/>
        <v>7.2734167085817223</v>
      </c>
      <c r="Y989" s="314" t="str">
        <f t="shared" ca="1" si="457"/>
        <v/>
      </c>
      <c r="Z989" s="315" t="str">
        <f t="shared" ca="1" si="458"/>
        <v/>
      </c>
      <c r="AA989" s="316" t="str">
        <f t="shared" ca="1" si="459"/>
        <v/>
      </c>
      <c r="AC989" s="310" t="e">
        <f t="shared" ca="1" si="460"/>
        <v>#N/A</v>
      </c>
      <c r="AD989" s="323" t="e">
        <f t="shared" ca="1" si="461"/>
        <v>#N/A</v>
      </c>
      <c r="AE989" s="324">
        <f t="shared" ca="1" si="440"/>
        <v>-3.5474308104160475</v>
      </c>
      <c r="AG989" s="306">
        <f t="shared" ca="1" si="462"/>
        <v>6.2929011260214676</v>
      </c>
      <c r="AH989" s="304">
        <f t="shared" ca="1" si="463"/>
        <v>-3.4895346510448753</v>
      </c>
    </row>
    <row r="990" spans="1:34" x14ac:dyDescent="0.2">
      <c r="A990" s="347">
        <f t="shared" ca="1" si="441"/>
        <v>1E-4</v>
      </c>
      <c r="B990" s="304">
        <f t="shared" ca="1" si="442"/>
        <v>12.068599999999815</v>
      </c>
      <c r="D990" s="306">
        <f t="shared" ca="1" si="443"/>
        <v>-0.26140757299662476</v>
      </c>
      <c r="E990" s="307">
        <f t="shared" ca="1" si="444"/>
        <v>-6.3301839617325495</v>
      </c>
      <c r="F990" s="304">
        <f t="shared" ca="1" si="445"/>
        <v>6.3355791296925634</v>
      </c>
      <c r="G990" s="306">
        <f t="shared" ca="1" si="446"/>
        <v>3.8992985303929109</v>
      </c>
      <c r="H990" s="307">
        <f t="shared" ca="1" si="447"/>
        <v>-51.907822904037459</v>
      </c>
      <c r="I990" s="304">
        <f t="shared" ca="1" si="448"/>
        <v>52.054073881551673</v>
      </c>
      <c r="J990" s="306">
        <f t="shared" ca="1" si="449"/>
        <v>56.288824373840264</v>
      </c>
      <c r="K990" s="307">
        <f t="shared" ca="1" si="450"/>
        <v>-3.5526215610555316</v>
      </c>
      <c r="L990" s="304">
        <f t="shared" ca="1" si="435"/>
        <v>56.400823303787959</v>
      </c>
      <c r="M990" s="306">
        <f t="shared" ca="1" si="451"/>
        <v>-1.4958174794596868</v>
      </c>
      <c r="N990" s="304">
        <f t="shared" ca="1" si="452"/>
        <v>-85.704028494936765</v>
      </c>
      <c r="P990" s="310">
        <f t="shared" ca="1" si="453"/>
        <v>23</v>
      </c>
      <c r="Q990" s="304">
        <f t="shared" ca="1" si="454"/>
        <v>0</v>
      </c>
      <c r="R990" s="306">
        <f t="shared" ca="1" si="455"/>
        <v>0</v>
      </c>
      <c r="S990" s="307">
        <f t="shared" ca="1" si="456"/>
        <v>2.0843000000000003</v>
      </c>
      <c r="T990" s="304">
        <f t="shared" ca="1" si="436"/>
        <v>20.446983000000003</v>
      </c>
      <c r="U990" s="311">
        <f t="shared" ca="1" si="437"/>
        <v>0</v>
      </c>
      <c r="V990" s="306">
        <f t="shared" ca="1" si="438"/>
        <v>1.2254352734593232</v>
      </c>
      <c r="W990" s="304">
        <f t="shared" ca="1" si="439"/>
        <v>7.273596343967661</v>
      </c>
      <c r="Y990" s="314" t="str">
        <f t="shared" ca="1" si="457"/>
        <v/>
      </c>
      <c r="Z990" s="315" t="str">
        <f t="shared" ca="1" si="458"/>
        <v/>
      </c>
      <c r="AA990" s="316" t="str">
        <f t="shared" ca="1" si="459"/>
        <v/>
      </c>
      <c r="AC990" s="310" t="e">
        <f t="shared" ca="1" si="460"/>
        <v>#N/A</v>
      </c>
      <c r="AD990" s="323" t="e">
        <f t="shared" ca="1" si="461"/>
        <v>#N/A</v>
      </c>
      <c r="AE990" s="324">
        <f t="shared" ca="1" si="440"/>
        <v>-3.5526215610555316</v>
      </c>
      <c r="AG990" s="306">
        <f t="shared" ca="1" si="462"/>
        <v>6.29281597849719</v>
      </c>
      <c r="AH990" s="304">
        <f t="shared" ca="1" si="463"/>
        <v>-3.4896208360512984</v>
      </c>
    </row>
    <row r="991" spans="1:34" x14ac:dyDescent="0.2">
      <c r="A991" s="347">
        <f t="shared" ca="1" si="441"/>
        <v>1E-4</v>
      </c>
      <c r="B991" s="304">
        <f t="shared" ca="1" si="442"/>
        <v>12.068699999999815</v>
      </c>
      <c r="D991" s="306">
        <f t="shared" ca="1" si="443"/>
        <v>-0.26140911640523573</v>
      </c>
      <c r="E991" s="307">
        <f t="shared" ca="1" si="444"/>
        <v>-6.330097649846631</v>
      </c>
      <c r="F991" s="304">
        <f t="shared" ca="1" si="445"/>
        <v>6.3354929549904488</v>
      </c>
      <c r="G991" s="306">
        <f t="shared" ca="1" si="446"/>
        <v>3.8992723894812702</v>
      </c>
      <c r="H991" s="307">
        <f t="shared" ca="1" si="447"/>
        <v>-51.908455913802442</v>
      </c>
      <c r="I991" s="304">
        <f t="shared" ca="1" si="448"/>
        <v>52.054703154686635</v>
      </c>
      <c r="J991" s="306">
        <f t="shared" ca="1" si="449"/>
        <v>56.288824373840264</v>
      </c>
      <c r="K991" s="307">
        <f t="shared" ca="1" si="450"/>
        <v>-3.5578123749964234</v>
      </c>
      <c r="L991" s="304">
        <f t="shared" ca="1" si="435"/>
        <v>56.401150504973842</v>
      </c>
      <c r="M991" s="306">
        <f t="shared" ca="1" si="451"/>
        <v>-1.4958188911544221</v>
      </c>
      <c r="N991" s="304">
        <f t="shared" ca="1" si="452"/>
        <v>-85.704109379087058</v>
      </c>
      <c r="P991" s="310">
        <f t="shared" ca="1" si="453"/>
        <v>23</v>
      </c>
      <c r="Q991" s="304">
        <f t="shared" ca="1" si="454"/>
        <v>0</v>
      </c>
      <c r="R991" s="306">
        <f t="shared" ca="1" si="455"/>
        <v>0</v>
      </c>
      <c r="S991" s="307">
        <f t="shared" ca="1" si="456"/>
        <v>2.0843000000000003</v>
      </c>
      <c r="T991" s="304">
        <f t="shared" ca="1" si="436"/>
        <v>20.446983000000003</v>
      </c>
      <c r="U991" s="311">
        <f t="shared" ca="1" si="437"/>
        <v>0</v>
      </c>
      <c r="V991" s="306">
        <f t="shared" ca="1" si="438"/>
        <v>1.2254359095601584</v>
      </c>
      <c r="W991" s="304">
        <f t="shared" ca="1" si="439"/>
        <v>7.2737759793305674</v>
      </c>
      <c r="Y991" s="314" t="str">
        <f t="shared" ca="1" si="457"/>
        <v/>
      </c>
      <c r="Z991" s="315" t="str">
        <f t="shared" ca="1" si="458"/>
        <v/>
      </c>
      <c r="AA991" s="316" t="str">
        <f t="shared" ca="1" si="459"/>
        <v/>
      </c>
      <c r="AC991" s="310" t="e">
        <f t="shared" ca="1" si="460"/>
        <v>#N/A</v>
      </c>
      <c r="AD991" s="323" t="e">
        <f t="shared" ca="1" si="461"/>
        <v>#N/A</v>
      </c>
      <c r="AE991" s="324">
        <f t="shared" ca="1" si="440"/>
        <v>-3.5578123749964234</v>
      </c>
      <c r="AG991" s="306">
        <f t="shared" ca="1" si="462"/>
        <v>6.2927308309323839</v>
      </c>
      <c r="AH991" s="304">
        <f t="shared" ca="1" si="463"/>
        <v>-3.4897070210467112</v>
      </c>
    </row>
    <row r="992" spans="1:34" x14ac:dyDescent="0.2">
      <c r="A992" s="347">
        <f t="shared" ca="1" si="441"/>
        <v>1E-4</v>
      </c>
      <c r="B992" s="304">
        <f t="shared" ca="1" si="442"/>
        <v>12.068799999999815</v>
      </c>
      <c r="D992" s="306">
        <f t="shared" ca="1" si="443"/>
        <v>-0.26141065972155397</v>
      </c>
      <c r="E992" s="307">
        <f t="shared" ca="1" si="444"/>
        <v>-6.3300113379718344</v>
      </c>
      <c r="F992" s="304">
        <f t="shared" ca="1" si="445"/>
        <v>6.3354067802997491</v>
      </c>
      <c r="G992" s="306">
        <f t="shared" ca="1" si="446"/>
        <v>3.8992462484152979</v>
      </c>
      <c r="H992" s="307">
        <f t="shared" ca="1" si="447"/>
        <v>-51.909088914936241</v>
      </c>
      <c r="I992" s="304">
        <f t="shared" ca="1" si="448"/>
        <v>52.055332419306836</v>
      </c>
      <c r="J992" s="306">
        <f t="shared" ca="1" si="449"/>
        <v>56.288824373840264</v>
      </c>
      <c r="K992" s="307">
        <f t="shared" ca="1" si="450"/>
        <v>-3.5630032522378605</v>
      </c>
      <c r="L992" s="304">
        <f t="shared" ca="1" si="435"/>
        <v>56.401478185988104</v>
      </c>
      <c r="M992" s="306">
        <f t="shared" ca="1" si="451"/>
        <v>-1.4958203028055632</v>
      </c>
      <c r="N992" s="304">
        <f t="shared" ca="1" si="452"/>
        <v>-85.70419026073958</v>
      </c>
      <c r="P992" s="310">
        <f t="shared" ca="1" si="453"/>
        <v>23</v>
      </c>
      <c r="Q992" s="304">
        <f t="shared" ca="1" si="454"/>
        <v>0</v>
      </c>
      <c r="R992" s="306">
        <f t="shared" ca="1" si="455"/>
        <v>0</v>
      </c>
      <c r="S992" s="307">
        <f t="shared" ca="1" si="456"/>
        <v>2.0843000000000003</v>
      </c>
      <c r="T992" s="304">
        <f t="shared" ca="1" si="436"/>
        <v>20.446983000000003</v>
      </c>
      <c r="U992" s="311">
        <f t="shared" ca="1" si="437"/>
        <v>0</v>
      </c>
      <c r="V992" s="306">
        <f t="shared" ca="1" si="438"/>
        <v>1.2254365456690812</v>
      </c>
      <c r="W992" s="304">
        <f t="shared" ca="1" si="439"/>
        <v>7.2739556146703581</v>
      </c>
      <c r="Y992" s="314" t="str">
        <f t="shared" ca="1" si="457"/>
        <v/>
      </c>
      <c r="Z992" s="315" t="str">
        <f t="shared" ca="1" si="458"/>
        <v/>
      </c>
      <c r="AA992" s="316" t="str">
        <f t="shared" ca="1" si="459"/>
        <v/>
      </c>
      <c r="AC992" s="310" t="e">
        <f t="shared" ca="1" si="460"/>
        <v>#N/A</v>
      </c>
      <c r="AD992" s="323" t="e">
        <f t="shared" ca="1" si="461"/>
        <v>#N/A</v>
      </c>
      <c r="AE992" s="324">
        <f t="shared" ca="1" si="440"/>
        <v>-3.5630032522378605</v>
      </c>
      <c r="AG992" s="306">
        <f t="shared" ca="1" si="462"/>
        <v>6.2926456833270965</v>
      </c>
      <c r="AH992" s="304">
        <f t="shared" ca="1" si="463"/>
        <v>-3.4897932060310737</v>
      </c>
    </row>
    <row r="993" spans="1:34" x14ac:dyDescent="0.2">
      <c r="A993" s="347">
        <f t="shared" ca="1" si="441"/>
        <v>1E-4</v>
      </c>
      <c r="B993" s="304">
        <f t="shared" ca="1" si="442"/>
        <v>12.068899999999815</v>
      </c>
      <c r="D993" s="306">
        <f t="shared" ca="1" si="443"/>
        <v>-0.2614122029455816</v>
      </c>
      <c r="E993" s="307">
        <f t="shared" ca="1" si="444"/>
        <v>-6.329925026108203</v>
      </c>
      <c r="F993" s="304">
        <f t="shared" ca="1" si="445"/>
        <v>6.3353206056205078</v>
      </c>
      <c r="G993" s="306">
        <f t="shared" ca="1" si="446"/>
        <v>3.8992201071950032</v>
      </c>
      <c r="H993" s="307">
        <f t="shared" ca="1" si="447"/>
        <v>-51.909721907438851</v>
      </c>
      <c r="I993" s="304">
        <f t="shared" ca="1" si="448"/>
        <v>52.05596167541227</v>
      </c>
      <c r="J993" s="306">
        <f t="shared" ca="1" si="449"/>
        <v>56.288824373840264</v>
      </c>
      <c r="K993" s="307">
        <f t="shared" ca="1" si="450"/>
        <v>-3.5681941927789791</v>
      </c>
      <c r="L993" s="304">
        <f t="shared" ca="1" si="435"/>
        <v>56.401806346839777</v>
      </c>
      <c r="M993" s="306">
        <f t="shared" ca="1" si="451"/>
        <v>-1.4958217144131121</v>
      </c>
      <c r="N993" s="304">
        <f t="shared" ca="1" si="452"/>
        <v>-85.704271139894459</v>
      </c>
      <c r="P993" s="310">
        <f t="shared" ca="1" si="453"/>
        <v>23</v>
      </c>
      <c r="Q993" s="304">
        <f t="shared" ca="1" si="454"/>
        <v>0</v>
      </c>
      <c r="R993" s="306">
        <f t="shared" ca="1" si="455"/>
        <v>0</v>
      </c>
      <c r="S993" s="307">
        <f t="shared" ca="1" si="456"/>
        <v>2.0843000000000003</v>
      </c>
      <c r="T993" s="304">
        <f t="shared" ca="1" si="436"/>
        <v>20.446983000000003</v>
      </c>
      <c r="U993" s="311">
        <f t="shared" ca="1" si="437"/>
        <v>0</v>
      </c>
      <c r="V993" s="306">
        <f t="shared" ca="1" si="438"/>
        <v>1.2254371817860912</v>
      </c>
      <c r="W993" s="304">
        <f t="shared" ca="1" si="439"/>
        <v>7.2741352499869452</v>
      </c>
      <c r="Y993" s="314" t="str">
        <f t="shared" ca="1" si="457"/>
        <v/>
      </c>
      <c r="Z993" s="315" t="str">
        <f t="shared" ca="1" si="458"/>
        <v/>
      </c>
      <c r="AA993" s="316" t="str">
        <f t="shared" ca="1" si="459"/>
        <v/>
      </c>
      <c r="AC993" s="310" t="e">
        <f t="shared" ca="1" si="460"/>
        <v>#N/A</v>
      </c>
      <c r="AD993" s="323" t="e">
        <f t="shared" ca="1" si="461"/>
        <v>#N/A</v>
      </c>
      <c r="AE993" s="324">
        <f t="shared" ca="1" si="440"/>
        <v>-3.5681941927789791</v>
      </c>
      <c r="AG993" s="306">
        <f t="shared" ca="1" si="462"/>
        <v>6.2925605356813694</v>
      </c>
      <c r="AH993" s="304">
        <f t="shared" ca="1" si="463"/>
        <v>-3.4898793910043455</v>
      </c>
    </row>
    <row r="994" spans="1:34" x14ac:dyDescent="0.2">
      <c r="A994" s="347">
        <f t="shared" ca="1" si="441"/>
        <v>1E-4</v>
      </c>
      <c r="B994" s="304">
        <f t="shared" ca="1" si="442"/>
        <v>12.068999999999814</v>
      </c>
      <c r="D994" s="306">
        <f t="shared" ca="1" si="443"/>
        <v>-0.26141374607731982</v>
      </c>
      <c r="E994" s="307">
        <f t="shared" ca="1" si="444"/>
        <v>-6.329838714255775</v>
      </c>
      <c r="F994" s="304">
        <f t="shared" ca="1" si="445"/>
        <v>6.335234430952764</v>
      </c>
      <c r="G994" s="306">
        <f t="shared" ca="1" si="446"/>
        <v>3.8991939658203956</v>
      </c>
      <c r="H994" s="307">
        <f t="shared" ca="1" si="447"/>
        <v>-51.910354891310277</v>
      </c>
      <c r="I994" s="304">
        <f t="shared" ca="1" si="448"/>
        <v>52.056590923002929</v>
      </c>
      <c r="J994" s="306">
        <f t="shared" ca="1" si="449"/>
        <v>56.288824373840264</v>
      </c>
      <c r="K994" s="307">
        <f t="shared" ca="1" si="450"/>
        <v>-3.5733851966189167</v>
      </c>
      <c r="L994" s="304">
        <f t="shared" ca="1" si="435"/>
        <v>56.40213498753792</v>
      </c>
      <c r="M994" s="306">
        <f t="shared" ca="1" si="451"/>
        <v>-1.4958231259770711</v>
      </c>
      <c r="N994" s="304">
        <f t="shared" ca="1" si="452"/>
        <v>-85.704352016551823</v>
      </c>
      <c r="P994" s="310">
        <f t="shared" ca="1" si="453"/>
        <v>23</v>
      </c>
      <c r="Q994" s="304">
        <f t="shared" ca="1" si="454"/>
        <v>0</v>
      </c>
      <c r="R994" s="306">
        <f t="shared" ca="1" si="455"/>
        <v>0</v>
      </c>
      <c r="S994" s="307">
        <f t="shared" ca="1" si="456"/>
        <v>2.0843000000000003</v>
      </c>
      <c r="T994" s="304">
        <f t="shared" ca="1" si="436"/>
        <v>20.446983000000003</v>
      </c>
      <c r="U994" s="311">
        <f t="shared" ca="1" si="437"/>
        <v>0</v>
      </c>
      <c r="V994" s="306">
        <f t="shared" ca="1" si="438"/>
        <v>1.2254378179111878</v>
      </c>
      <c r="W994" s="304">
        <f t="shared" ca="1" si="439"/>
        <v>7.2743148852802406</v>
      </c>
      <c r="Y994" s="314" t="str">
        <f t="shared" ca="1" si="457"/>
        <v/>
      </c>
      <c r="Z994" s="315" t="str">
        <f t="shared" ca="1" si="458"/>
        <v/>
      </c>
      <c r="AA994" s="316" t="str">
        <f t="shared" ca="1" si="459"/>
        <v/>
      </c>
      <c r="AC994" s="310" t="e">
        <f t="shared" ca="1" si="460"/>
        <v>#N/A</v>
      </c>
      <c r="AD994" s="323" t="e">
        <f t="shared" ca="1" si="461"/>
        <v>#N/A</v>
      </c>
      <c r="AE994" s="324">
        <f t="shared" ca="1" si="440"/>
        <v>-3.5733851966189167</v>
      </c>
      <c r="AG994" s="306">
        <f t="shared" ca="1" si="462"/>
        <v>6.2924753879952497</v>
      </c>
      <c r="AH994" s="304">
        <f t="shared" ca="1" si="463"/>
        <v>-3.4899655759664849</v>
      </c>
    </row>
    <row r="995" spans="1:34" x14ac:dyDescent="0.2">
      <c r="A995" s="347">
        <f t="shared" ca="1" si="441"/>
        <v>1E-4</v>
      </c>
      <c r="B995" s="304">
        <f t="shared" ca="1" si="442"/>
        <v>12.069099999999814</v>
      </c>
      <c r="D995" s="306">
        <f t="shared" ca="1" si="443"/>
        <v>-0.26141528911676826</v>
      </c>
      <c r="E995" s="307">
        <f t="shared" ca="1" si="444"/>
        <v>-6.329752402414595</v>
      </c>
      <c r="F995" s="304">
        <f t="shared" ca="1" si="445"/>
        <v>6.3351482562965593</v>
      </c>
      <c r="G995" s="306">
        <f t="shared" ca="1" si="446"/>
        <v>3.8991678242914838</v>
      </c>
      <c r="H995" s="307">
        <f t="shared" ca="1" si="447"/>
        <v>-51.910987866550521</v>
      </c>
      <c r="I995" s="304">
        <f t="shared" ca="1" si="448"/>
        <v>52.057220162078821</v>
      </c>
      <c r="J995" s="306">
        <f t="shared" ca="1" si="449"/>
        <v>56.288824373840264</v>
      </c>
      <c r="K995" s="307">
        <f t="shared" ca="1" si="450"/>
        <v>-3.5785762637568097</v>
      </c>
      <c r="L995" s="304">
        <f t="shared" ca="1" si="435"/>
        <v>56.402464108091564</v>
      </c>
      <c r="M995" s="306">
        <f t="shared" ca="1" si="451"/>
        <v>-1.4958245374974419</v>
      </c>
      <c r="N995" s="304">
        <f t="shared" ca="1" si="452"/>
        <v>-85.704432890711772</v>
      </c>
      <c r="P995" s="310">
        <f t="shared" ca="1" si="453"/>
        <v>23</v>
      </c>
      <c r="Q995" s="304">
        <f t="shared" ca="1" si="454"/>
        <v>0</v>
      </c>
      <c r="R995" s="306">
        <f t="shared" ca="1" si="455"/>
        <v>0</v>
      </c>
      <c r="S995" s="307">
        <f t="shared" ca="1" si="456"/>
        <v>2.0843000000000003</v>
      </c>
      <c r="T995" s="304">
        <f t="shared" ca="1" si="436"/>
        <v>20.446983000000003</v>
      </c>
      <c r="U995" s="311">
        <f t="shared" ca="1" si="437"/>
        <v>0</v>
      </c>
      <c r="V995" s="306">
        <f t="shared" ca="1" si="438"/>
        <v>1.2254384540443721</v>
      </c>
      <c r="W995" s="304">
        <f t="shared" ca="1" si="439"/>
        <v>7.2744945205501681</v>
      </c>
      <c r="Y995" s="314" t="str">
        <f t="shared" ca="1" si="457"/>
        <v/>
      </c>
      <c r="Z995" s="315" t="str">
        <f t="shared" ca="1" si="458"/>
        <v/>
      </c>
      <c r="AA995" s="316" t="str">
        <f t="shared" ca="1" si="459"/>
        <v/>
      </c>
      <c r="AC995" s="310" t="e">
        <f t="shared" ca="1" si="460"/>
        <v>#N/A</v>
      </c>
      <c r="AD995" s="323" t="e">
        <f t="shared" ca="1" si="461"/>
        <v>#N/A</v>
      </c>
      <c r="AE995" s="324">
        <f t="shared" ca="1" si="440"/>
        <v>-3.5785762637568097</v>
      </c>
      <c r="AG995" s="306">
        <f t="shared" ca="1" si="462"/>
        <v>6.2923902402687819</v>
      </c>
      <c r="AH995" s="304">
        <f t="shared" ca="1" si="463"/>
        <v>-3.4900517609174493</v>
      </c>
    </row>
    <row r="996" spans="1:34" x14ac:dyDescent="0.2">
      <c r="A996" s="347">
        <f t="shared" ca="1" si="441"/>
        <v>1E-4</v>
      </c>
      <c r="B996" s="304">
        <f t="shared" ca="1" si="442"/>
        <v>12.069199999999814</v>
      </c>
      <c r="D996" s="306">
        <f t="shared" ca="1" si="443"/>
        <v>-0.26141683206393007</v>
      </c>
      <c r="E996" s="307">
        <f t="shared" ca="1" si="444"/>
        <v>-6.3296660905846993</v>
      </c>
      <c r="F996" s="304">
        <f t="shared" ca="1" si="445"/>
        <v>6.3350620816519339</v>
      </c>
      <c r="G996" s="306">
        <f t="shared" ca="1" si="446"/>
        <v>3.8991416826082772</v>
      </c>
      <c r="H996" s="307">
        <f t="shared" ca="1" si="447"/>
        <v>-51.911620833159581</v>
      </c>
      <c r="I996" s="304">
        <f t="shared" ca="1" si="448"/>
        <v>52.05784939263993</v>
      </c>
      <c r="J996" s="306">
        <f t="shared" ca="1" si="449"/>
        <v>56.288824373840264</v>
      </c>
      <c r="K996" s="307">
        <f t="shared" ca="1" si="450"/>
        <v>-3.5837673941917951</v>
      </c>
      <c r="L996" s="304">
        <f t="shared" ca="1" si="435"/>
        <v>56.402793708509741</v>
      </c>
      <c r="M996" s="306">
        <f t="shared" ca="1" si="451"/>
        <v>-1.4958259489742272</v>
      </c>
      <c r="N996" s="304">
        <f t="shared" ca="1" si="452"/>
        <v>-85.704513762374447</v>
      </c>
      <c r="P996" s="310">
        <f t="shared" ca="1" si="453"/>
        <v>23</v>
      </c>
      <c r="Q996" s="304">
        <f t="shared" ca="1" si="454"/>
        <v>0</v>
      </c>
      <c r="R996" s="306">
        <f t="shared" ca="1" si="455"/>
        <v>0</v>
      </c>
      <c r="S996" s="307">
        <f t="shared" ca="1" si="456"/>
        <v>2.0843000000000003</v>
      </c>
      <c r="T996" s="304">
        <f t="shared" ca="1" si="436"/>
        <v>20.446983000000003</v>
      </c>
      <c r="U996" s="311">
        <f t="shared" ca="1" si="437"/>
        <v>0</v>
      </c>
      <c r="V996" s="306">
        <f t="shared" ca="1" si="438"/>
        <v>1.2254390901856433</v>
      </c>
      <c r="W996" s="304">
        <f t="shared" ca="1" si="439"/>
        <v>7.2746741557966379</v>
      </c>
      <c r="Y996" s="314" t="str">
        <f t="shared" ca="1" si="457"/>
        <v/>
      </c>
      <c r="Z996" s="315" t="str">
        <f t="shared" ca="1" si="458"/>
        <v/>
      </c>
      <c r="AA996" s="316" t="str">
        <f t="shared" ca="1" si="459"/>
        <v/>
      </c>
      <c r="AC996" s="310" t="e">
        <f t="shared" ca="1" si="460"/>
        <v>#N/A</v>
      </c>
      <c r="AD996" s="323" t="e">
        <f t="shared" ca="1" si="461"/>
        <v>#N/A</v>
      </c>
      <c r="AE996" s="324">
        <f t="shared" ca="1" si="440"/>
        <v>-3.5837673941917951</v>
      </c>
      <c r="AG996" s="306">
        <f t="shared" ca="1" si="462"/>
        <v>6.2923050925020085</v>
      </c>
      <c r="AH996" s="304">
        <f t="shared" ca="1" si="463"/>
        <v>-3.4901379458572026</v>
      </c>
    </row>
    <row r="997" spans="1:34" x14ac:dyDescent="0.2">
      <c r="A997" s="347">
        <f t="shared" ca="1" si="441"/>
        <v>1E-4</v>
      </c>
      <c r="B997" s="304">
        <f t="shared" ca="1" si="442"/>
        <v>12.069299999999814</v>
      </c>
      <c r="D997" s="306">
        <f t="shared" ca="1" si="443"/>
        <v>-0.2614183749188041</v>
      </c>
      <c r="E997" s="307">
        <f t="shared" ca="1" si="444"/>
        <v>-6.3295797787661314</v>
      </c>
      <c r="F997" s="304">
        <f t="shared" ca="1" si="445"/>
        <v>6.3349759070189284</v>
      </c>
      <c r="G997" s="306">
        <f t="shared" ca="1" si="446"/>
        <v>3.8991155407707851</v>
      </c>
      <c r="H997" s="307">
        <f t="shared" ca="1" si="447"/>
        <v>-51.912253791137459</v>
      </c>
      <c r="I997" s="304">
        <f t="shared" ca="1" si="448"/>
        <v>52.058478614686251</v>
      </c>
      <c r="J997" s="306">
        <f t="shared" ca="1" si="449"/>
        <v>56.288824373840264</v>
      </c>
      <c r="K997" s="307">
        <f t="shared" ca="1" si="450"/>
        <v>-3.5889585879230101</v>
      </c>
      <c r="L997" s="304">
        <f t="shared" ca="1" si="435"/>
        <v>56.403123788801452</v>
      </c>
      <c r="M997" s="306">
        <f t="shared" ca="1" si="451"/>
        <v>-1.4958273604074288</v>
      </c>
      <c r="N997" s="304">
        <f t="shared" ca="1" si="452"/>
        <v>-85.704594631539962</v>
      </c>
      <c r="P997" s="310">
        <f t="shared" ca="1" si="453"/>
        <v>23</v>
      </c>
      <c r="Q997" s="304">
        <f t="shared" ca="1" si="454"/>
        <v>0</v>
      </c>
      <c r="R997" s="306">
        <f t="shared" ca="1" si="455"/>
        <v>0</v>
      </c>
      <c r="S997" s="307">
        <f t="shared" ca="1" si="456"/>
        <v>2.0843000000000003</v>
      </c>
      <c r="T997" s="304">
        <f t="shared" ca="1" si="436"/>
        <v>20.446983000000003</v>
      </c>
      <c r="U997" s="311">
        <f t="shared" ca="1" si="437"/>
        <v>0</v>
      </c>
      <c r="V997" s="306">
        <f t="shared" ca="1" si="438"/>
        <v>1.225439726335001</v>
      </c>
      <c r="W997" s="304">
        <f t="shared" ca="1" si="439"/>
        <v>7.2748537910195603</v>
      </c>
      <c r="Y997" s="314" t="str">
        <f t="shared" ca="1" si="457"/>
        <v/>
      </c>
      <c r="Z997" s="315" t="str">
        <f t="shared" ca="1" si="458"/>
        <v/>
      </c>
      <c r="AA997" s="316" t="str">
        <f t="shared" ca="1" si="459"/>
        <v/>
      </c>
      <c r="AC997" s="310" t="e">
        <f t="shared" ca="1" si="460"/>
        <v>#N/A</v>
      </c>
      <c r="AD997" s="323" t="e">
        <f t="shared" ca="1" si="461"/>
        <v>#N/A</v>
      </c>
      <c r="AE997" s="324">
        <f t="shared" ca="1" si="440"/>
        <v>-3.5889585879230101</v>
      </c>
      <c r="AG997" s="306">
        <f t="shared" ca="1" si="462"/>
        <v>6.2922199446949687</v>
      </c>
      <c r="AH997" s="304">
        <f t="shared" ca="1" si="463"/>
        <v>-3.4902241307857014</v>
      </c>
    </row>
    <row r="998" spans="1:34" x14ac:dyDescent="0.2">
      <c r="A998" s="347">
        <f t="shared" ca="1" si="441"/>
        <v>1E-4</v>
      </c>
      <c r="B998" s="304">
        <f t="shared" ca="1" si="442"/>
        <v>12.069399999999813</v>
      </c>
      <c r="D998" s="306">
        <f t="shared" ca="1" si="443"/>
        <v>-0.26141991768139139</v>
      </c>
      <c r="E998" s="307">
        <f t="shared" ca="1" si="444"/>
        <v>-6.3294934669589331</v>
      </c>
      <c r="F998" s="304">
        <f t="shared" ca="1" si="445"/>
        <v>6.3348897323975857</v>
      </c>
      <c r="G998" s="306">
        <f t="shared" ca="1" si="446"/>
        <v>3.8990893987790169</v>
      </c>
      <c r="H998" s="307">
        <f t="shared" ca="1" si="447"/>
        <v>-51.912886740484154</v>
      </c>
      <c r="I998" s="304">
        <f t="shared" ca="1" si="448"/>
        <v>52.05910782821779</v>
      </c>
      <c r="J998" s="306">
        <f t="shared" ca="1" si="449"/>
        <v>56.288824373840264</v>
      </c>
      <c r="K998" s="307">
        <f t="shared" ca="1" si="450"/>
        <v>-3.5941498449495914</v>
      </c>
      <c r="L998" s="304">
        <f t="shared" ca="1" si="435"/>
        <v>56.403454348975693</v>
      </c>
      <c r="M998" s="306">
        <f t="shared" ca="1" si="451"/>
        <v>-1.4958287717970487</v>
      </c>
      <c r="N998" s="304">
        <f t="shared" ca="1" si="452"/>
        <v>-85.704675498208431</v>
      </c>
      <c r="P998" s="310">
        <f t="shared" ca="1" si="453"/>
        <v>23</v>
      </c>
      <c r="Q998" s="304">
        <f t="shared" ca="1" si="454"/>
        <v>0</v>
      </c>
      <c r="R998" s="306">
        <f t="shared" ca="1" si="455"/>
        <v>0</v>
      </c>
      <c r="S998" s="307">
        <f t="shared" ca="1" si="456"/>
        <v>2.0843000000000003</v>
      </c>
      <c r="T998" s="304">
        <f t="shared" ca="1" si="436"/>
        <v>20.446983000000003</v>
      </c>
      <c r="U998" s="311">
        <f t="shared" ca="1" si="437"/>
        <v>0</v>
      </c>
      <c r="V998" s="306">
        <f t="shared" ca="1" si="438"/>
        <v>1.2254403624924457</v>
      </c>
      <c r="W998" s="304">
        <f t="shared" ca="1" si="439"/>
        <v>7.2750334262188598</v>
      </c>
      <c r="Y998" s="314" t="str">
        <f t="shared" ca="1" si="457"/>
        <v/>
      </c>
      <c r="Z998" s="315" t="str">
        <f t="shared" ca="1" si="458"/>
        <v/>
      </c>
      <c r="AA998" s="316" t="str">
        <f t="shared" ca="1" si="459"/>
        <v/>
      </c>
      <c r="AC998" s="310" t="e">
        <f t="shared" ca="1" si="460"/>
        <v>#N/A</v>
      </c>
      <c r="AD998" s="323" t="e">
        <f t="shared" ca="1" si="461"/>
        <v>#N/A</v>
      </c>
      <c r="AE998" s="324">
        <f t="shared" ca="1" si="440"/>
        <v>-3.5941498449495914</v>
      </c>
      <c r="AG998" s="306">
        <f t="shared" ca="1" si="462"/>
        <v>6.2921347968477157</v>
      </c>
      <c r="AH998" s="304">
        <f t="shared" ca="1" si="463"/>
        <v>-3.4903103157029025</v>
      </c>
    </row>
    <row r="999" spans="1:34" x14ac:dyDescent="0.2">
      <c r="A999" s="347">
        <f t="shared" ca="1" si="441"/>
        <v>1E-4</v>
      </c>
      <c r="B999" s="304">
        <f t="shared" ca="1" si="442"/>
        <v>12.069499999999813</v>
      </c>
      <c r="D999" s="306">
        <f t="shared" ca="1" si="443"/>
        <v>-0.26142146035169445</v>
      </c>
      <c r="E999" s="307">
        <f t="shared" ca="1" si="444"/>
        <v>-6.3294071551631426</v>
      </c>
      <c r="F999" s="304">
        <f t="shared" ca="1" si="445"/>
        <v>6.3348035577879438</v>
      </c>
      <c r="G999" s="306">
        <f t="shared" ca="1" si="446"/>
        <v>3.8990632566329819</v>
      </c>
      <c r="H999" s="307">
        <f t="shared" ca="1" si="447"/>
        <v>-51.913519681199674</v>
      </c>
      <c r="I999" s="304">
        <f t="shared" ca="1" si="448"/>
        <v>52.059737033234533</v>
      </c>
      <c r="J999" s="306">
        <f t="shared" ca="1" si="449"/>
        <v>56.288824373840264</v>
      </c>
      <c r="K999" s="307">
        <f t="shared" ca="1" si="450"/>
        <v>-3.5993411652706757</v>
      </c>
      <c r="L999" s="304">
        <f t="shared" ca="1" si="435"/>
        <v>56.403785389041452</v>
      </c>
      <c r="M999" s="306">
        <f t="shared" ca="1" si="451"/>
        <v>-1.4958301831430889</v>
      </c>
      <c r="N999" s="304">
        <f t="shared" ca="1" si="452"/>
        <v>-85.704756362379968</v>
      </c>
      <c r="P999" s="310">
        <f t="shared" ca="1" si="453"/>
        <v>23</v>
      </c>
      <c r="Q999" s="304">
        <f t="shared" ca="1" si="454"/>
        <v>0</v>
      </c>
      <c r="R999" s="306">
        <f t="shared" ca="1" si="455"/>
        <v>0</v>
      </c>
      <c r="S999" s="307">
        <f t="shared" ca="1" si="456"/>
        <v>2.0843000000000003</v>
      </c>
      <c r="T999" s="304">
        <f t="shared" ca="1" si="436"/>
        <v>20.446983000000003</v>
      </c>
      <c r="U999" s="311">
        <f t="shared" ca="1" si="437"/>
        <v>0</v>
      </c>
      <c r="V999" s="306">
        <f t="shared" ca="1" si="438"/>
        <v>1.2254409986579768</v>
      </c>
      <c r="W999" s="304">
        <f t="shared" ca="1" si="439"/>
        <v>7.2752130613944432</v>
      </c>
      <c r="Y999" s="314" t="str">
        <f t="shared" ca="1" si="457"/>
        <v/>
      </c>
      <c r="Z999" s="315" t="str">
        <f t="shared" ca="1" si="458"/>
        <v/>
      </c>
      <c r="AA999" s="316" t="str">
        <f t="shared" ca="1" si="459"/>
        <v/>
      </c>
      <c r="AC999" s="310" t="e">
        <f t="shared" ca="1" si="460"/>
        <v>#N/A</v>
      </c>
      <c r="AD999" s="323" t="e">
        <f t="shared" ca="1" si="461"/>
        <v>#N/A</v>
      </c>
      <c r="AE999" s="324">
        <f t="shared" ca="1" si="440"/>
        <v>-3.5993411652706757</v>
      </c>
      <c r="AG999" s="306">
        <f t="shared" ca="1" si="462"/>
        <v>6.2920496489602904</v>
      </c>
      <c r="AH999" s="304">
        <f t="shared" ca="1" si="463"/>
        <v>-3.4903965006087696</v>
      </c>
    </row>
    <row r="1000" spans="1:34" x14ac:dyDescent="0.2">
      <c r="A1000" s="347">
        <f t="shared" ca="1" si="441"/>
        <v>1E-4</v>
      </c>
      <c r="B1000" s="304">
        <f t="shared" ca="1" si="442"/>
        <v>12.069599999999813</v>
      </c>
      <c r="D1000" s="306">
        <f t="shared" ca="1" si="443"/>
        <v>-0.26142300292971338</v>
      </c>
      <c r="E1000" s="307">
        <f t="shared" ca="1" si="444"/>
        <v>-6.3293208433788024</v>
      </c>
      <c r="F1000" s="304">
        <f t="shared" ca="1" si="445"/>
        <v>6.3347173831900454</v>
      </c>
      <c r="G1000" s="306">
        <f t="shared" ca="1" si="446"/>
        <v>3.899037114332689</v>
      </c>
      <c r="H1000" s="307">
        <f t="shared" ca="1" si="447"/>
        <v>-51.91415261328401</v>
      </c>
      <c r="I1000" s="304">
        <f t="shared" ca="1" si="448"/>
        <v>52.060366229736481</v>
      </c>
      <c r="J1000" s="306">
        <f t="shared" ca="1" si="449"/>
        <v>56.288824373840264</v>
      </c>
      <c r="K1000" s="307">
        <f t="shared" ca="1" si="450"/>
        <v>-3.6045325488854001</v>
      </c>
      <c r="L1000" s="304">
        <f t="shared" ca="1" si="435"/>
        <v>56.404116909007698</v>
      </c>
      <c r="M1000" s="306">
        <f t="shared" ca="1" si="451"/>
        <v>-1.495831594445552</v>
      </c>
      <c r="N1000" s="304">
        <f t="shared" ca="1" si="452"/>
        <v>-85.704837224054728</v>
      </c>
      <c r="P1000" s="310">
        <f t="shared" ca="1" si="453"/>
        <v>23</v>
      </c>
      <c r="Q1000" s="304">
        <f t="shared" ca="1" si="454"/>
        <v>0</v>
      </c>
      <c r="R1000" s="306">
        <f t="shared" ca="1" si="455"/>
        <v>0</v>
      </c>
      <c r="S1000" s="307">
        <f t="shared" ca="1" si="456"/>
        <v>2.0843000000000003</v>
      </c>
      <c r="T1000" s="304">
        <f t="shared" ca="1" si="436"/>
        <v>20.446983000000003</v>
      </c>
      <c r="U1000" s="311">
        <f t="shared" ca="1" si="437"/>
        <v>0</v>
      </c>
      <c r="V1000" s="306">
        <f t="shared" ca="1" si="438"/>
        <v>1.2254416348315949</v>
      </c>
      <c r="W1000" s="304">
        <f t="shared" ca="1" si="439"/>
        <v>7.2753926965462306</v>
      </c>
      <c r="Y1000" s="314" t="str">
        <f t="shared" ca="1" si="457"/>
        <v/>
      </c>
      <c r="Z1000" s="315" t="str">
        <f t="shared" ca="1" si="458"/>
        <v/>
      </c>
      <c r="AA1000" s="316" t="str">
        <f t="shared" ca="1" si="459"/>
        <v/>
      </c>
      <c r="AC1000" s="310" t="e">
        <f t="shared" ca="1" si="460"/>
        <v>#N/A</v>
      </c>
      <c r="AD1000" s="323" t="e">
        <f t="shared" ca="1" si="461"/>
        <v>#N/A</v>
      </c>
      <c r="AE1000" s="324">
        <f t="shared" ca="1" si="440"/>
        <v>-3.6045325488854001</v>
      </c>
      <c r="AG1000" s="306">
        <f t="shared" ca="1" si="462"/>
        <v>6.2919645010327345</v>
      </c>
      <c r="AH1000" s="304">
        <f t="shared" ca="1" si="463"/>
        <v>-3.4904826855032587</v>
      </c>
    </row>
    <row r="1001" spans="1:34" x14ac:dyDescent="0.2">
      <c r="A1001" s="347">
        <f t="shared" ca="1" si="441"/>
        <v>1E-4</v>
      </c>
      <c r="B1001" s="304">
        <f t="shared" ca="1" si="442"/>
        <v>12.069699999999813</v>
      </c>
      <c r="D1001" s="306">
        <f t="shared" ca="1" si="443"/>
        <v>-0.26142454541544824</v>
      </c>
      <c r="E1001" s="307">
        <f t="shared" ca="1" si="444"/>
        <v>-6.3292345316059535</v>
      </c>
      <c r="F1001" s="304">
        <f t="shared" ca="1" si="445"/>
        <v>6.3346312086039314</v>
      </c>
      <c r="G1001" s="306">
        <f t="shared" ca="1" si="446"/>
        <v>3.8990109718781474</v>
      </c>
      <c r="H1001" s="307">
        <f t="shared" ca="1" si="447"/>
        <v>-51.91478553673717</v>
      </c>
      <c r="I1001" s="304">
        <f t="shared" ca="1" si="448"/>
        <v>52.060995417723632</v>
      </c>
      <c r="J1001" s="306">
        <f t="shared" ca="1" si="449"/>
        <v>56.288824373840264</v>
      </c>
      <c r="K1001" s="307">
        <f t="shared" ca="1" si="450"/>
        <v>-3.6097239957929013</v>
      </c>
      <c r="L1001" s="304">
        <f t="shared" ca="1" si="435"/>
        <v>56.404448908883388</v>
      </c>
      <c r="M1001" s="306">
        <f t="shared" ca="1" si="451"/>
        <v>-1.4958330057044396</v>
      </c>
      <c r="N1001" s="304">
        <f t="shared" ca="1" si="452"/>
        <v>-85.704918083232783</v>
      </c>
      <c r="P1001" s="310">
        <f t="shared" ca="1" si="453"/>
        <v>23</v>
      </c>
      <c r="Q1001" s="304">
        <f t="shared" ca="1" si="454"/>
        <v>0</v>
      </c>
      <c r="R1001" s="306">
        <f t="shared" ca="1" si="455"/>
        <v>0</v>
      </c>
      <c r="S1001" s="307">
        <f t="shared" ca="1" si="456"/>
        <v>2.0843000000000003</v>
      </c>
      <c r="T1001" s="304">
        <f t="shared" ca="1" si="436"/>
        <v>20.446983000000003</v>
      </c>
      <c r="U1001" s="311">
        <f t="shared" ca="1" si="437"/>
        <v>0</v>
      </c>
      <c r="V1001" s="306">
        <f t="shared" ca="1" si="438"/>
        <v>1.2254422710132993</v>
      </c>
      <c r="W1001" s="304">
        <f t="shared" ca="1" si="439"/>
        <v>7.2755723316741374</v>
      </c>
      <c r="Y1001" s="314" t="str">
        <f t="shared" ca="1" si="457"/>
        <v/>
      </c>
      <c r="Z1001" s="315" t="str">
        <f t="shared" ca="1" si="458"/>
        <v/>
      </c>
      <c r="AA1001" s="316" t="str">
        <f t="shared" ca="1" si="459"/>
        <v/>
      </c>
      <c r="AC1001" s="310" t="e">
        <f t="shared" ca="1" si="460"/>
        <v>#N/A</v>
      </c>
      <c r="AD1001" s="323" t="e">
        <f t="shared" ca="1" si="461"/>
        <v>#N/A</v>
      </c>
      <c r="AE1001" s="324">
        <f t="shared" ca="1" si="440"/>
        <v>-3.6097239957929013</v>
      </c>
      <c r="AG1001" s="306">
        <f t="shared" ca="1" si="462"/>
        <v>6.2918793530650934</v>
      </c>
      <c r="AH1001" s="304">
        <f t="shared" ca="1" si="463"/>
        <v>-3.4905688703863311</v>
      </c>
    </row>
    <row r="1002" spans="1:34" x14ac:dyDescent="0.2">
      <c r="A1002" s="347">
        <f t="shared" ca="1" si="441"/>
        <v>1E-4</v>
      </c>
      <c r="B1002" s="304">
        <f t="shared" ca="1" si="442"/>
        <v>12.069799999999812</v>
      </c>
      <c r="D1002" s="306">
        <f t="shared" ca="1" si="443"/>
        <v>-0.26142608780890181</v>
      </c>
      <c r="E1002" s="307">
        <f t="shared" ca="1" si="444"/>
        <v>-6.329148219844634</v>
      </c>
      <c r="F1002" s="304">
        <f t="shared" ca="1" si="445"/>
        <v>6.3345450340296399</v>
      </c>
      <c r="G1002" s="306">
        <f t="shared" ca="1" si="446"/>
        <v>3.8989848292693665</v>
      </c>
      <c r="H1002" s="307">
        <f t="shared" ca="1" si="447"/>
        <v>-51.915418451559155</v>
      </c>
      <c r="I1002" s="304">
        <f t="shared" ca="1" si="448"/>
        <v>52.06162459719598</v>
      </c>
      <c r="J1002" s="306">
        <f t="shared" ca="1" si="449"/>
        <v>56.288824373840264</v>
      </c>
      <c r="K1002" s="307">
        <f t="shared" ca="1" si="450"/>
        <v>-3.6149155059923159</v>
      </c>
      <c r="L1002" s="304">
        <f t="shared" ca="1" si="435"/>
        <v>56.404781388677478</v>
      </c>
      <c r="M1002" s="306">
        <f t="shared" ca="1" si="451"/>
        <v>-1.4958344169197539</v>
      </c>
      <c r="N1002" s="304">
        <f t="shared" ca="1" si="452"/>
        <v>-85.704998939914276</v>
      </c>
      <c r="P1002" s="310">
        <f t="shared" ca="1" si="453"/>
        <v>23</v>
      </c>
      <c r="Q1002" s="304">
        <f t="shared" ca="1" si="454"/>
        <v>0</v>
      </c>
      <c r="R1002" s="306">
        <f t="shared" ca="1" si="455"/>
        <v>0</v>
      </c>
      <c r="S1002" s="307">
        <f t="shared" ca="1" si="456"/>
        <v>2.0843000000000003</v>
      </c>
      <c r="T1002" s="304">
        <f t="shared" ca="1" si="436"/>
        <v>20.446983000000003</v>
      </c>
      <c r="U1002" s="311">
        <f t="shared" ca="1" si="437"/>
        <v>0</v>
      </c>
      <c r="V1002" s="306">
        <f t="shared" ca="1" si="438"/>
        <v>1.2254429072030901</v>
      </c>
      <c r="W1002" s="304">
        <f t="shared" ca="1" si="439"/>
        <v>7.2757519667780786</v>
      </c>
      <c r="Y1002" s="314" t="str">
        <f t="shared" ca="1" si="457"/>
        <v/>
      </c>
      <c r="Z1002" s="315" t="str">
        <f t="shared" ca="1" si="458"/>
        <v/>
      </c>
      <c r="AA1002" s="316" t="str">
        <f t="shared" ca="1" si="459"/>
        <v/>
      </c>
      <c r="AC1002" s="310" t="e">
        <f t="shared" ca="1" si="460"/>
        <v>#N/A</v>
      </c>
      <c r="AD1002" s="323" t="e">
        <f t="shared" ca="1" si="461"/>
        <v>#N/A</v>
      </c>
      <c r="AE1002" s="324">
        <f t="shared" ca="1" si="440"/>
        <v>-3.6149155059923159</v>
      </c>
      <c r="AG1002" s="306">
        <f t="shared" ca="1" si="462"/>
        <v>6.2917942050574087</v>
      </c>
      <c r="AH1002" s="304">
        <f t="shared" ca="1" si="463"/>
        <v>-3.4906550552579456</v>
      </c>
    </row>
    <row r="1003" spans="1:34" x14ac:dyDescent="0.2">
      <c r="A1003" s="347">
        <f t="shared" ca="1" si="441"/>
        <v>1E-4</v>
      </c>
      <c r="B1003" s="304">
        <f t="shared" ca="1" si="442"/>
        <v>12.069899999999812</v>
      </c>
      <c r="D1003" s="306">
        <f t="shared" ca="1" si="443"/>
        <v>-0.26142763011007397</v>
      </c>
      <c r="E1003" s="307">
        <f t="shared" ca="1" si="444"/>
        <v>-6.3290619080948858</v>
      </c>
      <c r="F1003" s="304">
        <f t="shared" ca="1" si="445"/>
        <v>6.3344588594672118</v>
      </c>
      <c r="G1003" s="306">
        <f t="shared" ca="1" si="446"/>
        <v>3.8989586865063557</v>
      </c>
      <c r="H1003" s="307">
        <f t="shared" ca="1" si="447"/>
        <v>-51.916051357749964</v>
      </c>
      <c r="I1003" s="304">
        <f t="shared" ca="1" si="448"/>
        <v>52.062253768153518</v>
      </c>
      <c r="J1003" s="306">
        <f t="shared" ca="1" si="449"/>
        <v>56.288824373840264</v>
      </c>
      <c r="K1003" s="307">
        <f t="shared" ca="1" si="450"/>
        <v>-3.6201070794827812</v>
      </c>
      <c r="L1003" s="304">
        <f t="shared" ca="1" si="435"/>
        <v>56.405114348398897</v>
      </c>
      <c r="M1003" s="306">
        <f t="shared" ca="1" si="451"/>
        <v>-1.4958358280914974</v>
      </c>
      <c r="N1003" s="304">
        <f t="shared" ca="1" si="452"/>
        <v>-85.705079794099348</v>
      </c>
      <c r="P1003" s="310">
        <f t="shared" ca="1" si="453"/>
        <v>23</v>
      </c>
      <c r="Q1003" s="304">
        <f t="shared" ca="1" si="454"/>
        <v>0</v>
      </c>
      <c r="R1003" s="306">
        <f t="shared" ca="1" si="455"/>
        <v>0</v>
      </c>
      <c r="S1003" s="307">
        <f t="shared" ca="1" si="456"/>
        <v>2.0843000000000003</v>
      </c>
      <c r="T1003" s="304">
        <f t="shared" ca="1" si="436"/>
        <v>20.446983000000003</v>
      </c>
      <c r="U1003" s="311">
        <f t="shared" ca="1" si="437"/>
        <v>0</v>
      </c>
      <c r="V1003" s="306">
        <f ca="1">Rho_moyen*(20000-Alt_rampe-pos_z)/(20000+Alt_rampe+pos_z)</f>
        <v>1.225443543400967</v>
      </c>
      <c r="W1003" s="304">
        <f t="shared" ca="1" si="439"/>
        <v>7.2759316018579634</v>
      </c>
      <c r="Y1003" s="314" t="str">
        <f t="shared" ca="1" si="457"/>
        <v/>
      </c>
      <c r="Z1003" s="315" t="str">
        <f t="shared" ca="1" si="458"/>
        <v/>
      </c>
      <c r="AA1003" s="316" t="str">
        <f t="shared" ca="1" si="459"/>
        <v/>
      </c>
      <c r="AC1003" s="310" t="e">
        <f t="shared" ca="1" si="460"/>
        <v>#N/A</v>
      </c>
      <c r="AD1003" s="323" t="e">
        <f t="shared" ca="1" si="461"/>
        <v>#N/A</v>
      </c>
      <c r="AE1003" s="324">
        <f t="shared" ca="1" si="440"/>
        <v>-3.6201070794827812</v>
      </c>
      <c r="AG1003" s="306">
        <f t="shared" ca="1" si="462"/>
        <v>6.2917090570097294</v>
      </c>
      <c r="AH1003" s="304">
        <f t="shared" ca="1" si="463"/>
        <v>-3.4907412401180626</v>
      </c>
    </row>
    <row r="1004" spans="1:34" x14ac:dyDescent="0.2">
      <c r="A1004" s="348">
        <f t="shared" ca="1" si="441"/>
        <v>1E-4</v>
      </c>
      <c r="B1004" s="305">
        <f t="shared" ca="1" si="442"/>
        <v>12.069999999999812</v>
      </c>
      <c r="D1004" s="308">
        <f t="shared" ca="1" si="443"/>
        <v>-0.26142917231896479</v>
      </c>
      <c r="E1004" s="309">
        <f t="shared" ca="1" si="444"/>
        <v>-6.3289755963567531</v>
      </c>
      <c r="F1004" s="305">
        <f t="shared" ca="1" si="445"/>
        <v>6.3343726849166915</v>
      </c>
      <c r="G1004" s="308">
        <f t="shared" ca="1" si="446"/>
        <v>3.8989325435891238</v>
      </c>
      <c r="H1004" s="309">
        <f t="shared" ca="1" si="447"/>
        <v>-51.916684255309598</v>
      </c>
      <c r="I1004" s="305">
        <f t="shared" ca="1" si="448"/>
        <v>52.062882930596246</v>
      </c>
      <c r="J1004" s="308">
        <f t="shared" ca="1" si="449"/>
        <v>56.288824373840264</v>
      </c>
      <c r="K1004" s="309">
        <f t="shared" ca="1" si="450"/>
        <v>-3.6252987162634343</v>
      </c>
      <c r="L1004" s="305">
        <f t="shared" ca="1" si="435"/>
        <v>56.405447788056563</v>
      </c>
      <c r="M1004" s="308">
        <f t="shared" ca="1" si="451"/>
        <v>-1.4958372392196717</v>
      </c>
      <c r="N1004" s="305">
        <f t="shared" ca="1" si="452"/>
        <v>-85.705160645788084</v>
      </c>
      <c r="P1004" s="312">
        <f t="shared" ca="1" si="453"/>
        <v>23</v>
      </c>
      <c r="Q1004" s="305">
        <f t="shared" ca="1" si="454"/>
        <v>0</v>
      </c>
      <c r="R1004" s="308">
        <f t="shared" ca="1" si="455"/>
        <v>0</v>
      </c>
      <c r="S1004" s="309">
        <f t="shared" ca="1" si="456"/>
        <v>2.0843000000000003</v>
      </c>
      <c r="T1004" s="305">
        <f t="shared" ca="1" si="436"/>
        <v>20.446983000000003</v>
      </c>
      <c r="U1004" s="313">
        <f t="shared" ca="1" si="437"/>
        <v>0</v>
      </c>
      <c r="V1004" s="308">
        <f t="shared" ca="1" si="438"/>
        <v>1.2254441796069302</v>
      </c>
      <c r="W1004" s="305">
        <f ca="1">1/2*Rho*Sref*Cx*vit_xz^2</f>
        <v>7.2761112369137129</v>
      </c>
      <c r="Y1004" s="317" t="str">
        <f ca="1">IF(AND(pos_z&lt;=0,K1003&gt;0),"Impact balistique","") &amp; IF(AND(H1005&lt;0,vit_z&gt;=0),"Apogée","") &amp; IF(AND(Poussee=0,Q1003&gt;0),"Fin de propulsion","") &amp; IF(AND(L1005&gt;L_rampe,pos_xz&lt;=L_rampe),"Sortie de rampe","")</f>
        <v/>
      </c>
      <c r="Z1004" s="318" t="str">
        <f t="shared" ca="1" si="458"/>
        <v/>
      </c>
      <c r="AA1004" s="319" t="str">
        <f t="shared" ca="1" si="459"/>
        <v/>
      </c>
      <c r="AC1004" s="312" t="e">
        <f t="shared" ca="1" si="460"/>
        <v>#N/A</v>
      </c>
      <c r="AD1004" s="325" t="e">
        <f t="shared" ca="1" si="461"/>
        <v>#N/A</v>
      </c>
      <c r="AE1004" s="326">
        <f t="shared" ca="1" si="440"/>
        <v>-3.6252987162634343</v>
      </c>
      <c r="AG1004" s="308">
        <f t="shared" ca="1" si="462"/>
        <v>6.2916239089220962</v>
      </c>
      <c r="AH1004" s="305">
        <f t="shared" ca="1" si="463"/>
        <v>-3.4908274249666373</v>
      </c>
    </row>
    <row r="1005" spans="1:34" x14ac:dyDescent="0.2">
      <c r="Y1005" s="303"/>
    </row>
    <row r="1010" spans="12:12" x14ac:dyDescent="0.2">
      <c r="L1010"/>
    </row>
    <row r="1034" spans="5:25" x14ac:dyDescent="0.2">
      <c r="E1034" s="300" t="s">
        <v>257</v>
      </c>
      <c r="J1034" s="301" t="s">
        <v>249</v>
      </c>
      <c r="T1034" s="300" t="s">
        <v>248</v>
      </c>
      <c r="Y1034" s="302" t="s">
        <v>251</v>
      </c>
    </row>
    <row r="1035" spans="5:25" x14ac:dyDescent="0.2">
      <c r="E1035" s="299" t="s">
        <v>261</v>
      </c>
    </row>
    <row r="1036" spans="5:25" x14ac:dyDescent="0.2">
      <c r="E1036" s="299"/>
      <c r="T1036" s="299" t="s">
        <v>254</v>
      </c>
    </row>
    <row r="1037" spans="5:25" x14ac:dyDescent="0.2">
      <c r="E1037" s="299"/>
      <c r="T1037" s="299" t="s">
        <v>258</v>
      </c>
    </row>
    <row r="1038" spans="5:25" x14ac:dyDescent="0.2">
      <c r="E1038" s="299"/>
      <c r="T1038" s="299" t="s">
        <v>259</v>
      </c>
    </row>
    <row r="1039" spans="5:25" x14ac:dyDescent="0.2">
      <c r="E1039" s="299"/>
      <c r="T1039" s="299" t="s">
        <v>265</v>
      </c>
    </row>
    <row r="1040" spans="5:25" x14ac:dyDescent="0.2">
      <c r="E1040" s="299" t="s">
        <v>260</v>
      </c>
      <c r="T1040" s="299" t="s">
        <v>250</v>
      </c>
    </row>
    <row r="1041" spans="5:20" x14ac:dyDescent="0.2">
      <c r="E1041" s="299"/>
      <c r="T1041" s="299" t="s">
        <v>266</v>
      </c>
    </row>
    <row r="1042" spans="5:20" x14ac:dyDescent="0.2">
      <c r="E1042" s="299"/>
      <c r="R1042" s="303"/>
      <c r="T1042" s="299"/>
    </row>
    <row r="1043" spans="5:20" x14ac:dyDescent="0.2">
      <c r="E1043" s="299"/>
    </row>
    <row r="1044" spans="5:20" x14ac:dyDescent="0.2">
      <c r="E1044" s="299"/>
    </row>
    <row r="1045" spans="5:20" x14ac:dyDescent="0.2">
      <c r="E1045" s="299" t="s">
        <v>263</v>
      </c>
      <c r="R1045" s="303"/>
      <c r="T1045" s="299"/>
    </row>
    <row r="1046" spans="5:20" x14ac:dyDescent="0.2">
      <c r="E1046" s="299"/>
    </row>
    <row r="1047" spans="5:20" x14ac:dyDescent="0.2">
      <c r="E1047" s="299"/>
    </row>
    <row r="1048" spans="5:20" x14ac:dyDescent="0.2">
      <c r="E1048" s="299"/>
      <c r="T1048" s="298" t="s">
        <v>256</v>
      </c>
    </row>
    <row r="1049" spans="5:20" x14ac:dyDescent="0.2">
      <c r="E1049" s="299"/>
    </row>
    <row r="1050" spans="5:20" x14ac:dyDescent="0.2">
      <c r="E1050" s="299" t="s">
        <v>264</v>
      </c>
    </row>
    <row r="1053" spans="5:20" x14ac:dyDescent="0.2">
      <c r="T1053" s="298" t="s">
        <v>271</v>
      </c>
    </row>
    <row r="1055" spans="5:20" x14ac:dyDescent="0.2">
      <c r="E1055" s="299" t="s">
        <v>253</v>
      </c>
    </row>
    <row r="1058" spans="5:20" x14ac:dyDescent="0.2">
      <c r="T1058" s="299" t="s">
        <v>272</v>
      </c>
    </row>
    <row r="1060" spans="5:20" x14ac:dyDescent="0.2">
      <c r="E1060" s="299" t="s">
        <v>262</v>
      </c>
    </row>
    <row r="1061" spans="5:20" x14ac:dyDescent="0.2">
      <c r="E1061" s="299"/>
    </row>
    <row r="1062" spans="5:20" x14ac:dyDescent="0.2">
      <c r="E1062" s="299"/>
    </row>
    <row r="1063" spans="5:20" x14ac:dyDescent="0.2">
      <c r="E1063" s="299"/>
    </row>
    <row r="1064" spans="5:20" x14ac:dyDescent="0.2">
      <c r="E1064" s="299"/>
    </row>
    <row r="1065" spans="5:20" x14ac:dyDescent="0.2">
      <c r="E1065" s="299" t="s">
        <v>252</v>
      </c>
    </row>
    <row r="1066" spans="5:20" x14ac:dyDescent="0.2">
      <c r="E1066" s="299"/>
    </row>
    <row r="1067" spans="5:20" x14ac:dyDescent="0.2">
      <c r="E1067" s="299"/>
    </row>
    <row r="1068" spans="5:20" x14ac:dyDescent="0.2">
      <c r="E1068" s="299"/>
    </row>
    <row r="1069" spans="5:20" x14ac:dyDescent="0.2">
      <c r="E1069" s="299"/>
    </row>
    <row r="1070" spans="5:20" x14ac:dyDescent="0.2">
      <c r="E1070" s="299" t="s">
        <v>255</v>
      </c>
    </row>
    <row r="1071" spans="5:20" x14ac:dyDescent="0.2">
      <c r="E1071" s="299"/>
    </row>
    <row r="1072" spans="5:20" x14ac:dyDescent="0.2">
      <c r="E1072" s="299"/>
    </row>
    <row r="1073" spans="5:5" x14ac:dyDescent="0.2">
      <c r="E1073" s="299"/>
    </row>
    <row r="1074" spans="5:5" x14ac:dyDescent="0.2">
      <c r="E1074" s="299"/>
    </row>
    <row r="1075" spans="5:5" x14ac:dyDescent="0.2">
      <c r="E1075" s="299" t="s">
        <v>267</v>
      </c>
    </row>
  </sheetData>
  <sheetProtection password="C6AC" sheet="1"/>
  <mergeCells count="5">
    <mergeCell ref="D1:N1"/>
    <mergeCell ref="P1:W1"/>
    <mergeCell ref="AG1:AH1"/>
    <mergeCell ref="Y2:AA2"/>
    <mergeCell ref="AC1:AE1"/>
  </mergeCells>
  <phoneticPr fontId="8" type="noConversion"/>
  <conditionalFormatting sqref="A4:XFD1004">
    <cfRule type="expression" dxfId="5" priority="7" stopIfTrue="1">
      <formula>OR($Y4="Sortie de rampe",$Z4="Para")</formula>
    </cfRule>
    <cfRule type="expression" dxfId="4" priority="8" stopIfTrue="1">
      <formula>OR($Y4="Fin de propulsion",$Y4="Impact balistique",$AA4="Satellite")</formula>
    </cfRule>
    <cfRule type="expression" dxfId="3" priority="9" stopIfTrue="1">
      <formula>$Y4="Apogée"</formula>
    </cfRule>
  </conditionalFormatting>
  <hyperlinks>
    <hyperlink ref="J1034" r:id="rId1" xr:uid="{6272E4DF-CCF5-A04C-88E5-C8DD9E4BDC0A}"/>
    <hyperlink ref="Y1034" r:id="rId2" xr:uid="{8F438075-8076-1C44-B4BD-DE0BB9A090FB}"/>
  </hyperlinks>
  <pageMargins left="0.39370078740157483" right="0.39370078740157483" top="0.39370078740157483" bottom="0.39370078740157483" header="0" footer="0"/>
  <pageSetup paperSize="9" scale="29" firstPageNumber="0" fitToHeight="5" orientation="portrait" horizontalDpi="300" verticalDpi="300"/>
  <headerFooter alignWithMargins="0"/>
  <drawing r:id="rId3"/>
  <legacyDrawing r:id="rId4"/>
  <oleObjects>
    <mc:AlternateContent xmlns:mc="http://schemas.openxmlformats.org/markup-compatibility/2006">
      <mc:Choice Requires="x14">
        <oleObject progId="Equation.3" shapeId="3091" r:id="rId5">
          <objectPr defaultSize="0" autoPict="0" r:id="rId6">
            <anchor moveWithCells="1">
              <from>
                <xdr:col>18</xdr:col>
                <xdr:colOff>9525</xdr:colOff>
                <xdr:row>1010</xdr:row>
                <xdr:rowOff>85725</xdr:rowOff>
              </from>
              <to>
                <xdr:col>20</xdr:col>
                <xdr:colOff>266700</xdr:colOff>
                <xdr:row>1013</xdr:row>
                <xdr:rowOff>28575</xdr:rowOff>
              </to>
            </anchor>
          </objectPr>
        </oleObject>
      </mc:Choice>
      <mc:Fallback>
        <oleObject progId="Equation.3" shapeId="3091" r:id="rId5"/>
      </mc:Fallback>
    </mc:AlternateContent>
    <mc:AlternateContent xmlns:mc="http://schemas.openxmlformats.org/markup-compatibility/2006">
      <mc:Choice Requires="x14">
        <oleObject progId="Equation.3" shapeId="3092" r:id="rId7">
          <objectPr defaultSize="0" autoPict="0" r:id="rId8">
            <anchor moveWithCells="1">
              <from>
                <xdr:col>21</xdr:col>
                <xdr:colOff>28575</xdr:colOff>
                <xdr:row>1024</xdr:row>
                <xdr:rowOff>142875</xdr:rowOff>
              </from>
              <to>
                <xdr:col>25</xdr:col>
                <xdr:colOff>409575</xdr:colOff>
                <xdr:row>1026</xdr:row>
                <xdr:rowOff>66675</xdr:rowOff>
              </to>
            </anchor>
          </objectPr>
        </oleObject>
      </mc:Choice>
      <mc:Fallback>
        <oleObject progId="Equation.3" shapeId="3092" r:id="rId7"/>
      </mc:Fallback>
    </mc:AlternateContent>
    <mc:AlternateContent xmlns:mc="http://schemas.openxmlformats.org/markup-compatibility/2006">
      <mc:Choice Requires="x14">
        <oleObject progId="Equation.3" shapeId="3096" r:id="rId9">
          <objectPr defaultSize="0" autoPict="0" r:id="rId10">
            <anchor moveWithCells="1">
              <from>
                <xdr:col>16</xdr:col>
                <xdr:colOff>228600</xdr:colOff>
                <xdr:row>1006</xdr:row>
                <xdr:rowOff>28575</xdr:rowOff>
              </from>
              <to>
                <xdr:col>24</xdr:col>
                <xdr:colOff>142875</xdr:colOff>
                <xdr:row>1007</xdr:row>
                <xdr:rowOff>85725</xdr:rowOff>
              </to>
            </anchor>
          </objectPr>
        </oleObject>
      </mc:Choice>
      <mc:Fallback>
        <oleObject progId="Equation.3" shapeId="3096" r:id="rId9"/>
      </mc:Fallback>
    </mc:AlternateContent>
    <mc:AlternateContent xmlns:mc="http://schemas.openxmlformats.org/markup-compatibility/2006">
      <mc:Choice Requires="x14">
        <oleObject progId="Equation.3" shapeId="3112" r:id="rId11">
          <objectPr defaultSize="0" autoPict="0" r:id="rId12">
            <anchor moveWithCells="1">
              <from>
                <xdr:col>7</xdr:col>
                <xdr:colOff>9525</xdr:colOff>
                <xdr:row>1017</xdr:row>
                <xdr:rowOff>142875</xdr:rowOff>
              </from>
              <to>
                <xdr:col>10</xdr:col>
                <xdr:colOff>533400</xdr:colOff>
                <xdr:row>1019</xdr:row>
                <xdr:rowOff>114300</xdr:rowOff>
              </to>
            </anchor>
          </objectPr>
        </oleObject>
      </mc:Choice>
      <mc:Fallback>
        <oleObject progId="Equation.3" shapeId="3112" r:id="rId11"/>
      </mc:Fallback>
    </mc:AlternateContent>
    <mc:AlternateContent xmlns:mc="http://schemas.openxmlformats.org/markup-compatibility/2006">
      <mc:Choice Requires="x14">
        <oleObject progId="Equation.3" shapeId="3114" r:id="rId13">
          <objectPr defaultSize="0" autoPict="0" r:id="rId14">
            <anchor moveWithCells="1">
              <from>
                <xdr:col>7</xdr:col>
                <xdr:colOff>9525</xdr:colOff>
                <xdr:row>1014</xdr:row>
                <xdr:rowOff>152400</xdr:rowOff>
              </from>
              <to>
                <xdr:col>11</xdr:col>
                <xdr:colOff>238125</xdr:colOff>
                <xdr:row>1016</xdr:row>
                <xdr:rowOff>66675</xdr:rowOff>
              </to>
            </anchor>
          </objectPr>
        </oleObject>
      </mc:Choice>
      <mc:Fallback>
        <oleObject progId="Equation.3" shapeId="3114" r:id="rId13"/>
      </mc:Fallback>
    </mc:AlternateContent>
    <mc:AlternateContent xmlns:mc="http://schemas.openxmlformats.org/markup-compatibility/2006">
      <mc:Choice Requires="x14">
        <oleObject progId="Equation.3" shapeId="3115" r:id="rId15">
          <objectPr defaultSize="0" autoPict="0" r:id="rId16">
            <anchor moveWithCells="1">
              <from>
                <xdr:col>7</xdr:col>
                <xdr:colOff>9525</xdr:colOff>
                <xdr:row>1016</xdr:row>
                <xdr:rowOff>66675</xdr:rowOff>
              </from>
              <to>
                <xdr:col>11</xdr:col>
                <xdr:colOff>219075</xdr:colOff>
                <xdr:row>1017</xdr:row>
                <xdr:rowOff>142875</xdr:rowOff>
              </to>
            </anchor>
          </objectPr>
        </oleObject>
      </mc:Choice>
      <mc:Fallback>
        <oleObject progId="Equation.3" shapeId="3115" r:id="rId15"/>
      </mc:Fallback>
    </mc:AlternateContent>
    <mc:AlternateContent xmlns:mc="http://schemas.openxmlformats.org/markup-compatibility/2006">
      <mc:Choice Requires="x14">
        <oleObject progId="Equation.3" shapeId="3119" r:id="rId17">
          <objectPr defaultSize="0" autoPict="0" r:id="rId18">
            <anchor moveWithCells="1">
              <from>
                <xdr:col>10</xdr:col>
                <xdr:colOff>0</xdr:colOff>
                <xdr:row>1022</xdr:row>
                <xdr:rowOff>66675</xdr:rowOff>
              </from>
              <to>
                <xdr:col>17</xdr:col>
                <xdr:colOff>238125</xdr:colOff>
                <xdr:row>1024</xdr:row>
                <xdr:rowOff>142875</xdr:rowOff>
              </to>
            </anchor>
          </objectPr>
        </oleObject>
      </mc:Choice>
      <mc:Fallback>
        <oleObject progId="Equation.3" shapeId="3119" r:id="rId17"/>
      </mc:Fallback>
    </mc:AlternateContent>
    <mc:AlternateContent xmlns:mc="http://schemas.openxmlformats.org/markup-compatibility/2006">
      <mc:Choice Requires="x14">
        <oleObject progId="Equation.3" shapeId="3120" r:id="rId19">
          <objectPr defaultSize="0" autoPict="0" r:id="rId20">
            <anchor moveWithCells="1">
              <from>
                <xdr:col>4</xdr:col>
                <xdr:colOff>0</xdr:colOff>
                <xdr:row>1008</xdr:row>
                <xdr:rowOff>0</xdr:rowOff>
              </from>
              <to>
                <xdr:col>11</xdr:col>
                <xdr:colOff>219075</xdr:colOff>
                <xdr:row>1010</xdr:row>
                <xdr:rowOff>76200</xdr:rowOff>
              </to>
            </anchor>
          </objectPr>
        </oleObject>
      </mc:Choice>
      <mc:Fallback>
        <oleObject progId="Equation.3" shapeId="3120" r:id="rId19"/>
      </mc:Fallback>
    </mc:AlternateContent>
    <mc:AlternateContent xmlns:mc="http://schemas.openxmlformats.org/markup-compatibility/2006">
      <mc:Choice Requires="x14">
        <oleObject progId="Equation.3" shapeId="3121" r:id="rId21">
          <objectPr defaultSize="0" autoPict="0" r:id="rId22">
            <anchor moveWithCells="1">
              <from>
                <xdr:col>4</xdr:col>
                <xdr:colOff>0</xdr:colOff>
                <xdr:row>1010</xdr:row>
                <xdr:rowOff>85725</xdr:rowOff>
              </from>
              <to>
                <xdr:col>12</xdr:col>
                <xdr:colOff>219075</xdr:colOff>
                <xdr:row>1013</xdr:row>
                <xdr:rowOff>0</xdr:rowOff>
              </to>
            </anchor>
          </objectPr>
        </oleObject>
      </mc:Choice>
      <mc:Fallback>
        <oleObject progId="Equation.3" shapeId="3121" r:id="rId21"/>
      </mc:Fallback>
    </mc:AlternateContent>
    <mc:AlternateContent xmlns:mc="http://schemas.openxmlformats.org/markup-compatibility/2006">
      <mc:Choice Requires="x14">
        <oleObject progId="Equation.3" shapeId="3122" r:id="rId23">
          <objectPr defaultSize="0" autoPict="0" r:id="rId24">
            <anchor moveWithCells="1">
              <from>
                <xdr:col>1</xdr:col>
                <xdr:colOff>9525</xdr:colOff>
                <xdr:row>1006</xdr:row>
                <xdr:rowOff>85725</xdr:rowOff>
              </from>
              <to>
                <xdr:col>3</xdr:col>
                <xdr:colOff>495300</xdr:colOff>
                <xdr:row>1007</xdr:row>
                <xdr:rowOff>152400</xdr:rowOff>
              </to>
            </anchor>
          </objectPr>
        </oleObject>
      </mc:Choice>
      <mc:Fallback>
        <oleObject progId="Equation.3" shapeId="3122" r:id="rId23"/>
      </mc:Fallback>
    </mc:AlternateContent>
    <mc:AlternateContent xmlns:mc="http://schemas.openxmlformats.org/markup-compatibility/2006">
      <mc:Choice Requires="x14">
        <oleObject progId="Equation.3" shapeId="3124" r:id="rId25">
          <objectPr defaultSize="0" autoPict="0" r:id="rId26">
            <anchor moveWithCells="1">
              <from>
                <xdr:col>10</xdr:col>
                <xdr:colOff>0</xdr:colOff>
                <xdr:row>1024</xdr:row>
                <xdr:rowOff>152400</xdr:rowOff>
              </from>
              <to>
                <xdr:col>16</xdr:col>
                <xdr:colOff>0</xdr:colOff>
                <xdr:row>1026</xdr:row>
                <xdr:rowOff>123825</xdr:rowOff>
              </to>
            </anchor>
          </objectPr>
        </oleObject>
      </mc:Choice>
      <mc:Fallback>
        <oleObject progId="Equation.3" shapeId="3124" r:id="rId25"/>
      </mc:Fallback>
    </mc:AlternateContent>
    <mc:AlternateContent xmlns:mc="http://schemas.openxmlformats.org/markup-compatibility/2006">
      <mc:Choice Requires="x14">
        <oleObject progId="Equation.3" shapeId="3125" r:id="rId27">
          <objectPr defaultSize="0" autoPict="0" r:id="rId28">
            <anchor moveWithCells="1">
              <from>
                <xdr:col>18</xdr:col>
                <xdr:colOff>9525</xdr:colOff>
                <xdr:row>1013</xdr:row>
                <xdr:rowOff>28575</xdr:rowOff>
              </from>
              <to>
                <xdr:col>21</xdr:col>
                <xdr:colOff>28575</xdr:colOff>
                <xdr:row>1014</xdr:row>
                <xdr:rowOff>104775</xdr:rowOff>
              </to>
            </anchor>
          </objectPr>
        </oleObject>
      </mc:Choice>
      <mc:Fallback>
        <oleObject progId="Equation.3" shapeId="3125" r:id="rId27"/>
      </mc:Fallback>
    </mc:AlternateContent>
    <mc:AlternateContent xmlns:mc="http://schemas.openxmlformats.org/markup-compatibility/2006">
      <mc:Choice Requires="x14">
        <oleObject progId="Equation.3" shapeId="3127" r:id="rId29">
          <objectPr defaultSize="0" autoPict="0" r:id="rId30">
            <anchor moveWithCells="1">
              <from>
                <xdr:col>1</xdr:col>
                <xdr:colOff>9525</xdr:colOff>
                <xdr:row>1005</xdr:row>
                <xdr:rowOff>9525</xdr:rowOff>
              </from>
              <to>
                <xdr:col>10</xdr:col>
                <xdr:colOff>371475</xdr:colOff>
                <xdr:row>1006</xdr:row>
                <xdr:rowOff>76200</xdr:rowOff>
              </to>
            </anchor>
          </objectPr>
        </oleObject>
      </mc:Choice>
      <mc:Fallback>
        <oleObject progId="Equation.3" shapeId="3127" r:id="rId29"/>
      </mc:Fallback>
    </mc:AlternateContent>
    <mc:AlternateContent xmlns:mc="http://schemas.openxmlformats.org/markup-compatibility/2006">
      <mc:Choice Requires="x14">
        <oleObject progId="Equation.3" shapeId="3129" r:id="rId31">
          <objectPr defaultSize="0" autoPict="0" r:id="rId32">
            <anchor moveWithCells="1">
              <from>
                <xdr:col>4</xdr:col>
                <xdr:colOff>0</xdr:colOff>
                <xdr:row>1013</xdr:row>
                <xdr:rowOff>9525</xdr:rowOff>
              </from>
              <to>
                <xdr:col>8</xdr:col>
                <xdr:colOff>180975</xdr:colOff>
                <xdr:row>1014</xdr:row>
                <xdr:rowOff>142875</xdr:rowOff>
              </to>
            </anchor>
          </objectPr>
        </oleObject>
      </mc:Choice>
      <mc:Fallback>
        <oleObject progId="Equation.3" shapeId="3129" r:id="rId31"/>
      </mc:Fallback>
    </mc:AlternateContent>
    <mc:AlternateContent xmlns:mc="http://schemas.openxmlformats.org/markup-compatibility/2006">
      <mc:Choice Requires="x14">
        <oleObject progId="Equation.3" shapeId="3131" r:id="rId33">
          <objectPr defaultSize="0" autoPict="0" r:id="rId34">
            <anchor moveWithCells="1">
              <from>
                <xdr:col>20</xdr:col>
                <xdr:colOff>9525</xdr:colOff>
                <xdr:row>1018</xdr:row>
                <xdr:rowOff>47625</xdr:rowOff>
              </from>
              <to>
                <xdr:col>24</xdr:col>
                <xdr:colOff>981075</xdr:colOff>
                <xdr:row>1019</xdr:row>
                <xdr:rowOff>114300</xdr:rowOff>
              </to>
            </anchor>
          </objectPr>
        </oleObject>
      </mc:Choice>
      <mc:Fallback>
        <oleObject progId="Equation.3" shapeId="3131" r:id="rId33"/>
      </mc:Fallback>
    </mc:AlternateContent>
    <mc:AlternateContent xmlns:mc="http://schemas.openxmlformats.org/markup-compatibility/2006">
      <mc:Choice Requires="x14">
        <oleObject progId="Equation.3" shapeId="3134" r:id="rId35">
          <objectPr defaultSize="0" autoPict="0" r:id="rId36">
            <anchor moveWithCells="1">
              <from>
                <xdr:col>10</xdr:col>
                <xdr:colOff>0</xdr:colOff>
                <xdr:row>1019</xdr:row>
                <xdr:rowOff>123825</xdr:rowOff>
              </from>
              <to>
                <xdr:col>20</xdr:col>
                <xdr:colOff>523875</xdr:colOff>
                <xdr:row>1022</xdr:row>
                <xdr:rowOff>47625</xdr:rowOff>
              </to>
            </anchor>
          </objectPr>
        </oleObject>
      </mc:Choice>
      <mc:Fallback>
        <oleObject progId="Equation.3" shapeId="3134" r:id="rId35"/>
      </mc:Fallback>
    </mc:AlternateContent>
    <mc:AlternateContent xmlns:mc="http://schemas.openxmlformats.org/markup-compatibility/2006">
      <mc:Choice Requires="x14">
        <oleObject progId="Equation.3" shapeId="3135" r:id="rId37">
          <objectPr defaultSize="0" autoPict="0" r:id="rId38">
            <anchor moveWithCells="1">
              <from>
                <xdr:col>12</xdr:col>
                <xdr:colOff>0</xdr:colOff>
                <xdr:row>1018</xdr:row>
                <xdr:rowOff>47625</xdr:rowOff>
              </from>
              <to>
                <xdr:col>19</xdr:col>
                <xdr:colOff>161925</xdr:colOff>
                <xdr:row>1019</xdr:row>
                <xdr:rowOff>114300</xdr:rowOff>
              </to>
            </anchor>
          </objectPr>
        </oleObject>
      </mc:Choice>
      <mc:Fallback>
        <oleObject progId="Equation.3" shapeId="3135" r:id="rId37"/>
      </mc:Fallback>
    </mc:AlternateContent>
    <mc:AlternateContent xmlns:mc="http://schemas.openxmlformats.org/markup-compatibility/2006">
      <mc:Choice Requires="x14">
        <oleObject progId="Equation.3" shapeId="3141" r:id="rId39">
          <objectPr defaultSize="0" autoPict="0" r:id="rId40">
            <anchor moveWithCells="1">
              <from>
                <xdr:col>33</xdr:col>
                <xdr:colOff>9525</xdr:colOff>
                <xdr:row>1007</xdr:row>
                <xdr:rowOff>104775</xdr:rowOff>
              </from>
              <to>
                <xdr:col>37</xdr:col>
                <xdr:colOff>257175</xdr:colOff>
                <xdr:row>1010</xdr:row>
                <xdr:rowOff>66675</xdr:rowOff>
              </to>
            </anchor>
          </objectPr>
        </oleObject>
      </mc:Choice>
      <mc:Fallback>
        <oleObject progId="Equation.3" shapeId="3141" r:id="rId39"/>
      </mc:Fallback>
    </mc:AlternateContent>
    <mc:AlternateContent xmlns:mc="http://schemas.openxmlformats.org/markup-compatibility/2006">
      <mc:Choice Requires="x14">
        <oleObject progId="Equation.3" shapeId="3142" r:id="rId41">
          <objectPr defaultSize="0" autoPict="0" r:id="rId42">
            <anchor moveWithCells="1">
              <from>
                <xdr:col>33</xdr:col>
                <xdr:colOff>9525</xdr:colOff>
                <xdr:row>1010</xdr:row>
                <xdr:rowOff>76200</xdr:rowOff>
              </from>
              <to>
                <xdr:col>35</xdr:col>
                <xdr:colOff>657225</xdr:colOff>
                <xdr:row>1013</xdr:row>
                <xdr:rowOff>38100</xdr:rowOff>
              </to>
            </anchor>
          </objectPr>
        </oleObject>
      </mc:Choice>
      <mc:Fallback>
        <oleObject progId="Equation.3" shapeId="3142" r:id="rId41"/>
      </mc:Fallback>
    </mc:AlternateContent>
    <mc:AlternateContent xmlns:mc="http://schemas.openxmlformats.org/markup-compatibility/2006">
      <mc:Choice Requires="x14">
        <oleObject progId="Equation.3" shapeId="3157" r:id="rId43">
          <objectPr defaultSize="0" autoPict="0" r:id="rId44">
            <anchor moveWithCells="1">
              <from>
                <xdr:col>4</xdr:col>
                <xdr:colOff>0</xdr:colOff>
                <xdr:row>1035</xdr:row>
                <xdr:rowOff>28575</xdr:rowOff>
              </from>
              <to>
                <xdr:col>11</xdr:col>
                <xdr:colOff>504825</xdr:colOff>
                <xdr:row>1038</xdr:row>
                <xdr:rowOff>28575</xdr:rowOff>
              </to>
            </anchor>
          </objectPr>
        </oleObject>
      </mc:Choice>
      <mc:Fallback>
        <oleObject progId="Equation.3" shapeId="3157" r:id="rId43"/>
      </mc:Fallback>
    </mc:AlternateContent>
    <mc:AlternateContent xmlns:mc="http://schemas.openxmlformats.org/markup-compatibility/2006">
      <mc:Choice Requires="x14">
        <oleObject progId="Equation.3" shapeId="3158" r:id="rId45">
          <objectPr defaultSize="0" autoPict="0" r:id="rId46">
            <anchor moveWithCells="1">
              <from>
                <xdr:col>4</xdr:col>
                <xdr:colOff>0</xdr:colOff>
                <xdr:row>1040</xdr:row>
                <xdr:rowOff>28575</xdr:rowOff>
              </from>
              <to>
                <xdr:col>12</xdr:col>
                <xdr:colOff>28575</xdr:colOff>
                <xdr:row>1043</xdr:row>
                <xdr:rowOff>28575</xdr:rowOff>
              </to>
            </anchor>
          </objectPr>
        </oleObject>
      </mc:Choice>
      <mc:Fallback>
        <oleObject progId="Equation.3" shapeId="3158" r:id="rId45"/>
      </mc:Fallback>
    </mc:AlternateContent>
    <mc:AlternateContent xmlns:mc="http://schemas.openxmlformats.org/markup-compatibility/2006">
      <mc:Choice Requires="x14">
        <oleObject progId="Equation.3" shapeId="3161" r:id="rId47">
          <objectPr defaultSize="0" autoPict="0" r:id="rId48">
            <anchor moveWithCells="1">
              <from>
                <xdr:col>18</xdr:col>
                <xdr:colOff>9525</xdr:colOff>
                <xdr:row>1014</xdr:row>
                <xdr:rowOff>104775</xdr:rowOff>
              </from>
              <to>
                <xdr:col>20</xdr:col>
                <xdr:colOff>304800</xdr:colOff>
                <xdr:row>1016</xdr:row>
                <xdr:rowOff>9525</xdr:rowOff>
              </to>
            </anchor>
          </objectPr>
        </oleObject>
      </mc:Choice>
      <mc:Fallback>
        <oleObject progId="Equation.3" shapeId="3161" r:id="rId47"/>
      </mc:Fallback>
    </mc:AlternateContent>
    <mc:AlternateContent xmlns:mc="http://schemas.openxmlformats.org/markup-compatibility/2006">
      <mc:Choice Requires="x14">
        <oleObject progId="Equation.3" shapeId="3162" r:id="rId49">
          <objectPr defaultSize="0" autoPict="0" r:id="rId50">
            <anchor moveWithCells="1">
              <from>
                <xdr:col>16</xdr:col>
                <xdr:colOff>228600</xdr:colOff>
                <xdr:row>1007</xdr:row>
                <xdr:rowOff>104775</xdr:rowOff>
              </from>
              <to>
                <xdr:col>32</xdr:col>
                <xdr:colOff>152400</xdr:colOff>
                <xdr:row>1010</xdr:row>
                <xdr:rowOff>76200</xdr:rowOff>
              </to>
            </anchor>
          </objectPr>
        </oleObject>
      </mc:Choice>
      <mc:Fallback>
        <oleObject progId="Equation.3" shapeId="3162" r:id="rId49"/>
      </mc:Fallback>
    </mc:AlternateContent>
    <mc:AlternateContent xmlns:mc="http://schemas.openxmlformats.org/markup-compatibility/2006">
      <mc:Choice Requires="x14">
        <oleObject progId="Equation.3" shapeId="3167" r:id="rId51">
          <objectPr defaultSize="0" autoPict="0" r:id="rId52">
            <anchor moveWithCells="1">
              <from>
                <xdr:col>4</xdr:col>
                <xdr:colOff>0</xdr:colOff>
                <xdr:row>1055</xdr:row>
                <xdr:rowOff>28575</xdr:rowOff>
              </from>
              <to>
                <xdr:col>12</xdr:col>
                <xdr:colOff>304800</xdr:colOff>
                <xdr:row>1058</xdr:row>
                <xdr:rowOff>47625</xdr:rowOff>
              </to>
            </anchor>
          </objectPr>
        </oleObject>
      </mc:Choice>
      <mc:Fallback>
        <oleObject progId="Equation.3" shapeId="3167" r:id="rId51"/>
      </mc:Fallback>
    </mc:AlternateContent>
    <mc:AlternateContent xmlns:mc="http://schemas.openxmlformats.org/markup-compatibility/2006">
      <mc:Choice Requires="x14">
        <oleObject progId="Equation.3" shapeId="3168" r:id="rId53">
          <objectPr defaultSize="0" autoPict="0" r:id="rId54">
            <anchor moveWithCells="1">
              <from>
                <xdr:col>4</xdr:col>
                <xdr:colOff>0</xdr:colOff>
                <xdr:row>1060</xdr:row>
                <xdr:rowOff>28575</xdr:rowOff>
              </from>
              <to>
                <xdr:col>15</xdr:col>
                <xdr:colOff>47625</xdr:colOff>
                <xdr:row>1063</xdr:row>
                <xdr:rowOff>47625</xdr:rowOff>
              </to>
            </anchor>
          </objectPr>
        </oleObject>
      </mc:Choice>
      <mc:Fallback>
        <oleObject progId="Equation.3" shapeId="3168" r:id="rId53"/>
      </mc:Fallback>
    </mc:AlternateContent>
    <mc:AlternateContent xmlns:mc="http://schemas.openxmlformats.org/markup-compatibility/2006">
      <mc:Choice Requires="x14">
        <oleObject progId="Equation.3" shapeId="3169" r:id="rId55">
          <objectPr defaultSize="0" autoPict="0" r:id="rId56">
            <anchor moveWithCells="1">
              <from>
                <xdr:col>4</xdr:col>
                <xdr:colOff>0</xdr:colOff>
                <xdr:row>1065</xdr:row>
                <xdr:rowOff>28575</xdr:rowOff>
              </from>
              <to>
                <xdr:col>16</xdr:col>
                <xdr:colOff>609600</xdr:colOff>
                <xdr:row>1068</xdr:row>
                <xdr:rowOff>47625</xdr:rowOff>
              </to>
            </anchor>
          </objectPr>
        </oleObject>
      </mc:Choice>
      <mc:Fallback>
        <oleObject progId="Equation.3" shapeId="3169" r:id="rId55"/>
      </mc:Fallback>
    </mc:AlternateContent>
    <mc:AlternateContent xmlns:mc="http://schemas.openxmlformats.org/markup-compatibility/2006">
      <mc:Choice Requires="x14">
        <oleObject progId="Equation.3" shapeId="3173" r:id="rId57">
          <objectPr defaultSize="0" autoPict="0" r:id="rId58">
            <anchor moveWithCells="1">
              <from>
                <xdr:col>4</xdr:col>
                <xdr:colOff>0</xdr:colOff>
                <xdr:row>1045</xdr:row>
                <xdr:rowOff>28575</xdr:rowOff>
              </from>
              <to>
                <xdr:col>16</xdr:col>
                <xdr:colOff>104775</xdr:colOff>
                <xdr:row>1048</xdr:row>
                <xdr:rowOff>28575</xdr:rowOff>
              </to>
            </anchor>
          </objectPr>
        </oleObject>
      </mc:Choice>
      <mc:Fallback>
        <oleObject progId="Equation.3" shapeId="3173" r:id="rId57"/>
      </mc:Fallback>
    </mc:AlternateContent>
    <mc:AlternateContent xmlns:mc="http://schemas.openxmlformats.org/markup-compatibility/2006">
      <mc:Choice Requires="x14">
        <oleObject progId="Equation.3" shapeId="3174" r:id="rId59">
          <objectPr defaultSize="0" autoPict="0" r:id="rId60">
            <anchor moveWithCells="1">
              <from>
                <xdr:col>4</xdr:col>
                <xdr:colOff>0</xdr:colOff>
                <xdr:row>1050</xdr:row>
                <xdr:rowOff>28575</xdr:rowOff>
              </from>
              <to>
                <xdr:col>16</xdr:col>
                <xdr:colOff>352425</xdr:colOff>
                <xdr:row>1053</xdr:row>
                <xdr:rowOff>47625</xdr:rowOff>
              </to>
            </anchor>
          </objectPr>
        </oleObject>
      </mc:Choice>
      <mc:Fallback>
        <oleObject progId="Equation.3" shapeId="3174" r:id="rId59"/>
      </mc:Fallback>
    </mc:AlternateContent>
    <mc:AlternateContent xmlns:mc="http://schemas.openxmlformats.org/markup-compatibility/2006">
      <mc:Choice Requires="x14">
        <oleObject progId="Equation.3" shapeId="3178" r:id="rId61">
          <objectPr defaultSize="0" autoPict="0" r:id="rId62">
            <anchor moveWithCells="1">
              <from>
                <xdr:col>4</xdr:col>
                <xdr:colOff>0</xdr:colOff>
                <xdr:row>1070</xdr:row>
                <xdr:rowOff>28575</xdr:rowOff>
              </from>
              <to>
                <xdr:col>12</xdr:col>
                <xdr:colOff>371475</xdr:colOff>
                <xdr:row>1073</xdr:row>
                <xdr:rowOff>47625</xdr:rowOff>
              </to>
            </anchor>
          </objectPr>
        </oleObject>
      </mc:Choice>
      <mc:Fallback>
        <oleObject progId="Equation.3" shapeId="3178" r:id="rId61"/>
      </mc:Fallback>
    </mc:AlternateContent>
    <mc:AlternateContent xmlns:mc="http://schemas.openxmlformats.org/markup-compatibility/2006">
      <mc:Choice Requires="x14">
        <oleObject progId="Equation.3" shapeId="3188" r:id="rId63">
          <objectPr defaultSize="0" autoPict="0" r:id="rId64">
            <anchor moveWithCells="1">
              <from>
                <xdr:col>19</xdr:col>
                <xdr:colOff>0</xdr:colOff>
                <xdr:row>1053</xdr:row>
                <xdr:rowOff>28575</xdr:rowOff>
              </from>
              <to>
                <xdr:col>32</xdr:col>
                <xdr:colOff>381000</xdr:colOff>
                <xdr:row>1056</xdr:row>
                <xdr:rowOff>28575</xdr:rowOff>
              </to>
            </anchor>
          </objectPr>
        </oleObject>
      </mc:Choice>
      <mc:Fallback>
        <oleObject progId="Equation.3" shapeId="3188" r:id="rId63"/>
      </mc:Fallback>
    </mc:AlternateContent>
    <mc:AlternateContent xmlns:mc="http://schemas.openxmlformats.org/markup-compatibility/2006">
      <mc:Choice Requires="x14">
        <oleObject progId="Equation.3" shapeId="3192" r:id="rId65">
          <objectPr defaultSize="0" autoPict="0" r:id="rId66">
            <anchor moveWithCells="1">
              <from>
                <xdr:col>21</xdr:col>
                <xdr:colOff>28575</xdr:colOff>
                <xdr:row>1022</xdr:row>
                <xdr:rowOff>47625</xdr:rowOff>
              </from>
              <to>
                <xdr:col>32</xdr:col>
                <xdr:colOff>238125</xdr:colOff>
                <xdr:row>1024</xdr:row>
                <xdr:rowOff>114300</xdr:rowOff>
              </to>
            </anchor>
          </objectPr>
        </oleObject>
      </mc:Choice>
      <mc:Fallback>
        <oleObject progId="Equation.3" shapeId="3192" r:id="rId65"/>
      </mc:Fallback>
    </mc:AlternateContent>
    <mc:AlternateContent xmlns:mc="http://schemas.openxmlformats.org/markup-compatibility/2006">
      <mc:Choice Requires="x14">
        <oleObject progId="Equation.3" shapeId="3220" r:id="rId67">
          <objectPr defaultSize="0" autoPict="0" r:id="rId68">
            <anchor moveWithCells="1">
              <from>
                <xdr:col>33</xdr:col>
                <xdr:colOff>0</xdr:colOff>
                <xdr:row>1017</xdr:row>
                <xdr:rowOff>28575</xdr:rowOff>
              </from>
              <to>
                <xdr:col>36</xdr:col>
                <xdr:colOff>152400</xdr:colOff>
                <xdr:row>1020</xdr:row>
                <xdr:rowOff>28575</xdr:rowOff>
              </to>
            </anchor>
          </objectPr>
        </oleObject>
      </mc:Choice>
      <mc:Fallback>
        <oleObject progId="Equation.3" shapeId="3220" r:id="rId67"/>
      </mc:Fallback>
    </mc:AlternateContent>
    <mc:AlternateContent xmlns:mc="http://schemas.openxmlformats.org/markup-compatibility/2006">
      <mc:Choice Requires="x14">
        <oleObject progId="Equation.3" shapeId="3222" r:id="rId69">
          <objectPr defaultSize="0" autoPict="0" r:id="rId70">
            <anchor moveWithCells="1">
              <from>
                <xdr:col>33</xdr:col>
                <xdr:colOff>0</xdr:colOff>
                <xdr:row>1014</xdr:row>
                <xdr:rowOff>0</xdr:rowOff>
              </from>
              <to>
                <xdr:col>36</xdr:col>
                <xdr:colOff>638175</xdr:colOff>
                <xdr:row>1017</xdr:row>
                <xdr:rowOff>0</xdr:rowOff>
              </to>
            </anchor>
          </objectPr>
        </oleObject>
      </mc:Choice>
      <mc:Fallback>
        <oleObject progId="Equation.3" shapeId="3222" r:id="rId69"/>
      </mc:Fallback>
    </mc:AlternateContent>
    <mc:AlternateContent xmlns:mc="http://schemas.openxmlformats.org/markup-compatibility/2006">
      <mc:Choice Requires="x14">
        <oleObject progId="Equation.3" shapeId="3223" r:id="rId71">
          <objectPr defaultSize="0" autoPict="0" r:id="rId72">
            <anchor moveWithCells="1">
              <from>
                <xdr:col>33</xdr:col>
                <xdr:colOff>0</xdr:colOff>
                <xdr:row>1020</xdr:row>
                <xdr:rowOff>38100</xdr:rowOff>
              </from>
              <to>
                <xdr:col>35</xdr:col>
                <xdr:colOff>123825</xdr:colOff>
                <xdr:row>1023</xdr:row>
                <xdr:rowOff>38100</xdr:rowOff>
              </to>
            </anchor>
          </objectPr>
        </oleObject>
      </mc:Choice>
      <mc:Fallback>
        <oleObject progId="Equation.3" shapeId="3223" r:id="rId71"/>
      </mc:Fallback>
    </mc:AlternateContent>
    <mc:AlternateContent xmlns:mc="http://schemas.openxmlformats.org/markup-compatibility/2006">
      <mc:Choice Requires="x14">
        <oleObject progId="Equation.3" shapeId="3225" r:id="rId73">
          <objectPr defaultSize="0" autoPict="0" r:id="rId74">
            <anchor moveWithCells="1">
              <from>
                <xdr:col>33</xdr:col>
                <xdr:colOff>0</xdr:colOff>
                <xdr:row>1023</xdr:row>
                <xdr:rowOff>66675</xdr:rowOff>
              </from>
              <to>
                <xdr:col>36</xdr:col>
                <xdr:colOff>47625</xdr:colOff>
                <xdr:row>1026</xdr:row>
                <xdr:rowOff>66675</xdr:rowOff>
              </to>
            </anchor>
          </objectPr>
        </oleObject>
      </mc:Choice>
      <mc:Fallback>
        <oleObject progId="Equation.3" shapeId="3225" r:id="rId73"/>
      </mc:Fallback>
    </mc:AlternateContent>
    <mc:AlternateContent xmlns:mc="http://schemas.openxmlformats.org/markup-compatibility/2006">
      <mc:Choice Requires="x14">
        <oleObject progId="Equation.3" shapeId="3281" r:id="rId75">
          <objectPr defaultSize="0" autoPict="0" r:id="rId76">
            <anchor moveWithCells="1">
              <from>
                <xdr:col>19</xdr:col>
                <xdr:colOff>0</xdr:colOff>
                <xdr:row>1048</xdr:row>
                <xdr:rowOff>28575</xdr:rowOff>
              </from>
              <to>
                <xdr:col>34</xdr:col>
                <xdr:colOff>314325</xdr:colOff>
                <xdr:row>1051</xdr:row>
                <xdr:rowOff>76200</xdr:rowOff>
              </to>
            </anchor>
          </objectPr>
        </oleObject>
      </mc:Choice>
      <mc:Fallback>
        <oleObject progId="Equation.3" shapeId="3281" r:id="rId7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82E6-0EC0-2943-A553-339318FFFE97}">
  <sheetPr codeName="Feuil8">
    <pageSetUpPr fitToPage="1"/>
  </sheetPr>
  <dimension ref="A1:M79"/>
  <sheetViews>
    <sheetView showGridLines="0" workbookViewId="0">
      <selection activeCell="B80" sqref="B80"/>
    </sheetView>
  </sheetViews>
  <sheetFormatPr baseColWidth="10" defaultRowHeight="12.75" x14ac:dyDescent="0.2"/>
  <cols>
    <col min="1" max="1" width="2.140625" customWidth="1"/>
    <col min="2" max="2" width="16.42578125" customWidth="1"/>
    <col min="3" max="4" width="11.42578125" customWidth="1"/>
  </cols>
  <sheetData>
    <row r="1" spans="1:13" x14ac:dyDescent="0.2">
      <c r="A1" s="51"/>
      <c r="B1" s="52"/>
      <c r="C1" s="53"/>
      <c r="D1" s="52"/>
      <c r="E1" s="72"/>
      <c r="F1" s="72"/>
      <c r="G1" s="72"/>
      <c r="H1" s="72"/>
      <c r="I1" s="72"/>
      <c r="J1" s="72"/>
      <c r="K1" s="72"/>
      <c r="L1" s="72"/>
      <c r="M1" s="73"/>
    </row>
    <row r="2" spans="1:13" ht="12.75" customHeight="1" x14ac:dyDescent="0.2">
      <c r="A2" s="56"/>
      <c r="B2" s="2"/>
      <c r="C2" s="625" t="s">
        <v>284</v>
      </c>
      <c r="D2" s="625"/>
      <c r="M2" s="75"/>
    </row>
    <row r="3" spans="1:13" ht="12.75" customHeight="1" x14ac:dyDescent="0.2">
      <c r="A3" s="56"/>
      <c r="B3" s="2"/>
      <c r="C3" s="625"/>
      <c r="D3" s="625"/>
      <c r="M3" s="75"/>
    </row>
    <row r="4" spans="1:13" x14ac:dyDescent="0.2">
      <c r="A4" s="56"/>
      <c r="B4" s="2"/>
      <c r="C4" s="628" t="str">
        <f>IF(Lang="Français","Abaques de performance",IF(Lang="English","Performance charts",""))</f>
        <v>Abaques de performance</v>
      </c>
      <c r="D4" s="628"/>
      <c r="M4" s="75"/>
    </row>
    <row r="5" spans="1:13" x14ac:dyDescent="0.2">
      <c r="A5" s="56"/>
      <c r="B5" s="2"/>
      <c r="C5" s="628" t="str">
        <f>IF(Lang="Français","Calcul analytique simple",IF(Lang="English","Analytical computation",""))</f>
        <v>Calcul analytique simple</v>
      </c>
      <c r="D5" s="628"/>
      <c r="M5" s="75"/>
    </row>
    <row r="6" spans="1:13" x14ac:dyDescent="0.2">
      <c r="A6" s="56"/>
      <c r="B6" s="87"/>
      <c r="C6" s="1"/>
      <c r="D6" s="1"/>
      <c r="M6" s="75"/>
    </row>
    <row r="7" spans="1:13" x14ac:dyDescent="0.2">
      <c r="A7" s="59"/>
      <c r="B7" s="6"/>
      <c r="C7" s="607" t="str">
        <f>IF(Lang="Français","Fusée",IF(Lang="English","Rocket",""))</f>
        <v>Fusée</v>
      </c>
      <c r="D7" s="607"/>
      <c r="M7" s="75"/>
    </row>
    <row r="8" spans="1:13" ht="15.75" x14ac:dyDescent="0.25">
      <c r="A8" s="59"/>
      <c r="B8" s="140" t="str">
        <f>IF(Lang="Français","Nom",IF(Lang="English","Name",""))</f>
        <v>Nom</v>
      </c>
      <c r="C8" s="626" t="str">
        <f>Nom</f>
        <v>SP-02-beta</v>
      </c>
      <c r="D8" s="626"/>
      <c r="M8" s="75"/>
    </row>
    <row r="9" spans="1:13" ht="15.75" x14ac:dyDescent="0.25">
      <c r="A9" s="59"/>
      <c r="B9" s="140" t="s">
        <v>4</v>
      </c>
      <c r="C9" s="626" t="str">
        <f>Club</f>
        <v>l'AéroIPSA</v>
      </c>
      <c r="D9" s="626"/>
      <c r="M9" s="75"/>
    </row>
    <row r="10" spans="1:13" x14ac:dyDescent="0.2">
      <c r="A10" s="59"/>
      <c r="B10" s="140" t="str">
        <f>IF(Lang="Français","Masse sans propu",IF(Lang="English","Mass without M",""))</f>
        <v>Masse sans propu</v>
      </c>
      <c r="C10" s="654">
        <f>MasseSans</f>
        <v>2</v>
      </c>
      <c r="D10" s="654"/>
      <c r="M10" s="75"/>
    </row>
    <row r="11" spans="1:13" x14ac:dyDescent="0.2">
      <c r="A11" s="59"/>
      <c r="B11" s="140" t="str">
        <f>IF(Lang="Français","Masse totale",IF(Lang="English","Total mass",""))</f>
        <v>Masse totale</v>
      </c>
      <c r="C11" s="657" t="str">
        <f ca="1">MassePlein &amp; " kg ±" &amp; MasseSans &amp; " kg"</f>
        <v>2,1599 kg ±2 kg</v>
      </c>
      <c r="D11" s="657"/>
      <c r="M11" s="75"/>
    </row>
    <row r="12" spans="1:13" x14ac:dyDescent="0.2">
      <c r="A12" s="59"/>
      <c r="B12" s="227" t="str">
        <f>IF(Lang="Français","Propulseur",IF(Lang="English","Motor",""))</f>
        <v>Propulseur</v>
      </c>
      <c r="C12" s="605" t="str">
        <f>Propu</f>
        <v>Pandora</v>
      </c>
      <c r="D12" s="606"/>
      <c r="M12" s="75"/>
    </row>
    <row r="13" spans="1:13" x14ac:dyDescent="0.2">
      <c r="A13" s="59"/>
      <c r="B13" s="1"/>
      <c r="C13" s="1"/>
      <c r="D13" s="1"/>
      <c r="M13" s="75"/>
    </row>
    <row r="14" spans="1:13" x14ac:dyDescent="0.2">
      <c r="A14" s="74"/>
      <c r="C14" s="607" t="str">
        <f>IF(Lang="Français","Traînée Aérdynamique",IF(Lang="English","Drag",""))</f>
        <v>Traînée Aérdynamique</v>
      </c>
      <c r="D14" s="607"/>
      <c r="M14" s="75"/>
    </row>
    <row r="15" spans="1:13" x14ac:dyDescent="0.2">
      <c r="A15" s="74"/>
      <c r="B15" s="139" t="str">
        <f>IF(Lang="Français","Diamètre Ø",IF(Lang="English","Diameter Ø",""))</f>
        <v>Diamètre Ø</v>
      </c>
      <c r="C15" s="655">
        <f>D_ref</f>
        <v>84</v>
      </c>
      <c r="D15" s="655"/>
      <c r="M15" s="75"/>
    </row>
    <row r="16" spans="1:13" x14ac:dyDescent="0.2">
      <c r="A16" s="74"/>
      <c r="B16" s="140" t="s">
        <v>5</v>
      </c>
      <c r="C16" s="656">
        <f>Cx</f>
        <v>0.6</v>
      </c>
      <c r="D16" s="656"/>
      <c r="M16" s="75"/>
    </row>
    <row r="17" spans="1:13" x14ac:dyDescent="0.2">
      <c r="A17" s="74"/>
      <c r="M17" s="75"/>
    </row>
    <row r="18" spans="1:13" x14ac:dyDescent="0.2">
      <c r="A18" s="74"/>
      <c r="M18" s="75"/>
    </row>
    <row r="19" spans="1:13" x14ac:dyDescent="0.2">
      <c r="A19" s="74"/>
      <c r="M19" s="75"/>
    </row>
    <row r="20" spans="1:13" x14ac:dyDescent="0.2">
      <c r="A20" s="74"/>
      <c r="M20" s="75"/>
    </row>
    <row r="21" spans="1:13" x14ac:dyDescent="0.2">
      <c r="A21" s="74"/>
      <c r="M21" s="75"/>
    </row>
    <row r="22" spans="1:13" x14ac:dyDescent="0.2">
      <c r="A22" s="74"/>
      <c r="M22" s="75"/>
    </row>
    <row r="23" spans="1:13" x14ac:dyDescent="0.2">
      <c r="A23" s="74"/>
      <c r="M23" s="75"/>
    </row>
    <row r="24" spans="1:13" x14ac:dyDescent="0.2">
      <c r="A24" s="74"/>
      <c r="M24" s="75"/>
    </row>
    <row r="25" spans="1:13" x14ac:dyDescent="0.2">
      <c r="A25" s="74"/>
      <c r="M25" s="75"/>
    </row>
    <row r="26" spans="1:13" x14ac:dyDescent="0.2">
      <c r="A26" s="74"/>
      <c r="M26" s="75"/>
    </row>
    <row r="27" spans="1:13" x14ac:dyDescent="0.2">
      <c r="A27" s="74"/>
      <c r="M27" s="75"/>
    </row>
    <row r="28" spans="1:13" x14ac:dyDescent="0.2">
      <c r="A28" s="74"/>
      <c r="M28" s="75"/>
    </row>
    <row r="29" spans="1:13" x14ac:dyDescent="0.2">
      <c r="A29" s="74"/>
      <c r="M29" s="75"/>
    </row>
    <row r="30" spans="1:13" x14ac:dyDescent="0.2">
      <c r="A30" s="74"/>
      <c r="M30" s="75"/>
    </row>
    <row r="31" spans="1:13" x14ac:dyDescent="0.2">
      <c r="A31" s="74"/>
      <c r="M31" s="75"/>
    </row>
    <row r="32" spans="1:13" x14ac:dyDescent="0.2">
      <c r="A32" s="74"/>
      <c r="M32" s="75"/>
    </row>
    <row r="33" spans="1:13" x14ac:dyDescent="0.2">
      <c r="A33" s="74"/>
      <c r="M33" s="75"/>
    </row>
    <row r="34" spans="1:13" x14ac:dyDescent="0.2">
      <c r="A34" s="74"/>
      <c r="M34" s="75"/>
    </row>
    <row r="35" spans="1:13" ht="13.5" thickBot="1" x14ac:dyDescent="0.25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9"/>
    </row>
    <row r="39" spans="1:13" x14ac:dyDescent="0.2">
      <c r="B39" s="419" t="s">
        <v>64</v>
      </c>
      <c r="C39" s="170" t="s">
        <v>288</v>
      </c>
      <c r="D39" s="134" t="s">
        <v>285</v>
      </c>
      <c r="E39" s="134" t="s">
        <v>289</v>
      </c>
      <c r="F39" s="134" t="s">
        <v>290</v>
      </c>
      <c r="G39" s="134" t="s">
        <v>13</v>
      </c>
      <c r="H39" s="134" t="s">
        <v>286</v>
      </c>
      <c r="I39" s="134" t="s">
        <v>287</v>
      </c>
      <c r="J39" s="134" t="s">
        <v>302</v>
      </c>
      <c r="K39" s="134" t="s">
        <v>303</v>
      </c>
      <c r="L39" s="134" t="s">
        <v>305</v>
      </c>
      <c r="M39" s="134" t="s">
        <v>293</v>
      </c>
    </row>
    <row r="40" spans="1:13" x14ac:dyDescent="0.2">
      <c r="B40" s="420" t="s">
        <v>294</v>
      </c>
      <c r="C40" s="170" t="s">
        <v>295</v>
      </c>
      <c r="D40" s="134" t="s">
        <v>296</v>
      </c>
      <c r="E40" s="134" t="s">
        <v>297</v>
      </c>
      <c r="F40" s="134" t="s">
        <v>298</v>
      </c>
      <c r="G40" s="134" t="s">
        <v>299</v>
      </c>
      <c r="H40" s="134" t="s">
        <v>300</v>
      </c>
      <c r="I40" s="134" t="s">
        <v>301</v>
      </c>
      <c r="J40" s="134" t="s">
        <v>291</v>
      </c>
      <c r="K40" s="134" t="s">
        <v>292</v>
      </c>
      <c r="L40" s="134"/>
      <c r="M40" s="134"/>
    </row>
    <row r="41" spans="1:13" x14ac:dyDescent="0.2">
      <c r="B41" s="425">
        <f t="shared" ref="B41:B49" ca="1" si="0">MAX(D_ref*0.5, Diam_propu)</f>
        <v>42</v>
      </c>
      <c r="C41" s="403">
        <f t="shared" ref="C41:C67" ca="1" si="1">1/2*Rho_moyen*PI()*D_var^2/4*Cx/10^6</f>
        <v>5.0915006738566377E-4</v>
      </c>
      <c r="D41" s="400">
        <f ca="1">MpropuPlein+0*MasseSans</f>
        <v>0.15989999999999999</v>
      </c>
      <c r="E41" s="400">
        <f t="shared" ref="E41:E67" ca="1" si="2">m_var - 0.5*m_poudre</f>
        <v>0.12209999999999999</v>
      </c>
      <c r="F41" s="400">
        <f t="shared" ref="F41:F67" ca="1" si="3">m_var - m_poudre</f>
        <v>8.43E-2</v>
      </c>
      <c r="G41" s="407">
        <f t="shared" ref="G41:G67" ca="1" si="4">MAX(0, (I_total/Temps_fin_propu)/m_prop-g)</f>
        <v>573.48238329238336</v>
      </c>
      <c r="H41" s="406">
        <f t="shared" ref="H41:H67" ca="1" si="5">Q_var/m_prop</f>
        <v>4.1699432218318087E-3</v>
      </c>
      <c r="I41" s="403">
        <f t="shared" ref="I41:I67" ca="1" si="6">Q_var/m_bal</f>
        <v>6.0397398266389532E-3</v>
      </c>
      <c r="J41" s="403">
        <f t="shared" ref="J41:J67" ca="1" si="7">1/(2*b_prop)*LN(  ((EXP(2*SQRT(a_prop*b_prop)*Temps_fin_propu)+1)^2)  /  (((1+1)^2)*EXP(2*SQRT(a_prop*b_prop)*Temps_fin_propu)))</f>
        <v>575.96294147993024</v>
      </c>
      <c r="K41" s="410">
        <f t="shared" ref="K41:K67" ca="1" si="8">SQRT(a_prop/b_prop)  *  (EXP(2*SQRT(a_prop*b_prop)*Temps_fin_propu)-1)/(EXP(2*SQRT(a_prop*b_prop)*Temps_fin_propu)+1)</f>
        <v>369.32332981562001</v>
      </c>
      <c r="L41" s="413">
        <f t="shared" ref="L41:L67" ca="1" si="9">alt_prop + 1/(2*b_bal) * LN(1+b_bal/g*V_prop^2)</f>
        <v>943.72596711044525</v>
      </c>
      <c r="M41" s="416">
        <f t="shared" ref="M41:M67" ca="1" si="10">Temps_fin_propu + ATAN(SQRT(b_bal/g)*V_prop)/SQRT(b_bal*g)</f>
        <v>8.0066772056142064</v>
      </c>
    </row>
    <row r="42" spans="1:13" x14ac:dyDescent="0.2">
      <c r="B42" s="426">
        <f t="shared" ca="1" si="0"/>
        <v>42</v>
      </c>
      <c r="C42" s="404">
        <f t="shared" ca="1" si="1"/>
        <v>5.0915006738566377E-4</v>
      </c>
      <c r="D42" s="401">
        <f ca="1">MpropuPlein+0.25*MasseSans</f>
        <v>0.65989999999999993</v>
      </c>
      <c r="E42" s="401">
        <f t="shared" ca="1" si="2"/>
        <v>0.62209999999999999</v>
      </c>
      <c r="F42" s="401">
        <f t="shared" ca="1" si="3"/>
        <v>0.58429999999999993</v>
      </c>
      <c r="G42" s="408">
        <f t="shared" ca="1" si="4"/>
        <v>104.67320205754702</v>
      </c>
      <c r="H42" s="404">
        <f t="shared" ca="1" si="5"/>
        <v>8.1843765855274682E-4</v>
      </c>
      <c r="I42" s="404">
        <f t="shared" ca="1" si="6"/>
        <v>8.7138467805179505E-4</v>
      </c>
      <c r="J42" s="404">
        <f t="shared" ca="1" si="7"/>
        <v>198.38036865259662</v>
      </c>
      <c r="K42" s="411">
        <f t="shared" ca="1" si="8"/>
        <v>188.31237505423155</v>
      </c>
      <c r="L42" s="414">
        <f t="shared" ca="1" si="9"/>
        <v>1014.9471139306377</v>
      </c>
      <c r="M42" s="417">
        <f t="shared" ca="1" si="10"/>
        <v>13.439814617314953</v>
      </c>
    </row>
    <row r="43" spans="1:13" x14ac:dyDescent="0.2">
      <c r="B43" s="426">
        <f t="shared" ca="1" si="0"/>
        <v>42</v>
      </c>
      <c r="C43" s="404">
        <f t="shared" ca="1" si="1"/>
        <v>5.0915006738566377E-4</v>
      </c>
      <c r="D43" s="401">
        <f ca="1">MpropuPlein+0.5*MasseSans</f>
        <v>1.1598999999999999</v>
      </c>
      <c r="E43" s="401">
        <f t="shared" ca="1" si="2"/>
        <v>1.1220999999999999</v>
      </c>
      <c r="F43" s="401">
        <f t="shared" ca="1" si="3"/>
        <v>1.0843</v>
      </c>
      <c r="G43" s="408">
        <f t="shared" ca="1" si="4"/>
        <v>53.660278941270832</v>
      </c>
      <c r="H43" s="404">
        <f t="shared" ca="1" si="5"/>
        <v>4.537474978929363E-4</v>
      </c>
      <c r="I43" s="404">
        <f t="shared" ca="1" si="6"/>
        <v>4.6956568051799663E-4</v>
      </c>
      <c r="J43" s="404">
        <f t="shared" ca="1" si="7"/>
        <v>105.62246162545553</v>
      </c>
      <c r="K43" s="411">
        <f t="shared" ca="1" si="8"/>
        <v>103.96705478380838</v>
      </c>
      <c r="L43" s="414">
        <f t="shared" ca="1" si="9"/>
        <v>549.64168321118893</v>
      </c>
      <c r="M43" s="417">
        <f t="shared" ca="1" si="10"/>
        <v>11.18747970514177</v>
      </c>
    </row>
    <row r="44" spans="1:13" x14ac:dyDescent="0.2">
      <c r="B44" s="426">
        <f t="shared" ca="1" si="0"/>
        <v>42</v>
      </c>
      <c r="C44" s="404">
        <f t="shared" ca="1" si="1"/>
        <v>5.0915006738566377E-4</v>
      </c>
      <c r="D44" s="401">
        <f ca="1">MpropuPlein+0.75*MasseSans</f>
        <v>1.6598999999999999</v>
      </c>
      <c r="E44" s="401">
        <f t="shared" ca="1" si="2"/>
        <v>1.6220999999999999</v>
      </c>
      <c r="F44" s="401">
        <f t="shared" ca="1" si="3"/>
        <v>1.5843</v>
      </c>
      <c r="G44" s="408">
        <f t="shared" ca="1" si="4"/>
        <v>34.096047715923802</v>
      </c>
      <c r="H44" s="404">
        <f t="shared" ca="1" si="5"/>
        <v>3.1388327932042648E-4</v>
      </c>
      <c r="I44" s="404">
        <f t="shared" ca="1" si="6"/>
        <v>3.2137225739169585E-4</v>
      </c>
      <c r="J44" s="404">
        <f t="shared" ca="1" si="7"/>
        <v>67.711042349294615</v>
      </c>
      <c r="K44" s="411">
        <f t="shared" ca="1" si="8"/>
        <v>67.235401986282767</v>
      </c>
      <c r="L44" s="414">
        <f t="shared" ca="1" si="9"/>
        <v>282.57488997604128</v>
      </c>
      <c r="M44" s="417">
        <f t="shared" ca="1" si="10"/>
        <v>8.5426392177703043</v>
      </c>
    </row>
    <row r="45" spans="1:13" x14ac:dyDescent="0.2">
      <c r="B45" s="426">
        <f t="shared" ca="1" si="0"/>
        <v>42</v>
      </c>
      <c r="C45" s="404">
        <f t="shared" ca="1" si="1"/>
        <v>5.0915006738566377E-4</v>
      </c>
      <c r="D45" s="401">
        <f ca="1">MpropuPlein+1*MasseSans</f>
        <v>2.1598999999999999</v>
      </c>
      <c r="E45" s="401">
        <f t="shared" ca="1" si="2"/>
        <v>2.1221000000000001</v>
      </c>
      <c r="F45" s="401">
        <f t="shared" ca="1" si="3"/>
        <v>2.0842999999999998</v>
      </c>
      <c r="G45" s="408">
        <f t="shared" ca="1" si="4"/>
        <v>23.751095141605006</v>
      </c>
      <c r="H45" s="404">
        <f t="shared" ca="1" si="5"/>
        <v>2.3992746212980715E-4</v>
      </c>
      <c r="I45" s="404">
        <f t="shared" ca="1" si="6"/>
        <v>2.442786870343347E-4</v>
      </c>
      <c r="J45" s="404">
        <f t="shared" ca="1" si="7"/>
        <v>47.322817589966647</v>
      </c>
      <c r="K45" s="411">
        <f t="shared" ca="1" si="8"/>
        <v>47.144526810991444</v>
      </c>
      <c r="L45" s="414">
        <f t="shared" ca="1" si="9"/>
        <v>157.58175525703729</v>
      </c>
      <c r="M45" s="417">
        <f t="shared" ca="1" si="10"/>
        <v>6.7199362021103459</v>
      </c>
    </row>
    <row r="46" spans="1:13" x14ac:dyDescent="0.2">
      <c r="B46" s="426">
        <f t="shared" ca="1" si="0"/>
        <v>42</v>
      </c>
      <c r="C46" s="404">
        <f t="shared" ca="1" si="1"/>
        <v>5.0915006738566377E-4</v>
      </c>
      <c r="D46" s="401">
        <f ca="1">MpropuPlein+1.25*MasseSans</f>
        <v>2.6598999999999999</v>
      </c>
      <c r="E46" s="401">
        <f t="shared" ca="1" si="2"/>
        <v>2.6221000000000001</v>
      </c>
      <c r="F46" s="401">
        <f t="shared" ca="1" si="3"/>
        <v>2.5842999999999998</v>
      </c>
      <c r="G46" s="408">
        <f t="shared" ca="1" si="4"/>
        <v>17.351435490637272</v>
      </c>
      <c r="H46" s="404">
        <f t="shared" ca="1" si="5"/>
        <v>1.9417644917648592E-4</v>
      </c>
      <c r="I46" s="404">
        <f t="shared" ca="1" si="6"/>
        <v>1.9701662631492622E-4</v>
      </c>
      <c r="J46" s="404">
        <f t="shared" ca="1" si="7"/>
        <v>34.625201771067601</v>
      </c>
      <c r="K46" s="411">
        <f t="shared" ca="1" si="8"/>
        <v>34.547810418237169</v>
      </c>
      <c r="L46" s="414">
        <f t="shared" ca="1" si="9"/>
        <v>94.740942374604415</v>
      </c>
      <c r="M46" s="417">
        <f t="shared" ca="1" si="10"/>
        <v>5.4939523334184841</v>
      </c>
    </row>
    <row r="47" spans="1:13" x14ac:dyDescent="0.2">
      <c r="B47" s="426">
        <f t="shared" ca="1" si="0"/>
        <v>42</v>
      </c>
      <c r="C47" s="404">
        <f t="shared" ca="1" si="1"/>
        <v>5.0915006738566377E-4</v>
      </c>
      <c r="D47" s="401">
        <f ca="1">MpropuPlein+1.5*MasseSans</f>
        <v>3.1598999999999999</v>
      </c>
      <c r="E47" s="401">
        <f t="shared" ca="1" si="2"/>
        <v>3.1221000000000001</v>
      </c>
      <c r="F47" s="401">
        <f t="shared" ca="1" si="3"/>
        <v>3.0842999999999998</v>
      </c>
      <c r="G47" s="408">
        <f t="shared" ca="1" si="4"/>
        <v>13.001569136158354</v>
      </c>
      <c r="H47" s="404">
        <f t="shared" ca="1" si="5"/>
        <v>1.6307935920875812E-4</v>
      </c>
      <c r="I47" s="404">
        <f t="shared" ca="1" si="6"/>
        <v>1.6507799740157048E-4</v>
      </c>
      <c r="J47" s="404">
        <f t="shared" ca="1" si="7"/>
        <v>25.966465100790209</v>
      </c>
      <c r="K47" s="411">
        <f t="shared" ca="1" si="8"/>
        <v>25.929874632007298</v>
      </c>
      <c r="L47" s="414">
        <f t="shared" ca="1" si="9"/>
        <v>60.043084504181103</v>
      </c>
      <c r="M47" s="417">
        <f t="shared" ca="1" si="10"/>
        <v>4.6333070210393519</v>
      </c>
    </row>
    <row r="48" spans="1:13" x14ac:dyDescent="0.2">
      <c r="B48" s="426">
        <f t="shared" ca="1" si="0"/>
        <v>42</v>
      </c>
      <c r="C48" s="404">
        <f t="shared" ca="1" si="1"/>
        <v>5.0915006738566377E-4</v>
      </c>
      <c r="D48" s="401">
        <f ca="1">MpropuPlein+1.75*MasseSans</f>
        <v>3.6598999999999999</v>
      </c>
      <c r="E48" s="401">
        <f t="shared" ca="1" si="2"/>
        <v>3.6221000000000001</v>
      </c>
      <c r="F48" s="401">
        <f t="shared" ca="1" si="3"/>
        <v>3.5842999999999998</v>
      </c>
      <c r="G48" s="408">
        <f t="shared" ca="1" si="4"/>
        <v>9.8526266530465723</v>
      </c>
      <c r="H48" s="404">
        <f t="shared" ca="1" si="5"/>
        <v>1.4056764511903696E-4</v>
      </c>
      <c r="I48" s="404">
        <f t="shared" ca="1" si="6"/>
        <v>1.4205007041421305E-4</v>
      </c>
      <c r="J48" s="404">
        <f t="shared" ca="1" si="7"/>
        <v>19.68708614014043</v>
      </c>
      <c r="K48" s="411">
        <f t="shared" ca="1" si="8"/>
        <v>19.668945761861998</v>
      </c>
      <c r="L48" s="414">
        <f t="shared" ca="1" si="9"/>
        <v>39.350076087568105</v>
      </c>
      <c r="M48" s="417">
        <f t="shared" ca="1" si="10"/>
        <v>4.0012579976740987</v>
      </c>
    </row>
    <row r="49" spans="2:13" x14ac:dyDescent="0.2">
      <c r="B49" s="427">
        <f t="shared" ca="1" si="0"/>
        <v>42</v>
      </c>
      <c r="C49" s="405">
        <f t="shared" ca="1" si="1"/>
        <v>5.0915006738566377E-4</v>
      </c>
      <c r="D49" s="402">
        <f ca="1">MpropuPlein+2*MasseSans</f>
        <v>4.1599000000000004</v>
      </c>
      <c r="E49" s="402">
        <f t="shared" ca="1" si="2"/>
        <v>4.1221000000000005</v>
      </c>
      <c r="F49" s="402">
        <f t="shared" ca="1" si="3"/>
        <v>4.0843000000000007</v>
      </c>
      <c r="G49" s="409">
        <f t="shared" ca="1" si="4"/>
        <v>7.4676012226777591</v>
      </c>
      <c r="H49" s="405">
        <f t="shared" ca="1" si="5"/>
        <v>1.2351715566960133E-4</v>
      </c>
      <c r="I49" s="405">
        <f t="shared" ca="1" si="6"/>
        <v>1.2466030100278229E-4</v>
      </c>
      <c r="J49" s="405">
        <f t="shared" ca="1" si="7"/>
        <v>14.926027547571334</v>
      </c>
      <c r="K49" s="412">
        <f t="shared" ca="1" si="8"/>
        <v>14.916861665357372</v>
      </c>
      <c r="L49" s="415">
        <f t="shared" ca="1" si="9"/>
        <v>26.251143142348923</v>
      </c>
      <c r="M49" s="418">
        <f t="shared" ca="1" si="10"/>
        <v>3.5191463767886049</v>
      </c>
    </row>
    <row r="50" spans="2:13" x14ac:dyDescent="0.2">
      <c r="B50" s="425">
        <f t="shared" ref="B50:B58" si="11">D_ref</f>
        <v>84</v>
      </c>
      <c r="C50" s="403">
        <f t="shared" si="1"/>
        <v>2.0366002695426551E-3</v>
      </c>
      <c r="D50" s="400">
        <f ca="1">MpropuPlein+0*MasseSans</f>
        <v>0.15989999999999999</v>
      </c>
      <c r="E50" s="400">
        <f t="shared" ca="1" si="2"/>
        <v>0.12209999999999999</v>
      </c>
      <c r="F50" s="400">
        <f t="shared" ca="1" si="3"/>
        <v>8.43E-2</v>
      </c>
      <c r="G50" s="407">
        <f t="shared" ca="1" si="4"/>
        <v>573.48238329238336</v>
      </c>
      <c r="H50" s="403">
        <f t="shared" ca="1" si="5"/>
        <v>1.6679772887327235E-2</v>
      </c>
      <c r="I50" s="403">
        <f t="shared" ca="1" si="6"/>
        <v>2.4158959306555813E-2</v>
      </c>
      <c r="J50" s="403">
        <f t="shared" ca="1" si="7"/>
        <v>329.29127253077786</v>
      </c>
      <c r="K50" s="410">
        <f t="shared" ca="1" si="8"/>
        <v>185.42201346176171</v>
      </c>
      <c r="L50" s="413">
        <f t="shared" ca="1" si="9"/>
        <v>421.40012018928473</v>
      </c>
      <c r="M50" s="416">
        <f t="shared" ca="1" si="10"/>
        <v>5.004247001248757</v>
      </c>
    </row>
    <row r="51" spans="2:13" x14ac:dyDescent="0.2">
      <c r="B51" s="426">
        <f t="shared" si="11"/>
        <v>84</v>
      </c>
      <c r="C51" s="404">
        <f t="shared" si="1"/>
        <v>2.0366002695426551E-3</v>
      </c>
      <c r="D51" s="401">
        <f ca="1">MpropuPlein+0.25*MasseSans</f>
        <v>0.65989999999999993</v>
      </c>
      <c r="E51" s="401">
        <f t="shared" ca="1" si="2"/>
        <v>0.62209999999999999</v>
      </c>
      <c r="F51" s="401">
        <f t="shared" ca="1" si="3"/>
        <v>0.58429999999999993</v>
      </c>
      <c r="G51" s="408">
        <f t="shared" ca="1" si="4"/>
        <v>104.67320205754702</v>
      </c>
      <c r="H51" s="404">
        <f t="shared" ca="1" si="5"/>
        <v>3.2737506342109873E-3</v>
      </c>
      <c r="I51" s="404">
        <f t="shared" ca="1" si="6"/>
        <v>3.4855387122071802E-3</v>
      </c>
      <c r="J51" s="404">
        <f t="shared" ca="1" si="7"/>
        <v>173.94464218756153</v>
      </c>
      <c r="K51" s="411">
        <f t="shared" ca="1" si="8"/>
        <v>147.4331274204857</v>
      </c>
      <c r="L51" s="414">
        <f t="shared" ca="1" si="9"/>
        <v>484.65320655400694</v>
      </c>
      <c r="M51" s="417">
        <f t="shared" ca="1" si="10"/>
        <v>8.6267939894833674</v>
      </c>
    </row>
    <row r="52" spans="2:13" x14ac:dyDescent="0.2">
      <c r="B52" s="426">
        <f t="shared" si="11"/>
        <v>84</v>
      </c>
      <c r="C52" s="404">
        <f t="shared" si="1"/>
        <v>2.0366002695426551E-3</v>
      </c>
      <c r="D52" s="401">
        <f ca="1">MpropuPlein+0.5*MasseSans</f>
        <v>1.1598999999999999</v>
      </c>
      <c r="E52" s="401">
        <f t="shared" ca="1" si="2"/>
        <v>1.1220999999999999</v>
      </c>
      <c r="F52" s="401">
        <f t="shared" ca="1" si="3"/>
        <v>1.0843</v>
      </c>
      <c r="G52" s="408">
        <f t="shared" ca="1" si="4"/>
        <v>53.660278941270832</v>
      </c>
      <c r="H52" s="404">
        <f t="shared" ca="1" si="5"/>
        <v>1.8149899915717452E-3</v>
      </c>
      <c r="I52" s="404">
        <f t="shared" ca="1" si="6"/>
        <v>1.8782627220719865E-3</v>
      </c>
      <c r="J52" s="404">
        <f t="shared" ca="1" si="7"/>
        <v>101.00022891847938</v>
      </c>
      <c r="K52" s="411">
        <f t="shared" ca="1" si="8"/>
        <v>95.26014511845662</v>
      </c>
      <c r="L52" s="414">
        <f t="shared" ca="1" si="9"/>
        <v>369.07326146043499</v>
      </c>
      <c r="M52" s="417">
        <f t="shared" ca="1" si="10"/>
        <v>8.7906872548356993</v>
      </c>
    </row>
    <row r="53" spans="2:13" x14ac:dyDescent="0.2">
      <c r="B53" s="426">
        <f t="shared" si="11"/>
        <v>84</v>
      </c>
      <c r="C53" s="404">
        <f t="shared" si="1"/>
        <v>2.0366002695426551E-3</v>
      </c>
      <c r="D53" s="401">
        <f ca="1">MpropuPlein+0.75*MasseSans</f>
        <v>1.6598999999999999</v>
      </c>
      <c r="E53" s="401">
        <f t="shared" ca="1" si="2"/>
        <v>1.6220999999999999</v>
      </c>
      <c r="F53" s="401">
        <f t="shared" ca="1" si="3"/>
        <v>1.5843</v>
      </c>
      <c r="G53" s="408">
        <f t="shared" ca="1" si="4"/>
        <v>34.096047715923802</v>
      </c>
      <c r="H53" s="404">
        <f t="shared" ca="1" si="5"/>
        <v>1.2555331172817059E-3</v>
      </c>
      <c r="I53" s="404">
        <f t="shared" ca="1" si="6"/>
        <v>1.2854890295667834E-3</v>
      </c>
      <c r="J53" s="404">
        <f t="shared" ca="1" si="7"/>
        <v>66.33044040849866</v>
      </c>
      <c r="K53" s="411">
        <f t="shared" ca="1" si="8"/>
        <v>64.549126658022971</v>
      </c>
      <c r="L53" s="414">
        <f t="shared" ca="1" si="9"/>
        <v>235.78375644386222</v>
      </c>
      <c r="M53" s="417">
        <f t="shared" ca="1" si="10"/>
        <v>7.6667873563863136</v>
      </c>
    </row>
    <row r="54" spans="2:13" x14ac:dyDescent="0.2">
      <c r="B54" s="426">
        <f t="shared" si="11"/>
        <v>84</v>
      </c>
      <c r="C54" s="404">
        <f t="shared" si="1"/>
        <v>2.0366002695426551E-3</v>
      </c>
      <c r="D54" s="401">
        <f ca="1">MpropuPlein+1*MasseSans</f>
        <v>2.1598999999999999</v>
      </c>
      <c r="E54" s="401">
        <f t="shared" ca="1" si="2"/>
        <v>2.1221000000000001</v>
      </c>
      <c r="F54" s="401">
        <f t="shared" ca="1" si="3"/>
        <v>2.0842999999999998</v>
      </c>
      <c r="G54" s="408">
        <f t="shared" ca="1" si="4"/>
        <v>23.751095141605006</v>
      </c>
      <c r="H54" s="404">
        <f t="shared" ca="1" si="5"/>
        <v>9.5970984851922862E-4</v>
      </c>
      <c r="I54" s="404">
        <f t="shared" ca="1" si="6"/>
        <v>9.7711474813733882E-4</v>
      </c>
      <c r="J54" s="404">
        <f t="shared" ca="1" si="7"/>
        <v>46.7974209370729</v>
      </c>
      <c r="K54" s="411">
        <f t="shared" ca="1" si="8"/>
        <v>46.109272254105221</v>
      </c>
      <c r="L54" s="414">
        <f t="shared" ca="1" si="9"/>
        <v>145.08553797439987</v>
      </c>
      <c r="M54" s="417">
        <f t="shared" ca="1" si="10"/>
        <v>6.4051259199413675</v>
      </c>
    </row>
    <row r="55" spans="2:13" x14ac:dyDescent="0.2">
      <c r="B55" s="426">
        <f t="shared" si="11"/>
        <v>84</v>
      </c>
      <c r="C55" s="404">
        <f t="shared" si="1"/>
        <v>2.0366002695426551E-3</v>
      </c>
      <c r="D55" s="401">
        <f ca="1">MpropuPlein+1.25*MasseSans</f>
        <v>2.6598999999999999</v>
      </c>
      <c r="E55" s="401">
        <f t="shared" ca="1" si="2"/>
        <v>2.6221000000000001</v>
      </c>
      <c r="F55" s="401">
        <f t="shared" ca="1" si="3"/>
        <v>2.5842999999999998</v>
      </c>
      <c r="G55" s="408">
        <f t="shared" ca="1" si="4"/>
        <v>17.351435490637272</v>
      </c>
      <c r="H55" s="404">
        <f t="shared" ca="1" si="5"/>
        <v>7.7670579670594366E-4</v>
      </c>
      <c r="I55" s="404">
        <f t="shared" ca="1" si="6"/>
        <v>7.8806650525970487E-4</v>
      </c>
      <c r="J55" s="404">
        <f t="shared" ca="1" si="7"/>
        <v>34.395488229482339</v>
      </c>
      <c r="K55" s="411">
        <f t="shared" ca="1" si="8"/>
        <v>34.09244468632113</v>
      </c>
      <c r="L55" s="414">
        <f t="shared" ca="1" si="9"/>
        <v>91.031075582634088</v>
      </c>
      <c r="M55" s="417">
        <f t="shared" ca="1" si="10"/>
        <v>5.3727945366526857</v>
      </c>
    </row>
    <row r="56" spans="2:13" x14ac:dyDescent="0.2">
      <c r="B56" s="426">
        <f t="shared" si="11"/>
        <v>84</v>
      </c>
      <c r="C56" s="404">
        <f t="shared" si="1"/>
        <v>2.0366002695426551E-3</v>
      </c>
      <c r="D56" s="401">
        <f ca="1">MpropuPlein+1.5*MasseSans</f>
        <v>3.1598999999999999</v>
      </c>
      <c r="E56" s="401">
        <f t="shared" ca="1" si="2"/>
        <v>3.1221000000000001</v>
      </c>
      <c r="F56" s="401">
        <f t="shared" ca="1" si="3"/>
        <v>3.0842999999999998</v>
      </c>
      <c r="G56" s="408">
        <f t="shared" ca="1" si="4"/>
        <v>13.001569136158354</v>
      </c>
      <c r="H56" s="404">
        <f t="shared" ca="1" si="5"/>
        <v>6.5231743683503247E-4</v>
      </c>
      <c r="I56" s="404">
        <f t="shared" ca="1" si="6"/>
        <v>6.6031198960628192E-4</v>
      </c>
      <c r="J56" s="404">
        <f t="shared" ca="1" si="7"/>
        <v>25.857430439658071</v>
      </c>
      <c r="K56" s="411">
        <f t="shared" ca="1" si="8"/>
        <v>25.71302572131269</v>
      </c>
      <c r="L56" s="414">
        <f t="shared" ca="1" si="9"/>
        <v>58.827379245492338</v>
      </c>
      <c r="M56" s="417">
        <f t="shared" ca="1" si="10"/>
        <v>4.5832277761777984</v>
      </c>
    </row>
    <row r="57" spans="2:13" x14ac:dyDescent="0.2">
      <c r="B57" s="426">
        <f t="shared" si="11"/>
        <v>84</v>
      </c>
      <c r="C57" s="404">
        <f t="shared" si="1"/>
        <v>2.0366002695426551E-3</v>
      </c>
      <c r="D57" s="401">
        <f ca="1">MpropuPlein+1.75*MasseSans</f>
        <v>3.6598999999999999</v>
      </c>
      <c r="E57" s="401">
        <f t="shared" ca="1" si="2"/>
        <v>3.6221000000000001</v>
      </c>
      <c r="F57" s="401">
        <f t="shared" ca="1" si="3"/>
        <v>3.5842999999999998</v>
      </c>
      <c r="G57" s="408">
        <f t="shared" ca="1" si="4"/>
        <v>9.8526266530465723</v>
      </c>
      <c r="H57" s="404">
        <f t="shared" ca="1" si="5"/>
        <v>5.6227058047614786E-4</v>
      </c>
      <c r="I57" s="404">
        <f t="shared" ca="1" si="6"/>
        <v>5.6820028165685218E-4</v>
      </c>
      <c r="J57" s="404">
        <f t="shared" ca="1" si="7"/>
        <v>19.632904484512608</v>
      </c>
      <c r="K57" s="411">
        <f t="shared" ca="1" si="8"/>
        <v>19.560979984226474</v>
      </c>
      <c r="L57" s="414">
        <f t="shared" ca="1" si="9"/>
        <v>38.922077241731742</v>
      </c>
      <c r="M57" s="417">
        <f t="shared" ca="1" si="10"/>
        <v>3.9794461334990556</v>
      </c>
    </row>
    <row r="58" spans="2:13" x14ac:dyDescent="0.2">
      <c r="B58" s="427">
        <f t="shared" si="11"/>
        <v>84</v>
      </c>
      <c r="C58" s="405">
        <f t="shared" si="1"/>
        <v>2.0366002695426551E-3</v>
      </c>
      <c r="D58" s="402">
        <f ca="1">MpropuPlein+2*MasseSans</f>
        <v>4.1599000000000004</v>
      </c>
      <c r="E58" s="402">
        <f t="shared" ca="1" si="2"/>
        <v>4.1221000000000005</v>
      </c>
      <c r="F58" s="402">
        <f t="shared" ca="1" si="3"/>
        <v>4.0843000000000007</v>
      </c>
      <c r="G58" s="409">
        <f t="shared" ca="1" si="4"/>
        <v>7.4676012226777591</v>
      </c>
      <c r="H58" s="405">
        <f t="shared" ca="1" si="5"/>
        <v>4.9406862267840532E-4</v>
      </c>
      <c r="I58" s="405">
        <f t="shared" ca="1" si="6"/>
        <v>4.9864120401112914E-4</v>
      </c>
      <c r="J58" s="405">
        <f t="shared" ca="1" si="7"/>
        <v>14.898610679327382</v>
      </c>
      <c r="K58" s="412">
        <f t="shared" ca="1" si="8"/>
        <v>14.862162199522331</v>
      </c>
      <c r="L58" s="415">
        <f t="shared" ca="1" si="9"/>
        <v>26.093976736926269</v>
      </c>
      <c r="M58" s="418">
        <f t="shared" ca="1" si="10"/>
        <v>3.5093692419004205</v>
      </c>
    </row>
    <row r="59" spans="2:13" x14ac:dyDescent="0.2">
      <c r="B59" s="425">
        <f t="shared" ref="B59:B67" si="12">D_ref*1.5</f>
        <v>126</v>
      </c>
      <c r="C59" s="403">
        <f t="shared" si="1"/>
        <v>4.5823506064709748E-3</v>
      </c>
      <c r="D59" s="400">
        <f ca="1">MpropuPlein+0*MasseSans</f>
        <v>0.15989999999999999</v>
      </c>
      <c r="E59" s="400">
        <f t="shared" ca="1" si="2"/>
        <v>0.12209999999999999</v>
      </c>
      <c r="F59" s="400">
        <f t="shared" ca="1" si="3"/>
        <v>8.43E-2</v>
      </c>
      <c r="G59" s="407">
        <f t="shared" ca="1" si="4"/>
        <v>573.48238329238336</v>
      </c>
      <c r="H59" s="403">
        <f t="shared" ca="1" si="5"/>
        <v>3.7529488996486282E-2</v>
      </c>
      <c r="I59" s="403">
        <f t="shared" ca="1" si="6"/>
        <v>5.4357658439750593E-2</v>
      </c>
      <c r="J59" s="403">
        <f t="shared" ca="1" si="7"/>
        <v>228.76204633138835</v>
      </c>
      <c r="K59" s="410">
        <f t="shared" ca="1" si="8"/>
        <v>123.6157213781817</v>
      </c>
      <c r="L59" s="413">
        <f t="shared" ca="1" si="9"/>
        <v>269.6994657695717</v>
      </c>
      <c r="M59" s="416">
        <f t="shared" ca="1" si="10"/>
        <v>4.0028325784479488</v>
      </c>
    </row>
    <row r="60" spans="2:13" x14ac:dyDescent="0.2">
      <c r="B60" s="426">
        <f t="shared" si="12"/>
        <v>126</v>
      </c>
      <c r="C60" s="404">
        <f t="shared" si="1"/>
        <v>4.5823506064709748E-3</v>
      </c>
      <c r="D60" s="401">
        <f ca="1">MpropuPlein+0.25*MasseSans</f>
        <v>0.65989999999999993</v>
      </c>
      <c r="E60" s="401">
        <f t="shared" ca="1" si="2"/>
        <v>0.62209999999999999</v>
      </c>
      <c r="F60" s="401">
        <f t="shared" ca="1" si="3"/>
        <v>0.58429999999999993</v>
      </c>
      <c r="G60" s="408">
        <f t="shared" ca="1" si="4"/>
        <v>104.67320205754702</v>
      </c>
      <c r="H60" s="404">
        <f t="shared" ca="1" si="5"/>
        <v>7.3659389269747225E-3</v>
      </c>
      <c r="I60" s="404">
        <f t="shared" ca="1" si="6"/>
        <v>7.8424621024661568E-3</v>
      </c>
      <c r="J60" s="404">
        <f t="shared" ca="1" si="7"/>
        <v>148.3036462523975</v>
      </c>
      <c r="K60" s="411">
        <f t="shared" ca="1" si="8"/>
        <v>112.30202312282539</v>
      </c>
      <c r="L60" s="414">
        <f t="shared" ca="1" si="9"/>
        <v>301.657723279062</v>
      </c>
      <c r="M60" s="417">
        <f t="shared" ca="1" si="10"/>
        <v>6.5631870470297589</v>
      </c>
    </row>
    <row r="61" spans="2:13" x14ac:dyDescent="0.2">
      <c r="B61" s="426">
        <f t="shared" si="12"/>
        <v>126</v>
      </c>
      <c r="C61" s="404">
        <f t="shared" si="1"/>
        <v>4.5823506064709748E-3</v>
      </c>
      <c r="D61" s="401">
        <f ca="1">MpropuPlein+0.5*MasseSans</f>
        <v>1.1598999999999999</v>
      </c>
      <c r="E61" s="401">
        <f t="shared" ca="1" si="2"/>
        <v>1.1220999999999999</v>
      </c>
      <c r="F61" s="401">
        <f t="shared" ca="1" si="3"/>
        <v>1.0843</v>
      </c>
      <c r="G61" s="408">
        <f t="shared" ca="1" si="4"/>
        <v>53.660278941270832</v>
      </c>
      <c r="H61" s="404">
        <f t="shared" ca="1" si="5"/>
        <v>4.0837274810364274E-3</v>
      </c>
      <c r="I61" s="404">
        <f t="shared" ca="1" si="6"/>
        <v>4.2260911246619704E-3</v>
      </c>
      <c r="J61" s="404">
        <f t="shared" ca="1" si="7"/>
        <v>94.545874555036704</v>
      </c>
      <c r="K61" s="411">
        <f t="shared" ca="1" si="8"/>
        <v>84.07964367330581</v>
      </c>
      <c r="L61" s="414">
        <f t="shared" ca="1" si="9"/>
        <v>259.89878898013518</v>
      </c>
      <c r="M61" s="417">
        <f t="shared" ca="1" si="10"/>
        <v>7.1590553588089429</v>
      </c>
    </row>
    <row r="62" spans="2:13" x14ac:dyDescent="0.2">
      <c r="B62" s="426">
        <f t="shared" si="12"/>
        <v>126</v>
      </c>
      <c r="C62" s="404">
        <f t="shared" si="1"/>
        <v>4.5823506064709748E-3</v>
      </c>
      <c r="D62" s="401">
        <f ca="1">MpropuPlein+0.75*MasseSans</f>
        <v>1.6598999999999999</v>
      </c>
      <c r="E62" s="401">
        <f t="shared" ca="1" si="2"/>
        <v>1.6220999999999999</v>
      </c>
      <c r="F62" s="401">
        <f t="shared" ca="1" si="3"/>
        <v>1.5843</v>
      </c>
      <c r="G62" s="408">
        <f t="shared" ca="1" si="4"/>
        <v>34.096047715923802</v>
      </c>
      <c r="H62" s="404">
        <f t="shared" ca="1" si="5"/>
        <v>2.8249495138838389E-3</v>
      </c>
      <c r="I62" s="404">
        <f t="shared" ca="1" si="6"/>
        <v>2.8923503165252632E-3</v>
      </c>
      <c r="J62" s="404">
        <f t="shared" ca="1" si="7"/>
        <v>64.216355027710691</v>
      </c>
      <c r="K62" s="411">
        <f t="shared" ca="1" si="8"/>
        <v>60.602049579100843</v>
      </c>
      <c r="L62" s="414">
        <f t="shared" ca="1" si="9"/>
        <v>191.0549038704807</v>
      </c>
      <c r="M62" s="417">
        <f t="shared" ca="1" si="10"/>
        <v>6.780681281912786</v>
      </c>
    </row>
    <row r="63" spans="2:13" x14ac:dyDescent="0.2">
      <c r="B63" s="426">
        <f t="shared" si="12"/>
        <v>126</v>
      </c>
      <c r="C63" s="404">
        <f t="shared" si="1"/>
        <v>4.5823506064709748E-3</v>
      </c>
      <c r="D63" s="401">
        <f ca="1">MpropuPlein+1*MasseSans</f>
        <v>2.1598999999999999</v>
      </c>
      <c r="E63" s="401">
        <f t="shared" ca="1" si="2"/>
        <v>2.1221000000000001</v>
      </c>
      <c r="F63" s="401">
        <f t="shared" ca="1" si="3"/>
        <v>2.0842999999999998</v>
      </c>
      <c r="G63" s="408">
        <f t="shared" ca="1" si="4"/>
        <v>23.751095141605006</v>
      </c>
      <c r="H63" s="404">
        <f t="shared" ca="1" si="5"/>
        <v>2.1593471591682648E-3</v>
      </c>
      <c r="I63" s="404">
        <f t="shared" ca="1" si="6"/>
        <v>2.1985081833090126E-3</v>
      </c>
      <c r="J63" s="404">
        <f t="shared" ca="1" si="7"/>
        <v>45.9616935229772</v>
      </c>
      <c r="K63" s="411">
        <f t="shared" ca="1" si="8"/>
        <v>44.499991576519022</v>
      </c>
      <c r="L63" s="414">
        <f t="shared" ca="1" si="9"/>
        <v>129.48938099450015</v>
      </c>
      <c r="M63" s="417">
        <f t="shared" ca="1" si="10"/>
        <v>6.0015666961706096</v>
      </c>
    </row>
    <row r="64" spans="2:13" x14ac:dyDescent="0.2">
      <c r="B64" s="426">
        <f t="shared" si="12"/>
        <v>126</v>
      </c>
      <c r="C64" s="404">
        <f t="shared" si="1"/>
        <v>4.5823506064709748E-3</v>
      </c>
      <c r="D64" s="401">
        <f ca="1">MpropuPlein+1.25*MasseSans</f>
        <v>2.6598999999999999</v>
      </c>
      <c r="E64" s="401">
        <f t="shared" ca="1" si="2"/>
        <v>2.6221000000000001</v>
      </c>
      <c r="F64" s="401">
        <f t="shared" ca="1" si="3"/>
        <v>2.5842999999999998</v>
      </c>
      <c r="G64" s="408">
        <f t="shared" ca="1" si="4"/>
        <v>17.351435490637272</v>
      </c>
      <c r="H64" s="404">
        <f t="shared" ca="1" si="5"/>
        <v>1.7475880425883736E-3</v>
      </c>
      <c r="I64" s="404">
        <f t="shared" ca="1" si="6"/>
        <v>1.7731496368343363E-3</v>
      </c>
      <c r="J64" s="404">
        <f t="shared" ca="1" si="7"/>
        <v>34.023224112726496</v>
      </c>
      <c r="K64" s="411">
        <f t="shared" ca="1" si="8"/>
        <v>33.364690591180562</v>
      </c>
      <c r="L64" s="414">
        <f t="shared" ca="1" si="9"/>
        <v>85.719305671100486</v>
      </c>
      <c r="M64" s="417">
        <f t="shared" ca="1" si="10"/>
        <v>5.1970914700372086</v>
      </c>
    </row>
    <row r="65" spans="2:13" x14ac:dyDescent="0.2">
      <c r="B65" s="426">
        <f t="shared" si="12"/>
        <v>126</v>
      </c>
      <c r="C65" s="404">
        <f t="shared" si="1"/>
        <v>4.5823506064709748E-3</v>
      </c>
      <c r="D65" s="401">
        <f ca="1">MpropuPlein+1.5*MasseSans</f>
        <v>3.1598999999999999</v>
      </c>
      <c r="E65" s="401">
        <f t="shared" ca="1" si="2"/>
        <v>3.1221000000000001</v>
      </c>
      <c r="F65" s="401">
        <f t="shared" ca="1" si="3"/>
        <v>3.0842999999999998</v>
      </c>
      <c r="G65" s="408">
        <f t="shared" ca="1" si="4"/>
        <v>13.001569136158354</v>
      </c>
      <c r="H65" s="404">
        <f t="shared" ca="1" si="5"/>
        <v>1.4677142328788234E-3</v>
      </c>
      <c r="I65" s="404">
        <f t="shared" ca="1" si="6"/>
        <v>1.4857019766141345E-3</v>
      </c>
      <c r="J65" s="404">
        <f t="shared" ca="1" si="7"/>
        <v>25.678914678637501</v>
      </c>
      <c r="K65" s="411">
        <f t="shared" ca="1" si="8"/>
        <v>25.361123683114897</v>
      </c>
      <c r="L65" s="414">
        <f t="shared" ca="1" si="9"/>
        <v>56.961119814727674</v>
      </c>
      <c r="M65" s="417">
        <f t="shared" ca="1" si="10"/>
        <v>4.5058786647885274</v>
      </c>
    </row>
    <row r="66" spans="2:13" x14ac:dyDescent="0.2">
      <c r="B66" s="426">
        <f t="shared" si="12"/>
        <v>126</v>
      </c>
      <c r="C66" s="404">
        <f t="shared" si="1"/>
        <v>4.5823506064709748E-3</v>
      </c>
      <c r="D66" s="401">
        <f ca="1">MpropuPlein+1.75*MasseSans</f>
        <v>3.6598999999999999</v>
      </c>
      <c r="E66" s="401">
        <f t="shared" ca="1" si="2"/>
        <v>3.6221000000000001</v>
      </c>
      <c r="F66" s="401">
        <f t="shared" ca="1" si="3"/>
        <v>3.5842999999999998</v>
      </c>
      <c r="G66" s="408">
        <f t="shared" ca="1" si="4"/>
        <v>9.8526266530465723</v>
      </c>
      <c r="H66" s="404">
        <f t="shared" ca="1" si="5"/>
        <v>1.2651088060713328E-3</v>
      </c>
      <c r="I66" s="404">
        <f t="shared" ca="1" si="6"/>
        <v>1.2784506337279176E-3</v>
      </c>
      <c r="J66" s="404">
        <f t="shared" ca="1" si="7"/>
        <v>19.543651994619147</v>
      </c>
      <c r="K66" s="411">
        <f t="shared" ca="1" si="8"/>
        <v>19.384163446727698</v>
      </c>
      <c r="L66" s="414">
        <f t="shared" ca="1" si="9"/>
        <v>38.240686262248609</v>
      </c>
      <c r="M66" s="417">
        <f t="shared" ca="1" si="10"/>
        <v>3.9446225631849114</v>
      </c>
    </row>
    <row r="67" spans="2:13" x14ac:dyDescent="0.2">
      <c r="B67" s="427">
        <f t="shared" si="12"/>
        <v>126</v>
      </c>
      <c r="C67" s="405">
        <f t="shared" si="1"/>
        <v>4.5823506064709748E-3</v>
      </c>
      <c r="D67" s="402">
        <f ca="1">MpropuPlein+2*MasseSans</f>
        <v>4.1599000000000004</v>
      </c>
      <c r="E67" s="402">
        <f t="shared" ca="1" si="2"/>
        <v>4.1221000000000005</v>
      </c>
      <c r="F67" s="402">
        <f t="shared" ca="1" si="3"/>
        <v>4.0843000000000007</v>
      </c>
      <c r="G67" s="409">
        <f t="shared" ca="1" si="4"/>
        <v>7.4676012226777591</v>
      </c>
      <c r="H67" s="405">
        <f t="shared" ca="1" si="5"/>
        <v>1.1116544010264123E-3</v>
      </c>
      <c r="I67" s="405">
        <f t="shared" ca="1" si="6"/>
        <v>1.1219427090250408E-3</v>
      </c>
      <c r="J67" s="405">
        <f t="shared" ca="1" si="7"/>
        <v>14.853271732847807</v>
      </c>
      <c r="K67" s="412">
        <f t="shared" ca="1" si="8"/>
        <v>14.772058397369902</v>
      </c>
      <c r="L67" s="415">
        <f t="shared" ca="1" si="9"/>
        <v>25.83875876983609</v>
      </c>
      <c r="M67" s="418">
        <f t="shared" ca="1" si="10"/>
        <v>3.4934740068985812</v>
      </c>
    </row>
    <row r="71" spans="2:13" x14ac:dyDescent="0.2">
      <c r="B71" s="24" t="str">
        <f>IF(Lang="Français","Textes pour les graphiques :","Texts for graphics :")</f>
        <v>Textes pour les graphiques :</v>
      </c>
    </row>
    <row r="73" spans="2:13" x14ac:dyDescent="0.2">
      <c r="B73" t="str">
        <f>IF(Lang="Français","Masse totale",IF(Lang="English","Total Mass",""))</f>
        <v>Masse totale</v>
      </c>
    </row>
    <row r="74" spans="2:13" x14ac:dyDescent="0.2">
      <c r="B74" t="str">
        <f>IF(Lang="Français","Vitesse max",IF(Lang="English","Max Velocity",""))</f>
        <v>Vitesse max</v>
      </c>
    </row>
    <row r="75" spans="2:13" x14ac:dyDescent="0.2">
      <c r="B75" t="str">
        <f>Abaco!$B$74 &amp; " / " &amp; Abaco!$B$73</f>
        <v>Vitesse max / Masse totale</v>
      </c>
    </row>
    <row r="76" spans="2:13" x14ac:dyDescent="0.2">
      <c r="B76" t="str">
        <f>IF(Lang="Français","Altitude max",IF(Lang="English","Max Altitude",""))</f>
        <v>Altitude max</v>
      </c>
    </row>
    <row r="77" spans="2:13" x14ac:dyDescent="0.2">
      <c r="B77" t="str">
        <f>Abaco!$B$76 &amp; " / " &amp; Abaco!$B$73</f>
        <v>Altitude max / Masse totale</v>
      </c>
    </row>
    <row r="78" spans="2:13" x14ac:dyDescent="0.2">
      <c r="B78" t="str">
        <f>IF(Lang="Français","Temps de culmination",IF(Lang="English","Apogee time",""))</f>
        <v>Temps de culmination</v>
      </c>
    </row>
    <row r="79" spans="2:13" x14ac:dyDescent="0.2">
      <c r="B79" t="str">
        <f>Abaco!$B$78 &amp; " / " &amp; Abaco!$B$73</f>
        <v>Temps de culmination / Masse totale</v>
      </c>
    </row>
  </sheetData>
  <sheetProtection password="C6AC" sheet="1"/>
  <mergeCells count="12">
    <mergeCell ref="C10:D10"/>
    <mergeCell ref="C12:D12"/>
    <mergeCell ref="C14:D14"/>
    <mergeCell ref="C15:D15"/>
    <mergeCell ref="C16:D16"/>
    <mergeCell ref="C11:D11"/>
    <mergeCell ref="C9:D9"/>
    <mergeCell ref="C2:D3"/>
    <mergeCell ref="C4:D4"/>
    <mergeCell ref="C5:D5"/>
    <mergeCell ref="C7:D7"/>
    <mergeCell ref="C8:D8"/>
  </mergeCells>
  <dataValidations count="3">
    <dataValidation type="decimal" errorStyle="warning" showErrorMessage="1" errorTitle="Cx" error="Le Cx est souvent compris entre 0 et 1._x000a_Cx may be between 0 &amp; 1." sqref="C16:D16" xr:uid="{D81E4ED2-9261-B642-B15E-49553D6C8983}">
      <formula1>0</formula1>
      <formula2>1</formula2>
    </dataValidation>
    <dataValidation operator="greaterThanOrEqual" sqref="C10:D11" xr:uid="{1C08AD22-3102-FB4A-9961-C2D98C3A3BF9}"/>
    <dataValidation sqref="C12:D12" xr:uid="{03A46D1E-7CC5-4549-87C5-1195B5F980EC}"/>
  </dataValidations>
  <hyperlinks>
    <hyperlink ref="B12" location="Stabilito!C17" display="Stabilito!C17" xr:uid="{65AA46A2-0591-9244-969E-2AE41021F0B8}"/>
  </hyperlinks>
  <pageMargins left="0.70866141732283472" right="0.70866141732283472" top="0.74803149606299213" bottom="0.74803149606299213" header="0.31496062992125984" footer="0.31496062992125984"/>
  <pageSetup paperSize="9" scale="92" orientation="landscape"/>
  <drawing r:id="rId1"/>
  <legacyDrawing r:id="rId2"/>
  <oleObjects>
    <mc:AlternateContent xmlns:mc="http://schemas.openxmlformats.org/markup-compatibility/2006">
      <mc:Choice Requires="x14">
        <oleObject progId="Equation.3" shapeId="2604101" r:id="rId3">
          <objectPr defaultSize="0" autoPict="0" r:id="rId4">
            <anchor moveWithCells="1">
              <from>
                <xdr:col>8</xdr:col>
                <xdr:colOff>352425</xdr:colOff>
                <xdr:row>68</xdr:row>
                <xdr:rowOff>28575</xdr:rowOff>
              </from>
              <to>
                <xdr:col>12</xdr:col>
                <xdr:colOff>809625</xdr:colOff>
                <xdr:row>85</xdr:row>
                <xdr:rowOff>9525</xdr:rowOff>
              </to>
            </anchor>
          </objectPr>
        </oleObject>
      </mc:Choice>
      <mc:Fallback>
        <oleObject progId="Equation.3" shapeId="2604101" r:id="rId3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04063" r:id="rId5" name="Spinner 31">
              <controlPr defaultSize="0" print="0" autoPict="0">
                <anchor moveWithCells="1" sizeWithCells="1">
                  <from>
                    <xdr:col>3</xdr:col>
                    <xdr:colOff>695325</xdr:colOff>
                    <xdr:row>9</xdr:row>
                    <xdr:rowOff>9525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202" r:id="rId6" name="Spinner 170">
              <controlPr defaultSize="0" print="0" autoPict="0">
                <anchor moveWithCells="1" sizeWithCells="1">
                  <from>
                    <xdr:col>3</xdr:col>
                    <xdr:colOff>695325</xdr:colOff>
                    <xdr:row>10</xdr:row>
                    <xdr:rowOff>9525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ED20-6AF7-5A4A-8744-07EF8F441747}">
  <sheetPr codeName="Feuil6">
    <pageSetUpPr fitToPage="1"/>
  </sheetPr>
  <dimension ref="C2:H58"/>
  <sheetViews>
    <sheetView showGridLines="0" workbookViewId="0">
      <selection activeCell="H5" sqref="H5"/>
    </sheetView>
  </sheetViews>
  <sheetFormatPr baseColWidth="10" defaultRowHeight="12.75" x14ac:dyDescent="0.2"/>
  <cols>
    <col min="1" max="1" width="2.140625" customWidth="1"/>
    <col min="2" max="2" width="16.42578125" customWidth="1"/>
    <col min="3" max="4" width="13.5703125" customWidth="1"/>
  </cols>
  <sheetData>
    <row r="2" spans="3:8" x14ac:dyDescent="0.2">
      <c r="C2" s="625" t="s">
        <v>181</v>
      </c>
      <c r="D2" s="625"/>
    </row>
    <row r="3" spans="3:8" x14ac:dyDescent="0.2">
      <c r="C3" s="625"/>
      <c r="D3" s="625"/>
    </row>
    <row r="5" spans="3:8" x14ac:dyDescent="0.2">
      <c r="C5" s="13" t="str">
        <f>IF(Lang="Français","Stabilité de fusée à ailerons","Stability of finned rocket")</f>
        <v>Stabilité de fusée à ailerons</v>
      </c>
    </row>
    <row r="6" spans="3:8" x14ac:dyDescent="0.2">
      <c r="C6" s="2" t="str">
        <f>IF(Lang="Français","Calculs de Stabilité basés sur les équations de Barrowman","Stability calculs are based on Barrowman equations")</f>
        <v>Calculs de Stabilité basés sur les équations de Barrowman</v>
      </c>
    </row>
    <row r="7" spans="3:8" x14ac:dyDescent="0.2">
      <c r="C7" s="13" t="str">
        <f>IF(Lang="Français","Trajectographie de fusée","Rocket Trajectography")</f>
        <v>Trajectographie de fusée</v>
      </c>
    </row>
    <row r="8" spans="3:8" x14ac:dyDescent="0.2">
      <c r="C8" s="2" t="str">
        <f>IF(Lang="Français","Trajectoire dans un plan par calcul pas à pas","Trajectory in a plane, step by step computation")</f>
        <v>Trajectoire dans un plan par calcul pas à pas</v>
      </c>
    </row>
    <row r="9" spans="3:8" x14ac:dyDescent="0.2">
      <c r="C9" s="2"/>
    </row>
    <row r="10" spans="3:8" x14ac:dyDescent="0.2">
      <c r="C10" s="14" t="str">
        <f>IF(Lang="Français","Documentation et équations :","Documentation and equations are aviable in french:")</f>
        <v>Documentation et équations :</v>
      </c>
    </row>
    <row r="11" spans="3:8" x14ac:dyDescent="0.2">
      <c r="C11" t="str">
        <f>IF(Lang="Français","voir le dossier technique Planète-Sciences ''Le Vol de la Fusée, Stabilité &amp; Trajectographie''","dossier technique Planète-Sciences ''Le Vol de la Fusée, Stabilité &amp; Trajectographie''")</f>
        <v>voir le dossier technique Planète-Sciences ''Le Vol de la Fusée, Stabilité &amp; Trajectographie''</v>
      </c>
    </row>
    <row r="12" spans="3:8" x14ac:dyDescent="0.2">
      <c r="C12" t="str">
        <f>IF(Lang="Français","Néanmoins, les équations d'intégration du mouvement utilisées sont légèrement différentes !","")</f>
        <v>Néanmoins, les équations d'intégration du mouvement utilisées sont légèrement différentes !</v>
      </c>
    </row>
    <row r="13" spans="3:8" x14ac:dyDescent="0.2">
      <c r="C13" t="str">
        <f>IF(Lang="Français","Logiciels et dossier technique téléchargeables sur :","Softwares and french documentation can be downloaded at:")</f>
        <v>Logiciels et dossier technique téléchargeables sur :</v>
      </c>
      <c r="H13" s="15" t="s">
        <v>40</v>
      </c>
    </row>
    <row r="15" spans="3:8" x14ac:dyDescent="0.2">
      <c r="C15" s="14" t="str">
        <f>IF(Lang="Français","Pour les experts :","For experts:")</f>
        <v>Pour les experts :</v>
      </c>
    </row>
    <row r="16" spans="3:8" x14ac:dyDescent="0.2">
      <c r="C16" t="str">
        <f>IF(Lang="Français","Pour les curieux et les experts, vous pouvez déprotéger les feuilles de calcul (mot de passe : anstj),","Curious people can unlock excel sheets with this password : anstj")</f>
        <v>Pour les curieux et les experts, vous pouvez déprotéger les feuilles de calcul (mot de passe : anstj),</v>
      </c>
    </row>
    <row r="17" spans="3:8" x14ac:dyDescent="0.2">
      <c r="C17" t="str">
        <f>IF(Lang="Français","et faire vos modifications personnelles (ajout de moteur...).","and do your personal modification (adding a motor...)")</f>
        <v>et faire vos modifications personnelles (ajout de moteur...).</v>
      </c>
    </row>
    <row r="18" spans="3:8" x14ac:dyDescent="0.2">
      <c r="C18" t="s">
        <v>423</v>
      </c>
    </row>
    <row r="19" spans="3:8" x14ac:dyDescent="0.2">
      <c r="C19" t="str">
        <f>IF(Lang="Français","Merci néanmoins de diffuser uniquement la version officielle protégée (fichier initial).","Please avoid distributing unlocked version.")</f>
        <v>Merci néanmoins de diffuser uniquement la version officielle protégée (fichier initial).</v>
      </c>
    </row>
    <row r="20" spans="3:8" x14ac:dyDescent="0.2">
      <c r="C20" t="str">
        <f>IF(Lang="Français","Aucune Macro. Mise en forme conditionnelle, Noms de zone.","No macro. Conditionnal formating, named zones.")</f>
        <v>Aucune Macro. Mise en forme conditionnelle, Noms de zone.</v>
      </c>
    </row>
    <row r="21" spans="3:8" x14ac:dyDescent="0.2">
      <c r="C21" s="48" t="str">
        <f>IF(Lang="Français","Pour changer les choix des menus déroulants et les restrictions des cellules jaunes, cf. Données&gt; Validations…", "To change choices menu &amp; yellow cells restrictions, go to data validation.")</f>
        <v>Pour changer les choix des menus déroulants et les restrictions des cellules jaunes, cf. Données&gt; Validations…</v>
      </c>
    </row>
    <row r="22" spans="3:8" x14ac:dyDescent="0.2">
      <c r="C22" s="48" t="str">
        <f>IF(Lang="Français","Les unités sont réglés dans le Format de la cellule.","Units are set in cell number Format")</f>
        <v>Les unités sont réglés dans le Format de la cellule.</v>
      </c>
      <c r="H22" s="15" t="s">
        <v>38</v>
      </c>
    </row>
    <row r="23" spans="3:8" x14ac:dyDescent="0.2">
      <c r="C23" t="str">
        <f>IF(Lang="Français","Vous pouvez proposer vos améliorations en envoyant votre fichier à : ","Send all remarks and improvements proposals to:")</f>
        <v xml:space="preserve">Vous pouvez proposer vos améliorations en envoyant votre fichier à : </v>
      </c>
      <c r="H23" s="15"/>
    </row>
    <row r="25" spans="3:8" x14ac:dyDescent="0.2">
      <c r="C25" s="14" t="str">
        <f>IF(Lang="Français","Licence :","License:")</f>
        <v>Licence :</v>
      </c>
      <c r="D25" s="16"/>
    </row>
    <row r="26" spans="3:8" x14ac:dyDescent="0.2">
      <c r="C26" t="str">
        <f>IF(Lang="Français","Ce logiciel est placé sous la licence Creative Commons BY-SA","This software is placed under Creative Commons licence BY-SA")</f>
        <v>Ce logiciel est placé sous la licence Creative Commons BY-SA</v>
      </c>
      <c r="H26" s="68" t="s">
        <v>125</v>
      </c>
    </row>
    <row r="28" spans="3:8" x14ac:dyDescent="0.2">
      <c r="C28" s="14" t="str">
        <f>IF(Lang="Français","Compatibilité :","Compatibility:")</f>
        <v>Compatibilité :</v>
      </c>
    </row>
    <row r="29" spans="3:8" x14ac:dyDescent="0.2">
      <c r="C29" t="s">
        <v>155</v>
      </c>
    </row>
    <row r="30" spans="3:8" x14ac:dyDescent="0.2">
      <c r="C30" t="s">
        <v>304</v>
      </c>
    </row>
    <row r="31" spans="3:8" x14ac:dyDescent="0.2">
      <c r="C31" s="49" t="s">
        <v>113</v>
      </c>
    </row>
    <row r="33" spans="3:6" x14ac:dyDescent="0.2">
      <c r="C33" s="14" t="str">
        <f>IF(Lang="Français","Historique :","History:")</f>
        <v>Historique :</v>
      </c>
    </row>
    <row r="34" spans="3:6" x14ac:dyDescent="0.2">
      <c r="C34" t="s">
        <v>105</v>
      </c>
      <c r="D34" t="s">
        <v>43</v>
      </c>
      <c r="E34" s="47" t="s">
        <v>104</v>
      </c>
      <c r="F34" t="str">
        <f>IF(Lang="Français","Essais personnels, héritage d'une feuille de calcul de Vincent Girard, ESO","Personnel tests")</f>
        <v>Essais personnels, héritage d'une feuille de calcul de Vincent Girard, ESO</v>
      </c>
    </row>
    <row r="35" spans="3:6" x14ac:dyDescent="0.2">
      <c r="C35" t="s">
        <v>106</v>
      </c>
      <c r="D35" t="s">
        <v>43</v>
      </c>
      <c r="E35" s="16">
        <v>39483</v>
      </c>
      <c r="F35" t="str">
        <f>IF(Lang="Français","Equations de Barrowman généralisées (D_ref), masquage inter-ailerons, bilingue fr-en","Generalized Barrowman equations (D_ref), fin-fin interaction, english translation")</f>
        <v>Equations de Barrowman généralisées (D_ref), masquage inter-ailerons, bilingue fr-en</v>
      </c>
    </row>
    <row r="36" spans="3:6" x14ac:dyDescent="0.2">
      <c r="C36" t="s">
        <v>107</v>
      </c>
      <c r="D36" t="s">
        <v>43</v>
      </c>
      <c r="E36" s="16">
        <v>39507</v>
      </c>
      <c r="F36" t="str">
        <f>IF(Lang="Français","Schéma de la fusée, estimation analytique de la trajecto, diagramme des critères","Rocket schematic, analytical trajecto, criterions diagram")</f>
        <v>Schéma de la fusée, estimation analytique de la trajecto, diagramme des critères</v>
      </c>
    </row>
    <row r="37" spans="3:6" x14ac:dyDescent="0.2">
      <c r="C37" t="s">
        <v>108</v>
      </c>
      <c r="D37" t="s">
        <v>43</v>
      </c>
      <c r="E37" s="16">
        <v>39694</v>
      </c>
      <c r="F37" t="str">
        <f>IF(Lang="Français","Mise en forme","Formatting")</f>
        <v>Mise en forme</v>
      </c>
    </row>
    <row r="38" spans="3:6" x14ac:dyDescent="0.2">
      <c r="C38" t="s">
        <v>109</v>
      </c>
      <c r="D38" t="s">
        <v>43</v>
      </c>
      <c r="E38" s="16">
        <v>39643</v>
      </c>
      <c r="F38" t="str">
        <f>IF(Lang="Français","Essais personnels, héritage d'une feuille de calcul de Félicien Roux, ESO","Personal tests")</f>
        <v>Essais personnels, héritage d'une feuille de calcul de Félicien Roux, ESO</v>
      </c>
    </row>
    <row r="39" spans="3:6" x14ac:dyDescent="0.2">
      <c r="C39" t="s">
        <v>110</v>
      </c>
      <c r="D39" t="s">
        <v>43</v>
      </c>
      <c r="E39" s="16">
        <v>39755</v>
      </c>
      <c r="F39" t="str">
        <f>IF(Lang="Français","Réécriture équations, traduction, érgonomie","Equations, traduction, ergonomy")</f>
        <v>Réécriture équations, traduction, érgonomie</v>
      </c>
    </row>
    <row r="40" spans="3:6" x14ac:dyDescent="0.2">
      <c r="C40" t="s">
        <v>111</v>
      </c>
      <c r="D40" t="s">
        <v>43</v>
      </c>
      <c r="E40" s="16">
        <v>39756</v>
      </c>
      <c r="F40" t="str">
        <f>IF(Lang="Français","Conditions Initiales pour vol 2e étage, 1ère publication","Initial Conditions, 1st publication")</f>
        <v>Conditions Initiales pour vol 2e étage, 1ère publication</v>
      </c>
    </row>
    <row r="41" spans="3:6" x14ac:dyDescent="0.2">
      <c r="C41" t="s">
        <v>112</v>
      </c>
      <c r="D41" t="s">
        <v>43</v>
      </c>
      <c r="E41" s="16">
        <v>40658</v>
      </c>
      <c r="F41" t="s">
        <v>55</v>
      </c>
    </row>
    <row r="42" spans="3:6" x14ac:dyDescent="0.2">
      <c r="C42" t="s">
        <v>182</v>
      </c>
      <c r="D42" t="s">
        <v>43</v>
      </c>
      <c r="E42" s="16">
        <v>40868</v>
      </c>
      <c r="F42" t="str">
        <f>IF(Lang="Français","Fusion Stabilito+Trajecto, mise en forme, Ctrl, RC, H2O, Abaco","Merge Stabilito+Trajecto, formatting, Ctrl, RC, H2O, Abaco")</f>
        <v>Fusion Stabilito+Trajecto, mise en forme, Ctrl, RC, H2O, Abaco</v>
      </c>
    </row>
    <row r="43" spans="3:6" x14ac:dyDescent="0.2">
      <c r="C43" t="s">
        <v>331</v>
      </c>
      <c r="D43" t="s">
        <v>43</v>
      </c>
      <c r="E43" s="16">
        <v>41194</v>
      </c>
      <c r="F43" t="s">
        <v>335</v>
      </c>
    </row>
    <row r="44" spans="3:6" x14ac:dyDescent="0.2">
      <c r="C44" t="s">
        <v>332</v>
      </c>
      <c r="D44" t="s">
        <v>43</v>
      </c>
      <c r="E44" s="16">
        <v>41329</v>
      </c>
      <c r="F44" t="s">
        <v>336</v>
      </c>
    </row>
    <row r="45" spans="3:6" x14ac:dyDescent="0.2">
      <c r="C45" t="s">
        <v>420</v>
      </c>
      <c r="D45" t="s">
        <v>399</v>
      </c>
      <c r="E45" s="16">
        <v>41947</v>
      </c>
      <c r="F45" t="s">
        <v>419</v>
      </c>
    </row>
    <row r="46" spans="3:6" x14ac:dyDescent="0.2">
      <c r="C46" t="s">
        <v>424</v>
      </c>
      <c r="D46" t="s">
        <v>399</v>
      </c>
      <c r="E46" s="16">
        <v>41965</v>
      </c>
      <c r="F46" t="s">
        <v>422</v>
      </c>
    </row>
    <row r="47" spans="3:6" x14ac:dyDescent="0.2">
      <c r="C47" t="s">
        <v>548</v>
      </c>
      <c r="D47" t="s">
        <v>399</v>
      </c>
      <c r="E47" s="16">
        <v>43098</v>
      </c>
      <c r="F47" t="s">
        <v>549</v>
      </c>
    </row>
    <row r="48" spans="3:6" x14ac:dyDescent="0.2">
      <c r="E48" s="16"/>
    </row>
    <row r="50" spans="3:6" x14ac:dyDescent="0.2">
      <c r="C50" s="14" t="str">
        <f>IF(Lang="Français","Paramètres de référence :","Reference parameters:")</f>
        <v>Paramètres de référence :</v>
      </c>
    </row>
    <row r="51" spans="3:6" x14ac:dyDescent="0.2">
      <c r="C51" s="62" t="str">
        <f>IF(Lang="Français","Gravité g :","Gravity g")</f>
        <v>Gravité g :</v>
      </c>
      <c r="E51" s="62">
        <v>9.81</v>
      </c>
      <c r="F51" s="62" t="s">
        <v>7</v>
      </c>
    </row>
    <row r="52" spans="3:6" x14ac:dyDescent="0.2">
      <c r="C52" s="62" t="str">
        <f>IF(Lang="Français","Masse volumique de l'air ρ :","Air density ρ")</f>
        <v>Masse volumique de l'air ρ :</v>
      </c>
      <c r="E52" s="63">
        <v>1.2250000000000001</v>
      </c>
      <c r="F52" s="62" t="s">
        <v>8</v>
      </c>
    </row>
    <row r="53" spans="3:6" x14ac:dyDescent="0.2">
      <c r="C53" s="48"/>
    </row>
    <row r="54" spans="3:6" x14ac:dyDescent="0.2">
      <c r="C54" s="48"/>
    </row>
    <row r="55" spans="3:6" x14ac:dyDescent="0.2">
      <c r="C55" s="48"/>
    </row>
    <row r="56" spans="3:6" x14ac:dyDescent="0.2">
      <c r="C56" s="48"/>
    </row>
    <row r="57" spans="3:6" x14ac:dyDescent="0.2">
      <c r="C57" s="48"/>
    </row>
    <row r="58" spans="3:6" x14ac:dyDescent="0.2">
      <c r="C58" s="48"/>
    </row>
  </sheetData>
  <sheetProtection password="C6AC" sheet="1"/>
  <mergeCells count="1">
    <mergeCell ref="C2:D3"/>
  </mergeCells>
  <phoneticPr fontId="8" type="noConversion"/>
  <hyperlinks>
    <hyperlink ref="H13" r:id="rId1" xr:uid="{C21D9BE1-9F32-2C4F-A087-D3FD3C5F4521}"/>
    <hyperlink ref="H22" r:id="rId2" xr:uid="{033D3A05-292D-7049-9601-C28B3800BA92}"/>
    <hyperlink ref="H26" r:id="rId3" xr:uid="{DA2C0B5F-6759-474D-A1E0-B5D3D0575ABF}"/>
  </hyperlinks>
  <pageMargins left="0.39370078740157483" right="0.39370078740157483" top="0.39370078740157483" bottom="0.39370078740157483" header="0" footer="0"/>
  <pageSetup scale="73" firstPageNumber="0" orientation="portrait" horizontalDpi="300" verticalDpi="300"/>
  <headerFooter alignWithMargins="0"/>
  <drawing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C7DD-F435-3347-A629-22FA6CA8D978}">
  <sheetPr codeName="Feuil7">
    <pageSetUpPr fitToPage="1"/>
  </sheetPr>
  <dimension ref="B1:U134"/>
  <sheetViews>
    <sheetView showGridLines="0" topLeftCell="D1" zoomScaleNormal="100" workbookViewId="0">
      <selection activeCell="H4" sqref="H4"/>
    </sheetView>
  </sheetViews>
  <sheetFormatPr baseColWidth="10" defaultColWidth="11.5703125" defaultRowHeight="12.75" x14ac:dyDescent="0.2"/>
  <cols>
    <col min="1" max="2" width="2.140625" customWidth="1"/>
    <col min="3" max="3" width="12.5703125" customWidth="1"/>
    <col min="4" max="4" width="21" customWidth="1"/>
    <col min="7" max="7" width="26.5703125" customWidth="1"/>
    <col min="8" max="9" width="6.5703125" customWidth="1"/>
    <col min="10" max="10" width="10" customWidth="1"/>
    <col min="11" max="11" width="13" customWidth="1"/>
    <col min="12" max="12" width="21.42578125" customWidth="1"/>
    <col min="14" max="14" width="2.140625" customWidth="1"/>
    <col min="18" max="19" width="16.42578125" customWidth="1"/>
  </cols>
  <sheetData>
    <row r="1" spans="2:21" ht="13.5" thickBot="1" x14ac:dyDescent="0.25">
      <c r="O1" s="6"/>
      <c r="P1" s="48"/>
      <c r="Q1" s="48"/>
      <c r="R1" s="48"/>
      <c r="S1" s="48"/>
      <c r="T1" s="48"/>
      <c r="U1" s="48"/>
    </row>
    <row r="2" spans="2:21" ht="13.5" thickBot="1" x14ac:dyDescent="0.25">
      <c r="B2" s="71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6"/>
      <c r="P2" s="48"/>
      <c r="Q2" s="48"/>
      <c r="R2" s="48"/>
      <c r="S2" s="48"/>
      <c r="T2" s="48"/>
      <c r="U2" s="48"/>
    </row>
    <row r="3" spans="2:21" ht="15.75" customHeight="1" thickBot="1" x14ac:dyDescent="0.25">
      <c r="B3" s="74"/>
      <c r="D3" s="2" t="s">
        <v>433</v>
      </c>
      <c r="N3" s="75"/>
      <c r="O3" s="6"/>
      <c r="P3" s="273" t="s">
        <v>344</v>
      </c>
      <c r="Q3" s="441">
        <f>Long_ogive</f>
        <v>200</v>
      </c>
      <c r="R3" s="48"/>
      <c r="S3" s="48"/>
      <c r="T3" s="48"/>
      <c r="U3" s="48"/>
    </row>
    <row r="4" spans="2:21" ht="15.75" customHeight="1" x14ac:dyDescent="0.2">
      <c r="B4" s="74"/>
      <c r="D4" s="2"/>
      <c r="N4" s="75"/>
      <c r="O4" s="6"/>
      <c r="P4" s="273"/>
      <c r="Q4" s="436"/>
      <c r="R4" s="48"/>
      <c r="S4" s="48"/>
      <c r="T4" s="48"/>
      <c r="U4" s="48"/>
    </row>
    <row r="5" spans="2:21" ht="15.75" customHeight="1" x14ac:dyDescent="0.2">
      <c r="B5" s="74"/>
      <c r="D5" t="s">
        <v>466</v>
      </c>
      <c r="E5" t="str">
        <f>Propu</f>
        <v>Pandora</v>
      </c>
      <c r="G5" t="s">
        <v>463</v>
      </c>
      <c r="H5">
        <f>MasseSans</f>
        <v>2</v>
      </c>
      <c r="N5" s="75"/>
      <c r="O5" s="6"/>
      <c r="P5" s="273"/>
      <c r="Q5" s="436"/>
      <c r="R5" s="48"/>
      <c r="S5" s="48"/>
      <c r="T5" s="48"/>
      <c r="U5" s="48"/>
    </row>
    <row r="6" spans="2:21" x14ac:dyDescent="0.2">
      <c r="B6" s="74"/>
      <c r="D6" t="s">
        <v>459</v>
      </c>
      <c r="E6" s="2" t="str">
        <f>Trajecto!H32</f>
        <v>Brun/Orange…</v>
      </c>
      <c r="G6" t="s">
        <v>464</v>
      </c>
      <c r="H6">
        <f>D_ref</f>
        <v>84</v>
      </c>
      <c r="N6" s="75"/>
      <c r="O6" s="6"/>
      <c r="P6" s="273"/>
      <c r="Q6" s="436"/>
      <c r="R6" s="48"/>
      <c r="S6" s="48"/>
      <c r="T6" s="48"/>
      <c r="U6" s="48"/>
    </row>
    <row r="7" spans="2:21" x14ac:dyDescent="0.2">
      <c r="B7" s="74"/>
      <c r="D7" t="s">
        <v>461</v>
      </c>
      <c r="E7" s="2" t="str">
        <f>Trajecto!H33</f>
        <v>Rouge…</v>
      </c>
      <c r="G7" t="s">
        <v>5</v>
      </c>
      <c r="H7">
        <f>Cx</f>
        <v>0.6</v>
      </c>
      <c r="N7" s="75"/>
      <c r="O7" s="6"/>
      <c r="P7" s="273"/>
      <c r="Q7" s="436"/>
      <c r="R7" s="48"/>
      <c r="S7" s="48"/>
      <c r="T7" s="48"/>
      <c r="U7" s="48"/>
    </row>
    <row r="8" spans="2:21" x14ac:dyDescent="0.2">
      <c r="B8" s="74"/>
      <c r="D8" t="s">
        <v>462</v>
      </c>
      <c r="E8" s="2">
        <f>S_para</f>
        <v>1.5070049999999999</v>
      </c>
      <c r="G8" t="s">
        <v>465</v>
      </c>
      <c r="H8">
        <f>L_rampe</f>
        <v>2.5</v>
      </c>
      <c r="N8" s="75"/>
      <c r="O8" s="6"/>
      <c r="P8" s="273"/>
      <c r="Q8" s="436"/>
      <c r="R8" s="48"/>
      <c r="S8" s="48"/>
      <c r="T8" s="48"/>
      <c r="U8" s="48"/>
    </row>
    <row r="9" spans="2:21" x14ac:dyDescent="0.2">
      <c r="B9" s="74"/>
      <c r="D9" t="s">
        <v>460</v>
      </c>
      <c r="E9" s="2"/>
      <c r="G9" t="s">
        <v>149</v>
      </c>
      <c r="H9" s="534" t="str">
        <f>Forme_ogive</f>
        <v>Conique (droite)</v>
      </c>
      <c r="N9" s="75"/>
      <c r="O9" s="6"/>
      <c r="P9" s="273"/>
      <c r="Q9" s="436"/>
      <c r="R9" s="48"/>
      <c r="S9" s="48"/>
      <c r="T9" s="48"/>
      <c r="U9" s="48"/>
    </row>
    <row r="10" spans="2:21" x14ac:dyDescent="0.2">
      <c r="B10" s="74"/>
      <c r="F10" s="3"/>
      <c r="G10" s="6"/>
      <c r="N10" s="75"/>
      <c r="O10" s="523"/>
      <c r="P10" s="48"/>
      <c r="Q10" s="436"/>
      <c r="R10" s="48"/>
      <c r="S10" s="48"/>
      <c r="T10" s="48"/>
      <c r="U10" s="48"/>
    </row>
    <row r="11" spans="2:21" ht="13.5" thickBot="1" x14ac:dyDescent="0.25">
      <c r="B11" s="74"/>
      <c r="C11" s="12"/>
      <c r="D11" s="275" t="s">
        <v>458</v>
      </c>
      <c r="E11" s="243">
        <f>MasseSans</f>
        <v>2</v>
      </c>
      <c r="F11" s="246" t="s">
        <v>126</v>
      </c>
      <c r="G11" s="246" t="s">
        <v>128</v>
      </c>
      <c r="H11" s="658">
        <f ca="1">Vsortie_de_rampe</f>
        <v>19.686727388604385</v>
      </c>
      <c r="I11" s="659"/>
      <c r="J11" s="76"/>
      <c r="N11" s="75"/>
      <c r="P11" s="48"/>
      <c r="Q11" s="436"/>
      <c r="R11" s="48"/>
      <c r="S11" s="48"/>
      <c r="T11" s="48"/>
      <c r="U11" s="440">
        <f>IF(RIGHT(Nb_diam,1)=",", "", X_j)</f>
        <v>0</v>
      </c>
    </row>
    <row r="12" spans="2:21" ht="13.5" thickBot="1" x14ac:dyDescent="0.25">
      <c r="B12" s="74"/>
      <c r="C12" s="12"/>
      <c r="D12" s="276"/>
      <c r="E12" s="244"/>
      <c r="F12" s="6" t="s">
        <v>126</v>
      </c>
      <c r="G12" s="6" t="s">
        <v>129</v>
      </c>
      <c r="H12" s="660">
        <f>Finesse</f>
        <v>10.714285714285714</v>
      </c>
      <c r="I12" s="661"/>
      <c r="J12" s="76"/>
      <c r="N12" s="75"/>
      <c r="O12" s="6"/>
      <c r="P12" s="273" t="s">
        <v>345</v>
      </c>
      <c r="Q12" s="441">
        <f>D_og</f>
        <v>84</v>
      </c>
      <c r="R12" s="48"/>
      <c r="S12" s="48"/>
      <c r="T12" s="48"/>
      <c r="U12" s="436"/>
    </row>
    <row r="13" spans="2:21" x14ac:dyDescent="0.2">
      <c r="B13" s="74"/>
      <c r="C13" s="12"/>
      <c r="D13" s="276" t="s">
        <v>5</v>
      </c>
      <c r="E13" s="244">
        <f>Cx</f>
        <v>0.6</v>
      </c>
      <c r="F13" s="6" t="s">
        <v>126</v>
      </c>
      <c r="G13" s="6" t="s">
        <v>437</v>
      </c>
      <c r="H13" s="660">
        <f>Cn</f>
        <v>14.04334530817559</v>
      </c>
      <c r="I13" s="661"/>
      <c r="J13" s="76"/>
      <c r="N13" s="75"/>
      <c r="O13" s="6"/>
      <c r="P13" s="48"/>
      <c r="Q13" s="436"/>
      <c r="R13" s="48"/>
      <c r="S13" s="48"/>
      <c r="T13" s="48"/>
      <c r="U13" s="440">
        <f>IF(RIGHT(Nb_diam,1)=",", "", X_r)</f>
        <v>850</v>
      </c>
    </row>
    <row r="14" spans="2:21" x14ac:dyDescent="0.2">
      <c r="B14" s="74"/>
      <c r="C14" s="12"/>
      <c r="D14" s="276" t="s">
        <v>146</v>
      </c>
      <c r="E14" s="244">
        <f>L_rampe</f>
        <v>2.5</v>
      </c>
      <c r="F14" s="6" t="s">
        <v>126</v>
      </c>
      <c r="G14" s="6" t="s">
        <v>130</v>
      </c>
      <c r="H14" s="247">
        <f ca="1">MS_min</f>
        <v>2.2765384212591728</v>
      </c>
      <c r="I14" s="254">
        <f ca="1">MS_max</f>
        <v>2.3708990085193964</v>
      </c>
      <c r="J14" s="76"/>
      <c r="K14" s="76"/>
      <c r="N14" s="75"/>
      <c r="P14" s="48"/>
      <c r="Q14" s="436"/>
      <c r="R14" s="48"/>
      <c r="S14" s="48"/>
      <c r="T14" s="48"/>
      <c r="U14" s="436"/>
    </row>
    <row r="15" spans="2:21" x14ac:dyDescent="0.2">
      <c r="B15" s="74"/>
      <c r="C15" s="12"/>
      <c r="D15" s="276" t="s">
        <v>147</v>
      </c>
      <c r="E15" s="244">
        <f>ep_ail</f>
        <v>4</v>
      </c>
      <c r="F15" s="6" t="s">
        <v>126</v>
      </c>
      <c r="G15" s="6" t="s">
        <v>127</v>
      </c>
      <c r="H15" s="247">
        <f ca="1">MS_Cn_min</f>
        <v>31.970215157071472</v>
      </c>
      <c r="I15" s="254">
        <f ca="1">MS_Cn_max</f>
        <v>33.295353467449026</v>
      </c>
      <c r="J15" s="76"/>
      <c r="K15" s="76"/>
      <c r="N15" s="75"/>
      <c r="P15" s="48"/>
      <c r="Q15" s="436"/>
      <c r="R15" s="48"/>
      <c r="S15" s="48"/>
      <c r="T15" s="48"/>
    </row>
    <row r="16" spans="2:21" x14ac:dyDescent="0.2">
      <c r="B16" s="74"/>
      <c r="C16" s="12"/>
      <c r="D16" s="276" t="s">
        <v>148</v>
      </c>
      <c r="E16" s="244">
        <f>Q_ail</f>
        <v>4</v>
      </c>
      <c r="F16" s="6" t="s">
        <v>131</v>
      </c>
      <c r="G16" s="6" t="s">
        <v>132</v>
      </c>
      <c r="H16" s="247">
        <f ca="1">V_para</f>
        <v>4.7065667765471613</v>
      </c>
      <c r="I16" s="253">
        <f>V_satellite</f>
        <v>10.960038730752361</v>
      </c>
      <c r="J16" s="76"/>
      <c r="N16" s="75"/>
      <c r="P16" s="48"/>
      <c r="Q16" s="436"/>
      <c r="R16" s="48"/>
      <c r="S16" s="48"/>
      <c r="T16" s="48"/>
      <c r="U16" s="440">
        <f>IF(RIGHT(Nb_diam,1)=",", "", l_j)</f>
        <v>150</v>
      </c>
    </row>
    <row r="17" spans="2:21" x14ac:dyDescent="0.2">
      <c r="B17" s="74"/>
      <c r="C17" s="12"/>
      <c r="D17" s="276" t="s">
        <v>149</v>
      </c>
      <c r="E17" s="272" t="str">
        <f>Forme_ogive</f>
        <v>Conique (droite)</v>
      </c>
      <c r="F17" s="6" t="s">
        <v>133</v>
      </c>
      <c r="G17" s="6" t="s">
        <v>134</v>
      </c>
      <c r="H17" s="660">
        <f>T_para</f>
        <v>19</v>
      </c>
      <c r="I17" s="661"/>
      <c r="J17" s="258"/>
      <c r="N17" s="75"/>
      <c r="P17" s="434" t="s">
        <v>346</v>
      </c>
      <c r="Q17" s="440">
        <f>IF(RIGHT(Nb_diam,1)=",", "", D2j)</f>
        <v>84</v>
      </c>
      <c r="R17" s="48"/>
      <c r="S17" s="48"/>
      <c r="T17" s="48"/>
      <c r="U17" s="436"/>
    </row>
    <row r="18" spans="2:21" x14ac:dyDescent="0.2">
      <c r="B18" s="74"/>
      <c r="C18" s="12"/>
      <c r="D18" s="276" t="s">
        <v>151</v>
      </c>
      <c r="E18" s="244">
        <f ca="1">XpropuRef-Long_propu</f>
        <v>622</v>
      </c>
      <c r="F18" s="12" t="s">
        <v>133</v>
      </c>
      <c r="G18" s="12" t="s">
        <v>431</v>
      </c>
      <c r="H18" s="627">
        <f ca="1">T_para-Combustion-Depotage</f>
        <v>5.0300000000000011</v>
      </c>
      <c r="I18" s="664"/>
      <c r="N18" s="75"/>
      <c r="P18" s="48"/>
      <c r="Q18" s="436"/>
      <c r="R18" s="48"/>
      <c r="S18" s="48"/>
    </row>
    <row r="19" spans="2:21" x14ac:dyDescent="0.2">
      <c r="B19" s="74"/>
      <c r="C19" s="533"/>
      <c r="D19" s="269"/>
      <c r="E19" s="271"/>
      <c r="F19" s="521" t="s">
        <v>135</v>
      </c>
      <c r="G19" s="274" t="s">
        <v>430</v>
      </c>
      <c r="H19" s="665">
        <f ca="1">Portee_balistique</f>
        <v>56.288824373840264</v>
      </c>
      <c r="I19" s="666"/>
      <c r="N19" s="75"/>
      <c r="P19" s="48"/>
      <c r="Q19" s="436"/>
      <c r="R19" s="48"/>
      <c r="S19" s="48"/>
      <c r="T19" s="48"/>
    </row>
    <row r="20" spans="2:21" x14ac:dyDescent="0.2">
      <c r="B20" s="74"/>
      <c r="C20" s="12"/>
      <c r="D20" s="6"/>
      <c r="E20" s="6"/>
      <c r="H20" s="520"/>
      <c r="I20" s="520"/>
      <c r="N20" s="75"/>
      <c r="P20" s="48"/>
      <c r="Q20" s="436"/>
      <c r="R20" s="48"/>
      <c r="S20" s="48"/>
      <c r="T20" s="48"/>
      <c r="U20" s="440">
        <f>IF(RIGHT(Nb_diam,1)=",", "", l_r)</f>
        <v>50</v>
      </c>
    </row>
    <row r="21" spans="2:21" x14ac:dyDescent="0.2">
      <c r="B21" s="74"/>
      <c r="C21" s="12"/>
      <c r="D21" s="6"/>
      <c r="E21" s="263"/>
      <c r="F21" s="3"/>
      <c r="G21" s="6"/>
      <c r="H21" s="520"/>
      <c r="I21" s="520"/>
      <c r="N21" s="75"/>
      <c r="O21" s="273"/>
      <c r="P21" s="436"/>
      <c r="Q21" s="48"/>
      <c r="R21" s="48"/>
      <c r="S21" s="48"/>
      <c r="T21" s="226"/>
      <c r="U21" s="436"/>
    </row>
    <row r="22" spans="2:21" x14ac:dyDescent="0.2">
      <c r="B22" s="74"/>
      <c r="C22" s="528" t="s">
        <v>457</v>
      </c>
      <c r="D22" s="528" t="s">
        <v>441</v>
      </c>
      <c r="E22" s="529"/>
      <c r="F22" s="530" t="s">
        <v>446</v>
      </c>
      <c r="G22" s="528" t="s">
        <v>451</v>
      </c>
      <c r="I22" s="531"/>
      <c r="J22" s="532" t="s">
        <v>159</v>
      </c>
      <c r="K22" s="528" t="s">
        <v>160</v>
      </c>
      <c r="N22" s="75"/>
      <c r="O22" s="273"/>
      <c r="P22" s="436"/>
      <c r="Q22" s="48"/>
      <c r="R22" s="48"/>
      <c r="S22" s="48"/>
      <c r="T22" s="226"/>
      <c r="U22" s="436"/>
    </row>
    <row r="23" spans="2:21" x14ac:dyDescent="0.2">
      <c r="B23" s="74"/>
      <c r="C23" s="528" t="s">
        <v>456</v>
      </c>
      <c r="D23" s="529">
        <f>XcgSans</f>
        <v>500</v>
      </c>
      <c r="E23" s="529" t="s">
        <v>39</v>
      </c>
      <c r="F23" s="530">
        <f>m_ail</f>
        <v>130</v>
      </c>
      <c r="G23" s="528">
        <f>m_can</f>
        <v>178</v>
      </c>
      <c r="I23" s="531" t="s">
        <v>452</v>
      </c>
      <c r="J23" s="530">
        <f>l_j</f>
        <v>150</v>
      </c>
      <c r="K23" s="528">
        <f>l_r</f>
        <v>50</v>
      </c>
      <c r="N23" s="75"/>
      <c r="O23" s="273"/>
      <c r="P23" s="436"/>
      <c r="Q23" s="48"/>
      <c r="R23" s="48"/>
      <c r="S23" s="48"/>
      <c r="T23" s="226"/>
      <c r="U23" s="436"/>
    </row>
    <row r="24" spans="2:21" x14ac:dyDescent="0.2">
      <c r="B24" s="74"/>
      <c r="C24" s="528" t="s">
        <v>444</v>
      </c>
      <c r="D24" s="528">
        <f>Long_tot</f>
        <v>900</v>
      </c>
      <c r="E24" s="529" t="s">
        <v>447</v>
      </c>
      <c r="F24" s="530">
        <f>n_ail</f>
        <v>70</v>
      </c>
      <c r="G24" s="528">
        <f>n_can</f>
        <v>80</v>
      </c>
      <c r="I24" s="531" t="s">
        <v>453</v>
      </c>
      <c r="J24" s="530">
        <f>D1j</f>
        <v>84</v>
      </c>
      <c r="K24" s="528">
        <f>D1r</f>
        <v>84</v>
      </c>
      <c r="N24" s="75"/>
      <c r="O24" s="273"/>
      <c r="P24" s="436"/>
      <c r="Q24" s="48"/>
      <c r="R24" s="48"/>
      <c r="S24" s="48"/>
      <c r="T24" s="226"/>
      <c r="U24" s="436"/>
    </row>
    <row r="25" spans="2:21" x14ac:dyDescent="0.2">
      <c r="B25" s="74"/>
      <c r="C25" s="528" t="s">
        <v>445</v>
      </c>
      <c r="D25" s="528">
        <f>XpropuRef</f>
        <v>850</v>
      </c>
      <c r="E25" s="529" t="s">
        <v>448</v>
      </c>
      <c r="F25" s="530">
        <f>p_ail</f>
        <v>130</v>
      </c>
      <c r="G25" s="528">
        <f>p_can</f>
        <v>140</v>
      </c>
      <c r="I25" s="531" t="s">
        <v>454</v>
      </c>
      <c r="J25" s="530">
        <f>D2j</f>
        <v>84</v>
      </c>
      <c r="K25" s="528">
        <f>D2r</f>
        <v>84</v>
      </c>
      <c r="N25" s="75"/>
      <c r="O25" s="273"/>
      <c r="P25" s="436"/>
      <c r="Q25" s="48"/>
      <c r="R25" s="48"/>
      <c r="S25" s="48"/>
      <c r="T25" s="226"/>
      <c r="U25" s="436"/>
    </row>
    <row r="26" spans="2:21" x14ac:dyDescent="0.2">
      <c r="B26" s="74"/>
      <c r="C26" s="528" t="s">
        <v>442</v>
      </c>
      <c r="D26" s="528">
        <f>D_ref</f>
        <v>84</v>
      </c>
      <c r="E26" s="529" t="s">
        <v>449</v>
      </c>
      <c r="F26" s="530">
        <f>E_ail</f>
        <v>110</v>
      </c>
      <c r="G26" s="528">
        <f>E_can</f>
        <v>100</v>
      </c>
      <c r="I26" s="531" t="s">
        <v>455</v>
      </c>
      <c r="J26" s="530">
        <f>X_j</f>
        <v>0</v>
      </c>
      <c r="K26" s="528">
        <f>X_r</f>
        <v>850</v>
      </c>
      <c r="N26" s="75"/>
      <c r="O26" s="273"/>
      <c r="P26" s="436"/>
      <c r="Q26" s="48"/>
      <c r="R26" s="48"/>
      <c r="S26" s="48"/>
      <c r="T26" s="226"/>
      <c r="U26" s="436"/>
    </row>
    <row r="27" spans="2:21" x14ac:dyDescent="0.2">
      <c r="B27" s="74"/>
      <c r="C27" s="528" t="s">
        <v>443</v>
      </c>
      <c r="D27" s="528">
        <f>Long_ogive</f>
        <v>200</v>
      </c>
      <c r="E27" s="529" t="s">
        <v>450</v>
      </c>
      <c r="F27" s="530">
        <f>X_ail</f>
        <v>850</v>
      </c>
      <c r="G27" s="528">
        <f>X_can</f>
        <v>1000</v>
      </c>
      <c r="H27" s="520"/>
      <c r="I27" s="3"/>
      <c r="J27" s="2"/>
      <c r="N27" s="75"/>
      <c r="O27" s="273"/>
      <c r="P27" s="436"/>
      <c r="Q27" s="48"/>
      <c r="R27" s="48"/>
      <c r="S27" s="48"/>
      <c r="T27" s="226"/>
      <c r="U27" s="436"/>
    </row>
    <row r="28" spans="2:21" ht="13.5" thickBot="1" x14ac:dyDescent="0.25">
      <c r="B28" s="74"/>
      <c r="E28" s="95"/>
      <c r="N28" s="75"/>
      <c r="O28" s="2"/>
      <c r="P28" s="6"/>
      <c r="Q28" s="2"/>
      <c r="R28" s="48"/>
      <c r="S28" s="48"/>
      <c r="T28" s="48"/>
      <c r="U28" s="436"/>
    </row>
    <row r="29" spans="2:21" ht="13.5" thickBot="1" x14ac:dyDescent="0.25">
      <c r="B29" s="74"/>
      <c r="C29" s="663" t="s">
        <v>144</v>
      </c>
      <c r="D29" s="663" t="s">
        <v>136</v>
      </c>
      <c r="E29" s="663" t="s">
        <v>137</v>
      </c>
      <c r="F29" s="663"/>
      <c r="G29" s="663"/>
      <c r="H29" s="662" t="s">
        <v>138</v>
      </c>
      <c r="I29" s="662"/>
      <c r="J29" s="662"/>
      <c r="K29" s="662"/>
      <c r="L29" s="663" t="s">
        <v>139</v>
      </c>
      <c r="M29" s="663" t="s">
        <v>140</v>
      </c>
      <c r="N29" s="75"/>
      <c r="O29" s="273" t="s">
        <v>434</v>
      </c>
      <c r="P29" s="441">
        <f>n_ail</f>
        <v>70</v>
      </c>
      <c r="Q29" s="2"/>
      <c r="R29" s="48"/>
      <c r="S29" s="48"/>
      <c r="T29" s="48"/>
      <c r="U29" s="12" t="s">
        <v>438</v>
      </c>
    </row>
    <row r="30" spans="2:21" ht="13.5" thickBot="1" x14ac:dyDescent="0.25">
      <c r="B30" s="74"/>
      <c r="C30" s="663"/>
      <c r="D30" s="663"/>
      <c r="E30" s="663"/>
      <c r="F30" s="663"/>
      <c r="G30" s="663"/>
      <c r="H30" s="662" t="s">
        <v>141</v>
      </c>
      <c r="I30" s="662"/>
      <c r="J30" s="69" t="s">
        <v>142</v>
      </c>
      <c r="K30" s="70" t="s">
        <v>143</v>
      </c>
      <c r="L30" s="663"/>
      <c r="M30" s="663"/>
      <c r="N30" s="75"/>
      <c r="P30" s="12"/>
      <c r="R30" s="48"/>
      <c r="S30" s="48"/>
      <c r="T30" s="226" t="s">
        <v>436</v>
      </c>
      <c r="U30" s="525">
        <f>[0]!p_can</f>
        <v>140</v>
      </c>
    </row>
    <row r="31" spans="2:21" ht="13.5" thickBot="1" x14ac:dyDescent="0.25">
      <c r="B31" s="74"/>
      <c r="C31" s="83">
        <f>Beta_rampe</f>
        <v>85</v>
      </c>
      <c r="D31" s="84">
        <f ca="1">Portee_balistique</f>
        <v>56.288824373840264</v>
      </c>
      <c r="E31" s="671" t="e">
        <f ca="1">T_para+Dt_para</f>
        <v>#N/A</v>
      </c>
      <c r="F31" s="671"/>
      <c r="G31" s="671"/>
      <c r="H31" s="672">
        <f ca="1">Altitude_culmi</f>
        <v>165.14105142193264</v>
      </c>
      <c r="I31" s="672"/>
      <c r="J31" s="85">
        <f ca="1">Temps_culmi</f>
        <v>5.8999999999999959</v>
      </c>
      <c r="K31" s="86">
        <f ca="1">Vit_culmi</f>
        <v>4.94011363708504</v>
      </c>
      <c r="L31" s="84">
        <f ca="1">Acc_max</f>
        <v>101.47638606500777</v>
      </c>
      <c r="M31" s="86">
        <f ca="1">Vit_max</f>
        <v>55.677359556111739</v>
      </c>
      <c r="N31" s="75"/>
      <c r="O31" s="273" t="s">
        <v>440</v>
      </c>
      <c r="P31" s="441">
        <f>ep_ail</f>
        <v>4</v>
      </c>
      <c r="Q31" s="2"/>
      <c r="R31" s="48"/>
      <c r="S31" s="48"/>
      <c r="T31" s="226" t="s">
        <v>348</v>
      </c>
      <c r="U31" s="525">
        <f>[0]!m_can</f>
        <v>178</v>
      </c>
    </row>
    <row r="32" spans="2:21" ht="13.5" thickBot="1" x14ac:dyDescent="0.25">
      <c r="B32" s="74"/>
      <c r="C32" s="522"/>
      <c r="D32" s="242"/>
      <c r="E32" s="247"/>
      <c r="F32" s="247"/>
      <c r="G32" s="247"/>
      <c r="H32" s="283"/>
      <c r="I32" s="283"/>
      <c r="J32" s="247"/>
      <c r="K32" s="248"/>
      <c r="L32" s="242"/>
      <c r="M32" s="248"/>
      <c r="N32" s="75"/>
      <c r="O32" s="273" t="s">
        <v>439</v>
      </c>
      <c r="P32" s="524">
        <f>Q_ail</f>
        <v>4</v>
      </c>
      <c r="Q32" s="2"/>
      <c r="R32" s="48"/>
      <c r="S32" s="48"/>
      <c r="T32" s="226" t="s">
        <v>434</v>
      </c>
      <c r="U32" s="525">
        <f>[0]!n_can</f>
        <v>80</v>
      </c>
    </row>
    <row r="33" spans="2:21" ht="13.5" thickBot="1" x14ac:dyDescent="0.25">
      <c r="B33" s="74"/>
      <c r="D33" s="80"/>
      <c r="E33" s="81"/>
      <c r="F33" s="81"/>
      <c r="G33" s="81"/>
      <c r="H33" s="82"/>
      <c r="I33" s="82"/>
      <c r="J33" s="81"/>
      <c r="K33" s="76"/>
      <c r="L33" s="80"/>
      <c r="M33" s="76"/>
      <c r="N33" s="75"/>
      <c r="O33" s="2"/>
      <c r="Q33" s="2"/>
      <c r="R33" s="48"/>
      <c r="S33" s="48"/>
      <c r="T33" s="226" t="s">
        <v>435</v>
      </c>
      <c r="U33" s="525">
        <f>[0]!E_can</f>
        <v>100</v>
      </c>
    </row>
    <row r="34" spans="2:21" ht="13.5" thickBot="1" x14ac:dyDescent="0.25"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/>
      <c r="O34" s="2"/>
      <c r="P34" s="273" t="s">
        <v>435</v>
      </c>
      <c r="Q34" s="441">
        <f>E_ail</f>
        <v>110</v>
      </c>
      <c r="T34" s="226" t="s">
        <v>440</v>
      </c>
      <c r="U34" s="525">
        <f>[0]!ep_can</f>
        <v>3</v>
      </c>
    </row>
    <row r="35" spans="2:21" x14ac:dyDescent="0.2">
      <c r="O35" s="2"/>
      <c r="P35" s="6"/>
      <c r="Q35" s="6"/>
      <c r="T35" s="226" t="s">
        <v>439</v>
      </c>
      <c r="U35" s="525">
        <f>[0]!Q_can</f>
        <v>4</v>
      </c>
    </row>
    <row r="36" spans="2:21" ht="13.5" thickBot="1" x14ac:dyDescent="0.25">
      <c r="T36" s="2"/>
      <c r="U36" s="12"/>
    </row>
    <row r="37" spans="2:21" x14ac:dyDescent="0.2">
      <c r="B37" s="71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3"/>
      <c r="T37" s="2"/>
    </row>
    <row r="38" spans="2:21" x14ac:dyDescent="0.2">
      <c r="B38" s="74"/>
      <c r="D38" s="2" t="s">
        <v>198</v>
      </c>
      <c r="N38" s="75"/>
    </row>
    <row r="39" spans="2:21" x14ac:dyDescent="0.2">
      <c r="B39" s="74"/>
      <c r="D39" s="2"/>
      <c r="N39" s="75"/>
    </row>
    <row r="40" spans="2:21" x14ac:dyDescent="0.2">
      <c r="B40" s="74"/>
      <c r="D40" s="275" t="s">
        <v>152</v>
      </c>
      <c r="E40" s="246">
        <f>D_ref</f>
        <v>84</v>
      </c>
      <c r="F40" s="265"/>
      <c r="G40" s="265"/>
      <c r="H40" s="261" t="s">
        <v>201</v>
      </c>
      <c r="I40" s="261" t="s">
        <v>202</v>
      </c>
      <c r="J40" s="262" t="s">
        <v>203</v>
      </c>
      <c r="N40" s="75"/>
    </row>
    <row r="41" spans="2:21" x14ac:dyDescent="0.2">
      <c r="B41" s="74"/>
      <c r="D41" s="276" t="s">
        <v>150</v>
      </c>
      <c r="E41" s="6">
        <f>Long_ogive</f>
        <v>200</v>
      </c>
      <c r="F41" s="2"/>
      <c r="G41" s="2" t="s">
        <v>204</v>
      </c>
      <c r="H41" s="6">
        <f>MasseSans</f>
        <v>2</v>
      </c>
      <c r="I41" s="6">
        <f ca="1">MasseVide</f>
        <v>2.0842999999999998</v>
      </c>
      <c r="J41" s="244">
        <f ca="1">MassePlein</f>
        <v>2.1598999999999999</v>
      </c>
      <c r="N41" s="75"/>
    </row>
    <row r="42" spans="2:21" x14ac:dyDescent="0.2">
      <c r="B42" s="74"/>
      <c r="D42" s="276" t="s">
        <v>153</v>
      </c>
      <c r="E42" s="6">
        <f>X_ail-m_ail</f>
        <v>720</v>
      </c>
      <c r="F42" s="255"/>
      <c r="G42" s="255" t="s">
        <v>221</v>
      </c>
      <c r="H42" s="263">
        <f>XcgSans</f>
        <v>500</v>
      </c>
      <c r="I42" s="263">
        <f ca="1">XcgVide</f>
        <v>509.54507508516048</v>
      </c>
      <c r="J42" s="245">
        <f ca="1">XcgPlein</f>
        <v>517.47136441501925</v>
      </c>
      <c r="N42" s="75"/>
    </row>
    <row r="43" spans="2:21" x14ac:dyDescent="0.2">
      <c r="B43" s="74"/>
      <c r="D43" s="276" t="str">
        <f>IF(Lang="Français","Emplanture 'm'",IF(Lang="English","Root edge  'm'",""))</f>
        <v>Emplanture 'm'</v>
      </c>
      <c r="E43" s="244">
        <f>m_ail</f>
        <v>130</v>
      </c>
      <c r="N43" s="75"/>
    </row>
    <row r="44" spans="2:21" x14ac:dyDescent="0.2">
      <c r="B44" s="74"/>
      <c r="D44" s="276" t="str">
        <f>IF(Lang="Français","Saumon      'n'",IF(Lang="English","Tip edge    'n'",""))</f>
        <v>Saumon      'n'</v>
      </c>
      <c r="E44" s="244">
        <f>n_ail</f>
        <v>70</v>
      </c>
      <c r="F44" s="246" t="s">
        <v>205</v>
      </c>
      <c r="G44" s="246" t="s">
        <v>210</v>
      </c>
      <c r="H44" s="658">
        <f ca="1">Vsortie_de_rampe</f>
        <v>19.686727388604385</v>
      </c>
      <c r="I44" s="659"/>
      <c r="N44" s="75"/>
    </row>
    <row r="45" spans="2:21" x14ac:dyDescent="0.2">
      <c r="B45" s="74"/>
      <c r="D45" s="276" t="str">
        <f>IF(Lang="Français","Flèche        'p'",IF(Lang="English","Offset         'p'",""))</f>
        <v>Flèche        'p'</v>
      </c>
      <c r="E45" s="244">
        <f>p_ail</f>
        <v>130</v>
      </c>
      <c r="F45" s="6" t="s">
        <v>206</v>
      </c>
      <c r="G45" s="6" t="s">
        <v>211</v>
      </c>
      <c r="H45" s="660">
        <f>Finesse</f>
        <v>10.714285714285714</v>
      </c>
      <c r="I45" s="661"/>
      <c r="N45" s="75"/>
    </row>
    <row r="46" spans="2:21" x14ac:dyDescent="0.2">
      <c r="B46" s="74"/>
      <c r="D46" s="276" t="str">
        <f>IF(Lang="Français","Envergure   'E'",IF(Lang="English","Span          'E'",""))</f>
        <v>Envergure   'E'</v>
      </c>
      <c r="E46" s="244">
        <f>E_ail</f>
        <v>110</v>
      </c>
      <c r="F46" s="6" t="s">
        <v>207</v>
      </c>
      <c r="G46" s="6" t="s">
        <v>212</v>
      </c>
      <c r="H46" s="660">
        <f>Cn</f>
        <v>14.04334530817559</v>
      </c>
      <c r="I46" s="661"/>
      <c r="N46" s="75"/>
    </row>
    <row r="47" spans="2:21" x14ac:dyDescent="0.2">
      <c r="B47" s="74"/>
      <c r="D47" s="276" t="s">
        <v>147</v>
      </c>
      <c r="E47" s="244">
        <f>ep_ail</f>
        <v>4</v>
      </c>
      <c r="F47" s="6" t="s">
        <v>208</v>
      </c>
      <c r="G47" s="6" t="s">
        <v>213</v>
      </c>
      <c r="H47" s="247">
        <f ca="1">MS_min</f>
        <v>2.2765384212591728</v>
      </c>
      <c r="I47" s="254">
        <f ca="1">MS_max</f>
        <v>2.3708990085193964</v>
      </c>
      <c r="N47" s="75"/>
    </row>
    <row r="48" spans="2:21" x14ac:dyDescent="0.2">
      <c r="B48" s="74"/>
      <c r="D48" s="276" t="s">
        <v>148</v>
      </c>
      <c r="E48" s="244">
        <f>Q_ail</f>
        <v>4</v>
      </c>
      <c r="F48" s="274" t="s">
        <v>209</v>
      </c>
      <c r="G48" s="274" t="s">
        <v>214</v>
      </c>
      <c r="H48" s="256">
        <f ca="1">MS_Cn_min</f>
        <v>31.970215157071472</v>
      </c>
      <c r="I48" s="264">
        <f ca="1">MS_Cn_max</f>
        <v>33.295353467449026</v>
      </c>
      <c r="N48" s="75"/>
    </row>
    <row r="49" spans="2:14" x14ac:dyDescent="0.2">
      <c r="B49" s="74"/>
      <c r="D49" s="276" t="s">
        <v>151</v>
      </c>
      <c r="E49" s="244">
        <f ca="1">XpropuRef-Long_propu</f>
        <v>622</v>
      </c>
      <c r="N49" s="75"/>
    </row>
    <row r="50" spans="2:14" x14ac:dyDescent="0.2">
      <c r="B50" s="74"/>
      <c r="D50" s="276" t="s">
        <v>149</v>
      </c>
      <c r="E50" s="272" t="str">
        <f>Forme_ogive</f>
        <v>Conique (droite)</v>
      </c>
      <c r="F50" s="273" t="s">
        <v>186</v>
      </c>
      <c r="G50" s="275" t="s">
        <v>5</v>
      </c>
      <c r="H50" s="246">
        <f>Cx</f>
        <v>0.6</v>
      </c>
      <c r="I50" s="265"/>
      <c r="J50" s="266"/>
      <c r="N50" s="75"/>
    </row>
    <row r="51" spans="2:14" x14ac:dyDescent="0.2">
      <c r="B51" s="74"/>
      <c r="D51" s="276" t="s">
        <v>145</v>
      </c>
      <c r="E51" s="244">
        <f>Long_tot</f>
        <v>900</v>
      </c>
      <c r="G51" s="276" t="s">
        <v>215</v>
      </c>
      <c r="H51" s="6">
        <f>Sref</f>
        <v>7.3017694409323953E-3</v>
      </c>
      <c r="J51" s="267"/>
      <c r="N51" s="75"/>
    </row>
    <row r="52" spans="2:14" x14ac:dyDescent="0.2">
      <c r="B52" s="74"/>
      <c r="D52" s="276" t="s">
        <v>199</v>
      </c>
      <c r="E52" s="244">
        <f>MAX(D_ref,D_ail,D_og,(RIGHT(Nb_diam,1)=",")*MAX(D1j,D1r,D2j,D2r))</f>
        <v>84</v>
      </c>
      <c r="G52" s="276" t="s">
        <v>216</v>
      </c>
      <c r="H52" s="6">
        <f>Beta_rampe</f>
        <v>85</v>
      </c>
      <c r="I52" s="6">
        <v>80</v>
      </c>
      <c r="J52" s="244">
        <v>90</v>
      </c>
      <c r="N52" s="75"/>
    </row>
    <row r="53" spans="2:14" x14ac:dyDescent="0.2">
      <c r="B53" s="74"/>
      <c r="D53" s="277" t="s">
        <v>200</v>
      </c>
      <c r="E53" s="260">
        <f>E_ail*2+D_ail</f>
        <v>284</v>
      </c>
      <c r="G53" s="278" t="s">
        <v>218</v>
      </c>
      <c r="H53" s="247">
        <f ca="1">Temps_culmi</f>
        <v>5.8999999999999959</v>
      </c>
      <c r="I53" s="259"/>
      <c r="J53" s="268"/>
      <c r="N53" s="75"/>
    </row>
    <row r="54" spans="2:14" x14ac:dyDescent="0.2">
      <c r="B54" s="74"/>
      <c r="G54" s="278" t="s">
        <v>219</v>
      </c>
      <c r="H54" s="242">
        <f ca="1">Altitude_culmi</f>
        <v>165.14105142193264</v>
      </c>
      <c r="I54" s="259"/>
      <c r="J54" s="268"/>
      <c r="N54" s="75"/>
    </row>
    <row r="55" spans="2:14" x14ac:dyDescent="0.2">
      <c r="B55" s="74"/>
      <c r="C55" s="275" t="s">
        <v>236</v>
      </c>
      <c r="D55" s="249" t="s">
        <v>63</v>
      </c>
      <c r="E55" s="243">
        <f>Long_tot</f>
        <v>900</v>
      </c>
      <c r="G55" s="278" t="s">
        <v>220</v>
      </c>
      <c r="H55" s="248">
        <f ca="1">Vit_culmi</f>
        <v>4.94011363708504</v>
      </c>
      <c r="I55" s="259"/>
      <c r="J55" s="268"/>
      <c r="N55" s="75"/>
    </row>
    <row r="56" spans="2:14" x14ac:dyDescent="0.2">
      <c r="B56" s="74"/>
      <c r="C56" s="276"/>
      <c r="D56" s="2" t="s">
        <v>222</v>
      </c>
      <c r="E56" s="244">
        <f>MAX(D_ref,D_ail,D_og,(RIGHT(Nb_diam,1)=",")*MAX(D1j,D1r,D2j,D2r))</f>
        <v>84</v>
      </c>
      <c r="G56" s="278" t="s">
        <v>136</v>
      </c>
      <c r="H56" s="242">
        <f ca="1">Portee_balistique</f>
        <v>56.288824373840264</v>
      </c>
      <c r="I56" s="259"/>
      <c r="J56" s="268"/>
      <c r="N56" s="75"/>
    </row>
    <row r="57" spans="2:14" x14ac:dyDescent="0.2">
      <c r="B57" s="74"/>
      <c r="C57" s="276"/>
      <c r="D57" s="2" t="s">
        <v>223</v>
      </c>
      <c r="E57" s="244">
        <f>E_ail*2+D_ail</f>
        <v>284</v>
      </c>
      <c r="G57" s="278" t="s">
        <v>217</v>
      </c>
      <c r="H57" s="242">
        <f ca="1">T_balistique</f>
        <v>11.999999999999975</v>
      </c>
      <c r="I57" s="259"/>
      <c r="J57" s="268"/>
      <c r="N57" s="75"/>
    </row>
    <row r="58" spans="2:14" x14ac:dyDescent="0.2">
      <c r="B58" s="74"/>
      <c r="C58" s="276"/>
      <c r="D58" s="2" t="s">
        <v>224</v>
      </c>
      <c r="E58" s="244">
        <f ca="1">MassePlein</f>
        <v>2.1598999999999999</v>
      </c>
      <c r="G58" s="278" t="s">
        <v>140</v>
      </c>
      <c r="H58" s="248">
        <f ca="1">Vit_max</f>
        <v>55.677359556111739</v>
      </c>
      <c r="I58" s="259"/>
      <c r="J58" s="268"/>
      <c r="N58" s="75"/>
    </row>
    <row r="59" spans="2:14" x14ac:dyDescent="0.2">
      <c r="B59" s="74"/>
      <c r="C59" s="277" t="s">
        <v>237</v>
      </c>
      <c r="D59" s="255" t="s">
        <v>148</v>
      </c>
      <c r="E59" s="260">
        <f>Q_ail</f>
        <v>4</v>
      </c>
      <c r="G59" s="278" t="s">
        <v>139</v>
      </c>
      <c r="H59" s="242">
        <f ca="1">Acc_max</f>
        <v>101.47638606500777</v>
      </c>
      <c r="I59" s="259"/>
      <c r="J59" s="268"/>
      <c r="N59" s="75"/>
    </row>
    <row r="60" spans="2:14" x14ac:dyDescent="0.2">
      <c r="B60" s="74"/>
      <c r="C60" s="12"/>
      <c r="G60" s="269" t="s">
        <v>225</v>
      </c>
      <c r="H60" s="270"/>
      <c r="I60" s="270"/>
      <c r="J60" s="271"/>
      <c r="N60" s="75"/>
    </row>
    <row r="61" spans="2:14" x14ac:dyDescent="0.2">
      <c r="B61" s="74"/>
      <c r="C61" s="275"/>
      <c r="D61" s="249"/>
      <c r="E61" s="246" t="s">
        <v>229</v>
      </c>
      <c r="F61" s="243" t="s">
        <v>230</v>
      </c>
      <c r="G61" s="2"/>
      <c r="H61" s="2"/>
      <c r="I61" s="2"/>
      <c r="J61" s="2"/>
      <c r="K61" s="2"/>
      <c r="N61" s="75"/>
    </row>
    <row r="62" spans="2:14" x14ac:dyDescent="0.2">
      <c r="B62" s="74"/>
      <c r="C62" s="276" t="s">
        <v>238</v>
      </c>
      <c r="D62" s="2" t="s">
        <v>228</v>
      </c>
      <c r="E62" s="242">
        <f ca="1">2*Acc_max*MassePlein</f>
        <v>438.35769252362059</v>
      </c>
      <c r="F62" s="280">
        <f ca="1">E62/9.81</f>
        <v>44.684780073763562</v>
      </c>
      <c r="H62" s="2"/>
      <c r="I62" s="2"/>
      <c r="J62" s="2"/>
      <c r="K62" s="2"/>
      <c r="N62" s="75"/>
    </row>
    <row r="63" spans="2:14" x14ac:dyDescent="0.2">
      <c r="B63" s="74"/>
      <c r="C63" s="276"/>
      <c r="D63" s="2" t="s">
        <v>226</v>
      </c>
      <c r="E63" s="242">
        <f ca="1">2*Acc_max*Masse_ail</f>
        <v>17.859843947441366</v>
      </c>
      <c r="F63" s="248">
        <f ca="1">E63/9.81</f>
        <v>1.8205753259369384</v>
      </c>
      <c r="G63" s="246" t="s">
        <v>232</v>
      </c>
      <c r="H63" s="288">
        <f>S_ail*(ep_ail/1000)*2000</f>
        <v>8.7999999999999995E-2</v>
      </c>
      <c r="I63" s="2"/>
      <c r="J63" s="2"/>
      <c r="K63" s="2"/>
      <c r="N63" s="75"/>
    </row>
    <row r="64" spans="2:14" x14ac:dyDescent="0.2">
      <c r="B64" s="74"/>
      <c r="C64" s="277"/>
      <c r="D64" s="255" t="s">
        <v>227</v>
      </c>
      <c r="E64" s="263">
        <f ca="1">0.104*S_ail*Vit_max^2</f>
        <v>3.5463638120087855</v>
      </c>
      <c r="F64" s="281">
        <f ca="1">E64/9.81</f>
        <v>0.36150497573993734</v>
      </c>
      <c r="G64" s="274" t="s">
        <v>231</v>
      </c>
      <c r="H64" s="289">
        <f>(E_ail*(m_ail+n_ail)/2)/10^6</f>
        <v>1.0999999999999999E-2</v>
      </c>
      <c r="I64" s="2"/>
      <c r="J64" s="2"/>
      <c r="K64" s="2"/>
      <c r="N64" s="75"/>
    </row>
    <row r="65" spans="2:14" x14ac:dyDescent="0.2">
      <c r="B65" s="74"/>
      <c r="C65" s="282" t="s">
        <v>245</v>
      </c>
      <c r="D65" s="285" t="s">
        <v>243</v>
      </c>
      <c r="E65" s="286">
        <f ca="1">2*Acc_max*H65</f>
        <v>219.17884626181029</v>
      </c>
      <c r="F65" s="286">
        <f ca="1">E65/9.81</f>
        <v>22.342390036881781</v>
      </c>
      <c r="G65" s="287" t="s">
        <v>244</v>
      </c>
      <c r="H65" s="279">
        <f ca="1">E58/2</f>
        <v>1.07995</v>
      </c>
      <c r="I65" s="2"/>
      <c r="J65" s="2"/>
      <c r="K65" s="2"/>
      <c r="N65" s="75"/>
    </row>
    <row r="66" spans="2:14" x14ac:dyDescent="0.2">
      <c r="B66" s="74"/>
      <c r="C66" s="6"/>
      <c r="D66" s="2"/>
      <c r="E66" s="2"/>
      <c r="F66" s="2"/>
      <c r="G66" s="2"/>
      <c r="H66" s="2"/>
      <c r="I66" s="2"/>
      <c r="J66" s="2"/>
      <c r="K66" s="2"/>
      <c r="N66" s="75"/>
    </row>
    <row r="67" spans="2:14" x14ac:dyDescent="0.2">
      <c r="B67" s="74"/>
      <c r="F67" s="275" t="s">
        <v>235</v>
      </c>
      <c r="G67" s="249" t="s">
        <v>233</v>
      </c>
      <c r="H67" s="250">
        <f>T_para</f>
        <v>19</v>
      </c>
      <c r="I67" s="251">
        <f ca="1">Temps_culmi</f>
        <v>5.8999999999999959</v>
      </c>
      <c r="J67" s="2"/>
      <c r="K67" s="2"/>
      <c r="N67" s="75"/>
    </row>
    <row r="68" spans="2:14" x14ac:dyDescent="0.2">
      <c r="B68" s="74"/>
      <c r="C68" s="6"/>
      <c r="D68" s="2"/>
      <c r="E68" s="2"/>
      <c r="F68" s="275" t="s">
        <v>234</v>
      </c>
      <c r="G68" s="249" t="s">
        <v>132</v>
      </c>
      <c r="H68" s="250">
        <f ca="1">V_para</f>
        <v>4.7065667765471613</v>
      </c>
      <c r="I68" s="251">
        <f>V_satellite</f>
        <v>10.960038730752361</v>
      </c>
      <c r="J68" s="2"/>
      <c r="K68" s="2"/>
      <c r="N68" s="75"/>
    </row>
    <row r="69" spans="2:14" x14ac:dyDescent="0.2">
      <c r="B69" s="74"/>
      <c r="C69" s="6"/>
      <c r="D69" s="2"/>
      <c r="E69" s="2"/>
      <c r="F69" s="276"/>
      <c r="G69" s="2" t="s">
        <v>240</v>
      </c>
      <c r="H69" s="247">
        <f>S_para</f>
        <v>1.5070049999999999</v>
      </c>
      <c r="I69" s="253">
        <f>S_satellite</f>
        <v>0.02</v>
      </c>
      <c r="J69" s="2"/>
      <c r="K69" s="2"/>
      <c r="N69" s="75"/>
    </row>
    <row r="70" spans="2:14" x14ac:dyDescent="0.2">
      <c r="B70" s="74"/>
      <c r="C70" s="226"/>
      <c r="D70" s="2"/>
      <c r="F70" s="276"/>
      <c r="G70" s="2" t="s">
        <v>239</v>
      </c>
      <c r="H70" s="247" t="e">
        <f ca="1">V_ouverture</f>
        <v>#N/A</v>
      </c>
      <c r="I70" s="253">
        <f ca="1">V_ouv_sat</f>
        <v>25.699034386646982</v>
      </c>
      <c r="N70" s="75"/>
    </row>
    <row r="71" spans="2:14" x14ac:dyDescent="0.2">
      <c r="B71" s="74"/>
      <c r="C71" s="226"/>
      <c r="F71" s="276"/>
      <c r="G71" s="2" t="s">
        <v>204</v>
      </c>
      <c r="H71" s="247">
        <f ca="1">m_vide</f>
        <v>2.0842999999999998</v>
      </c>
      <c r="I71" s="253">
        <f>m_satellite</f>
        <v>0.15</v>
      </c>
      <c r="N71" s="75"/>
    </row>
    <row r="72" spans="2:14" x14ac:dyDescent="0.2">
      <c r="B72" s="74"/>
      <c r="C72" s="226"/>
      <c r="F72" s="276"/>
      <c r="G72" s="2" t="s">
        <v>241</v>
      </c>
      <c r="H72" s="283" t="e">
        <f ca="1">1/2*Rho_moyen*S_para*V_ouverture^2</f>
        <v>#N/A</v>
      </c>
      <c r="I72" s="284">
        <f ca="1">1/2*Rho_moyen*S_satellite*V_ouv_sat^2</f>
        <v>8.0903945129742851</v>
      </c>
      <c r="N72" s="75"/>
    </row>
    <row r="73" spans="2:14" x14ac:dyDescent="0.2">
      <c r="B73" s="74"/>
      <c r="D73" s="2"/>
      <c r="F73" s="277"/>
      <c r="G73" s="255" t="s">
        <v>242</v>
      </c>
      <c r="H73" s="256" t="e">
        <f ca="1">H72/9.81</f>
        <v>#N/A</v>
      </c>
      <c r="I73" s="257">
        <f ca="1">I72/9.81</f>
        <v>0.8247089207924857</v>
      </c>
      <c r="N73" s="75"/>
    </row>
    <row r="74" spans="2:14" ht="13.5" thickBot="1" x14ac:dyDescent="0.25">
      <c r="B74" s="77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9"/>
    </row>
    <row r="76" spans="2:14" ht="13.5" thickBot="1" x14ac:dyDescent="0.25"/>
    <row r="77" spans="2:14" x14ac:dyDescent="0.2">
      <c r="B77" s="71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3"/>
    </row>
    <row r="78" spans="2:14" x14ac:dyDescent="0.2">
      <c r="B78" s="74"/>
      <c r="D78" s="2" t="s">
        <v>337</v>
      </c>
      <c r="N78" s="75"/>
    </row>
    <row r="79" spans="2:14" ht="12.75" customHeight="1" x14ac:dyDescent="0.25">
      <c r="B79" s="74"/>
      <c r="E79" s="48"/>
      <c r="F79" s="48"/>
      <c r="G79" s="435" t="s">
        <v>343</v>
      </c>
      <c r="I79" s="448"/>
      <c r="J79" s="48"/>
      <c r="K79" s="48"/>
      <c r="N79" s="75"/>
    </row>
    <row r="80" spans="2:14" x14ac:dyDescent="0.2">
      <c r="B80" s="74"/>
      <c r="C80" s="275" t="s">
        <v>338</v>
      </c>
      <c r="D80" s="243" t="str">
        <f>Nom</f>
        <v>SP-02-beta</v>
      </c>
      <c r="E80" s="48"/>
      <c r="F80" s="48"/>
      <c r="G80" s="48"/>
      <c r="H80" s="48"/>
      <c r="I80" s="48"/>
      <c r="J80" s="48"/>
      <c r="K80" s="48"/>
      <c r="N80" s="75"/>
    </row>
    <row r="81" spans="2:14" ht="13.5" thickBot="1" x14ac:dyDescent="0.25">
      <c r="B81" s="74"/>
      <c r="C81" s="276" t="s">
        <v>4</v>
      </c>
      <c r="D81" s="244" t="str">
        <f>Club</f>
        <v>l'AéroIPSA</v>
      </c>
      <c r="E81" s="48"/>
      <c r="F81" s="48"/>
      <c r="G81" s="48"/>
      <c r="H81" s="48"/>
      <c r="I81" s="48"/>
      <c r="J81" s="48"/>
      <c r="K81" s="48"/>
      <c r="N81" s="75"/>
    </row>
    <row r="82" spans="2:14" ht="13.5" thickBot="1" x14ac:dyDescent="0.25">
      <c r="B82" s="74"/>
      <c r="C82" s="432" t="s">
        <v>339</v>
      </c>
      <c r="D82" s="244" t="s">
        <v>14</v>
      </c>
      <c r="E82" s="273" t="s">
        <v>344</v>
      </c>
      <c r="F82" s="441">
        <f>Long_ogive</f>
        <v>200</v>
      </c>
      <c r="G82" s="48"/>
      <c r="H82" s="48"/>
      <c r="I82" s="48"/>
      <c r="J82" s="48"/>
      <c r="K82" s="48"/>
      <c r="N82" s="75"/>
    </row>
    <row r="83" spans="2:14" x14ac:dyDescent="0.2">
      <c r="B83" s="74"/>
      <c r="C83" s="277" t="s">
        <v>340</v>
      </c>
      <c r="D83" s="433">
        <f ca="1">TODAY()</f>
        <v>45775</v>
      </c>
      <c r="E83" s="48"/>
      <c r="F83" s="436"/>
      <c r="G83" s="48"/>
      <c r="H83" s="48"/>
      <c r="I83" s="48"/>
      <c r="J83" s="48"/>
      <c r="K83" s="48"/>
      <c r="N83" s="75"/>
    </row>
    <row r="84" spans="2:14" ht="13.5" thickBot="1" x14ac:dyDescent="0.25">
      <c r="B84" s="74"/>
      <c r="E84" s="48"/>
      <c r="F84" s="436"/>
      <c r="G84" s="48"/>
      <c r="H84" s="48"/>
      <c r="I84" s="48"/>
      <c r="J84" s="440">
        <f>IF(RIGHT(Nb_diam,1)=",", "", X_j)</f>
        <v>0</v>
      </c>
      <c r="K84" s="48"/>
      <c r="N84" s="75"/>
    </row>
    <row r="85" spans="2:14" ht="13.5" thickBot="1" x14ac:dyDescent="0.25">
      <c r="B85" s="74"/>
      <c r="C85" s="275" t="s">
        <v>341</v>
      </c>
      <c r="D85" s="243" t="str">
        <f>Propu</f>
        <v>Pandora</v>
      </c>
      <c r="E85" s="273" t="s">
        <v>345</v>
      </c>
      <c r="F85" s="441">
        <f>D_og</f>
        <v>84</v>
      </c>
      <c r="G85" s="48"/>
      <c r="H85" s="48"/>
      <c r="I85" s="48"/>
      <c r="J85" s="436"/>
      <c r="K85" s="48"/>
      <c r="N85" s="75"/>
    </row>
    <row r="86" spans="2:14" x14ac:dyDescent="0.2">
      <c r="B86" s="74"/>
      <c r="C86" s="277" t="s">
        <v>342</v>
      </c>
      <c r="D86" s="260" t="s">
        <v>14</v>
      </c>
      <c r="E86" s="48"/>
      <c r="F86" s="436"/>
      <c r="G86" s="48"/>
      <c r="H86" s="48"/>
      <c r="I86" s="48"/>
      <c r="J86" s="440">
        <f>IF(RIGHT(Nb_diam,1)=",", "", X_r)</f>
        <v>850</v>
      </c>
      <c r="K86" s="48"/>
      <c r="N86" s="75"/>
    </row>
    <row r="87" spans="2:14" x14ac:dyDescent="0.2">
      <c r="B87" s="74"/>
      <c r="E87" s="48"/>
      <c r="F87" s="436"/>
      <c r="G87" s="48"/>
      <c r="H87" s="48"/>
      <c r="I87" s="48"/>
      <c r="J87" s="436"/>
      <c r="K87" s="48"/>
      <c r="N87" s="75"/>
    </row>
    <row r="88" spans="2:14" x14ac:dyDescent="0.2">
      <c r="B88" s="74"/>
      <c r="E88" s="48"/>
      <c r="F88" s="436"/>
      <c r="G88" s="48"/>
      <c r="H88" s="48"/>
      <c r="I88" s="48"/>
      <c r="J88" s="440">
        <f>IF(RIGHT(Nb_diam,1)=",", "", l_j)</f>
        <v>150</v>
      </c>
      <c r="K88" s="48"/>
      <c r="N88" s="75"/>
    </row>
    <row r="89" spans="2:14" ht="13.5" thickBot="1" x14ac:dyDescent="0.25">
      <c r="B89" s="74"/>
      <c r="E89" s="48"/>
      <c r="F89" s="436"/>
      <c r="G89" s="48"/>
      <c r="H89" s="48"/>
      <c r="I89" s="48"/>
      <c r="J89" s="436"/>
      <c r="K89" s="48"/>
      <c r="N89" s="75"/>
    </row>
    <row r="90" spans="2:14" ht="13.5" thickBot="1" x14ac:dyDescent="0.25">
      <c r="B90" s="74"/>
      <c r="E90" s="434" t="s">
        <v>346</v>
      </c>
      <c r="F90" s="440">
        <f>IF(RIGHT(Nb_diam,1)=",", "", D2j)</f>
        <v>84</v>
      </c>
      <c r="G90" s="48"/>
      <c r="H90" s="48"/>
      <c r="I90" s="48"/>
      <c r="J90" s="441">
        <f>X_ail-m_ail</f>
        <v>720</v>
      </c>
      <c r="K90" s="2"/>
      <c r="N90" s="75"/>
    </row>
    <row r="91" spans="2:14" x14ac:dyDescent="0.2">
      <c r="B91" s="74"/>
      <c r="E91" s="48"/>
      <c r="F91" s="436"/>
      <c r="G91" s="48"/>
      <c r="H91" s="48"/>
      <c r="I91" s="48"/>
      <c r="J91" s="436"/>
      <c r="K91" s="48"/>
      <c r="N91" s="75"/>
    </row>
    <row r="92" spans="2:14" x14ac:dyDescent="0.2">
      <c r="B92" s="74"/>
      <c r="E92" s="48"/>
      <c r="F92" s="436"/>
      <c r="G92" s="48"/>
      <c r="H92" s="48"/>
      <c r="I92" s="48"/>
      <c r="J92" s="440">
        <f>IF(RIGHT(Nb_diam,1)=",", "", l_r)</f>
        <v>50</v>
      </c>
      <c r="K92" s="48"/>
      <c r="N92" s="75"/>
    </row>
    <row r="93" spans="2:14" x14ac:dyDescent="0.2">
      <c r="B93" s="74"/>
      <c r="E93" s="48"/>
      <c r="F93" s="436"/>
      <c r="G93" s="48"/>
      <c r="H93" s="48"/>
      <c r="I93" s="48"/>
      <c r="J93" s="436"/>
      <c r="K93" s="48"/>
      <c r="N93" s="75"/>
    </row>
    <row r="94" spans="2:14" x14ac:dyDescent="0.2">
      <c r="B94" s="74"/>
      <c r="E94" s="434" t="s">
        <v>347</v>
      </c>
      <c r="F94" s="440">
        <f>IF(RIGHT(Nb_diam,1)=",", "", D2r)</f>
        <v>84</v>
      </c>
      <c r="G94" s="48"/>
      <c r="H94" s="48"/>
      <c r="I94" s="48"/>
      <c r="J94" s="436"/>
      <c r="K94" s="48"/>
      <c r="N94" s="75"/>
    </row>
    <row r="95" spans="2:14" x14ac:dyDescent="0.2">
      <c r="B95" s="74"/>
      <c r="E95" s="48"/>
      <c r="F95" s="436"/>
      <c r="G95" s="48"/>
      <c r="H95" s="48"/>
      <c r="I95" s="48"/>
      <c r="J95" s="436"/>
      <c r="K95" s="48"/>
      <c r="N95" s="75"/>
    </row>
    <row r="96" spans="2:14" ht="13.5" thickBot="1" x14ac:dyDescent="0.25">
      <c r="B96" s="74"/>
      <c r="E96" s="48"/>
      <c r="F96" s="436"/>
      <c r="G96" s="48"/>
      <c r="H96" s="48"/>
      <c r="I96" s="48"/>
      <c r="J96" s="436"/>
      <c r="K96" s="48"/>
      <c r="N96" s="75"/>
    </row>
    <row r="97" spans="2:14" ht="13.5" thickBot="1" x14ac:dyDescent="0.25">
      <c r="B97" s="74"/>
      <c r="E97" s="273" t="s">
        <v>348</v>
      </c>
      <c r="F97" s="441">
        <f>m_ail</f>
        <v>130</v>
      </c>
      <c r="G97" s="48"/>
      <c r="H97" s="48"/>
      <c r="I97" s="48"/>
      <c r="J97" s="441">
        <f>p_ail</f>
        <v>130</v>
      </c>
      <c r="K97" s="2"/>
      <c r="N97" s="75"/>
    </row>
    <row r="98" spans="2:14" x14ac:dyDescent="0.2">
      <c r="B98" s="74"/>
      <c r="E98" s="48"/>
      <c r="F98" s="48"/>
      <c r="G98" s="48"/>
      <c r="H98" s="48"/>
      <c r="I98" s="48"/>
      <c r="J98" s="436"/>
      <c r="K98" s="48"/>
      <c r="N98" s="75"/>
    </row>
    <row r="99" spans="2:14" x14ac:dyDescent="0.2">
      <c r="B99" s="74"/>
      <c r="E99" s="48"/>
      <c r="F99" s="48"/>
      <c r="G99" s="48"/>
      <c r="H99" s="48"/>
      <c r="I99" s="48"/>
      <c r="J99" s="436"/>
      <c r="K99" s="48"/>
      <c r="N99" s="75"/>
    </row>
    <row r="100" spans="2:14" ht="13.5" thickBot="1" x14ac:dyDescent="0.25">
      <c r="B100" s="74"/>
      <c r="D100" s="429" t="s">
        <v>350</v>
      </c>
      <c r="E100" s="246">
        <f>Q_ail</f>
        <v>4</v>
      </c>
      <c r="F100" s="430"/>
      <c r="G100" s="48"/>
      <c r="H100" s="48"/>
      <c r="I100" s="48"/>
      <c r="J100" s="436"/>
      <c r="K100" s="48"/>
      <c r="N100" s="75"/>
    </row>
    <row r="101" spans="2:14" ht="13.5" thickBot="1" x14ac:dyDescent="0.25">
      <c r="B101" s="74"/>
      <c r="D101" s="437" t="s">
        <v>354</v>
      </c>
      <c r="E101" s="6">
        <f ca="1">XpropuRef-Long_propu</f>
        <v>622</v>
      </c>
      <c r="F101" s="252"/>
      <c r="G101" s="48"/>
      <c r="H101" s="48"/>
      <c r="I101" s="48"/>
      <c r="J101" s="441">
        <f>n_ail</f>
        <v>70</v>
      </c>
      <c r="K101" s="2"/>
      <c r="N101" s="75"/>
    </row>
    <row r="102" spans="2:14" x14ac:dyDescent="0.2">
      <c r="B102" s="74"/>
      <c r="D102" s="437" t="s">
        <v>351</v>
      </c>
      <c r="E102" s="6">
        <f>IF(LEFT(Forme_ogive,4)="Ogiv",1,0)</f>
        <v>0</v>
      </c>
      <c r="F102" s="252" t="s">
        <v>352</v>
      </c>
      <c r="G102" s="48"/>
      <c r="H102" s="48"/>
      <c r="I102" s="48"/>
      <c r="J102" s="436"/>
      <c r="K102" s="48"/>
      <c r="N102" s="75"/>
    </row>
    <row r="103" spans="2:14" x14ac:dyDescent="0.2">
      <c r="B103" s="74"/>
      <c r="D103" s="437"/>
      <c r="E103" s="6">
        <f>IF(LEFT(Forme_ogive,3)="Con",1,0)</f>
        <v>1</v>
      </c>
      <c r="F103" s="252" t="s">
        <v>162</v>
      </c>
      <c r="G103" s="48"/>
      <c r="H103" s="48"/>
      <c r="I103" s="48"/>
      <c r="J103" s="436"/>
      <c r="K103" s="48"/>
      <c r="N103" s="75"/>
    </row>
    <row r="104" spans="2:14" ht="13.5" thickBot="1" x14ac:dyDescent="0.25">
      <c r="B104" s="74"/>
      <c r="D104" s="431"/>
      <c r="E104" s="274">
        <f>IF(LEFT(Forme_ogive,5)="Parab",1,0)</f>
        <v>0</v>
      </c>
      <c r="F104" s="289" t="s">
        <v>353</v>
      </c>
      <c r="G104" s="48"/>
      <c r="H104" s="48"/>
      <c r="I104" s="48"/>
      <c r="J104" s="12" t="s">
        <v>349</v>
      </c>
      <c r="K104" s="48"/>
      <c r="N104" s="75"/>
    </row>
    <row r="105" spans="2:14" ht="13.5" thickBot="1" x14ac:dyDescent="0.25">
      <c r="B105" s="74"/>
      <c r="D105" s="2"/>
      <c r="E105" s="2"/>
      <c r="F105" s="2"/>
      <c r="G105" s="273"/>
      <c r="H105" s="441">
        <f>E_ail</f>
        <v>110</v>
      </c>
      <c r="I105" s="273"/>
      <c r="J105" s="441">
        <f>ep_ail</f>
        <v>4</v>
      </c>
      <c r="K105" s="48"/>
      <c r="N105" s="75"/>
    </row>
    <row r="106" spans="2:14" x14ac:dyDescent="0.2">
      <c r="B106" s="74"/>
      <c r="D106" s="429"/>
      <c r="E106" s="246" t="s">
        <v>358</v>
      </c>
      <c r="F106" s="243" t="s">
        <v>357</v>
      </c>
      <c r="N106" s="75"/>
    </row>
    <row r="107" spans="2:14" x14ac:dyDescent="0.2">
      <c r="B107" s="74"/>
      <c r="D107" s="437" t="s">
        <v>355</v>
      </c>
      <c r="E107" s="6">
        <f>MasseSans</f>
        <v>2</v>
      </c>
      <c r="F107" s="244">
        <f ca="1">MassePlein</f>
        <v>2.1598999999999999</v>
      </c>
      <c r="N107" s="75"/>
    </row>
    <row r="108" spans="2:14" x14ac:dyDescent="0.2">
      <c r="B108" s="74"/>
      <c r="D108" s="431" t="s">
        <v>356</v>
      </c>
      <c r="E108" s="274">
        <f>XcgSans</f>
        <v>500</v>
      </c>
      <c r="F108" s="260">
        <f ca="1">XcgPlein</f>
        <v>517.47136441501925</v>
      </c>
      <c r="N108" s="75"/>
    </row>
    <row r="109" spans="2:14" x14ac:dyDescent="0.2">
      <c r="B109" s="74"/>
      <c r="N109" s="75"/>
    </row>
    <row r="110" spans="2:14" x14ac:dyDescent="0.2">
      <c r="B110" s="74"/>
      <c r="D110" s="438" t="s">
        <v>359</v>
      </c>
      <c r="E110" s="439">
        <f ca="1">MasseVide</f>
        <v>2.0842999999999998</v>
      </c>
      <c r="G110" s="429" t="s">
        <v>360</v>
      </c>
      <c r="H110" s="265"/>
      <c r="I110" s="265"/>
      <c r="J110" s="266"/>
      <c r="N110" s="75"/>
    </row>
    <row r="111" spans="2:14" x14ac:dyDescent="0.2">
      <c r="B111" s="74"/>
      <c r="G111" s="276" t="s">
        <v>216</v>
      </c>
      <c r="H111" s="6">
        <f>Beta_rampe</f>
        <v>85</v>
      </c>
      <c r="I111" s="6">
        <v>80</v>
      </c>
      <c r="J111" s="244">
        <v>90</v>
      </c>
      <c r="N111" s="75"/>
    </row>
    <row r="112" spans="2:14" x14ac:dyDescent="0.2">
      <c r="B112" s="74"/>
      <c r="G112" s="278" t="s">
        <v>218</v>
      </c>
      <c r="H112" s="247">
        <f ca="1">Temps_culmi</f>
        <v>5.8999999999999959</v>
      </c>
      <c r="I112" s="259"/>
      <c r="J112" s="268"/>
      <c r="N112" s="75"/>
    </row>
    <row r="113" spans="2:14" ht="12.75" customHeight="1" x14ac:dyDescent="0.25">
      <c r="B113" s="74"/>
      <c r="D113" s="435" t="s">
        <v>361</v>
      </c>
      <c r="E113" s="48"/>
      <c r="G113" s="278" t="s">
        <v>219</v>
      </c>
      <c r="H113" s="242">
        <f ca="1">Altitude_culmi</f>
        <v>165.14105142193264</v>
      </c>
      <c r="I113" s="259"/>
      <c r="J113" s="268"/>
      <c r="N113" s="75"/>
    </row>
    <row r="114" spans="2:14" ht="12.75" customHeight="1" x14ac:dyDescent="0.25">
      <c r="B114" s="74"/>
      <c r="D114" s="48"/>
      <c r="E114" s="48"/>
      <c r="F114" s="435"/>
      <c r="G114" s="278" t="s">
        <v>220</v>
      </c>
      <c r="H114" s="248">
        <f ca="1">Vit_culmi</f>
        <v>4.94011363708504</v>
      </c>
      <c r="I114" s="259"/>
      <c r="J114" s="268"/>
      <c r="N114" s="75"/>
    </row>
    <row r="115" spans="2:14" x14ac:dyDescent="0.2">
      <c r="B115" s="74"/>
      <c r="C115" s="429" t="s">
        <v>362</v>
      </c>
      <c r="D115" s="249"/>
      <c r="E115" s="446">
        <v>0.1</v>
      </c>
      <c r="G115" s="278" t="s">
        <v>136</v>
      </c>
      <c r="H115" s="242">
        <f ca="1">Portee_balistique</f>
        <v>56.288824373840264</v>
      </c>
      <c r="I115" s="259"/>
      <c r="J115" s="268"/>
      <c r="N115" s="75"/>
    </row>
    <row r="116" spans="2:14" ht="12.75" customHeight="1" x14ac:dyDescent="0.2">
      <c r="B116" s="74"/>
      <c r="C116" s="431" t="s">
        <v>363</v>
      </c>
      <c r="D116" s="255"/>
      <c r="E116" s="447">
        <f>E_ail*(m_ail+n_ail)/2</f>
        <v>11000</v>
      </c>
      <c r="G116" s="278" t="s">
        <v>140</v>
      </c>
      <c r="H116" s="248">
        <f ca="1">Vit_max</f>
        <v>55.677359556111739</v>
      </c>
      <c r="I116" s="259"/>
      <c r="J116" s="268"/>
      <c r="N116" s="75"/>
    </row>
    <row r="117" spans="2:14" ht="12.75" customHeight="1" x14ac:dyDescent="0.2">
      <c r="B117" s="74"/>
      <c r="D117" s="48"/>
      <c r="E117" s="48"/>
      <c r="F117" s="48"/>
      <c r="G117" s="278" t="s">
        <v>139</v>
      </c>
      <c r="H117" s="242">
        <f ca="1">Acc_max</f>
        <v>101.47638606500777</v>
      </c>
      <c r="I117" s="259"/>
      <c r="J117" s="268"/>
      <c r="N117" s="75"/>
    </row>
    <row r="118" spans="2:14" x14ac:dyDescent="0.2">
      <c r="B118" s="74"/>
      <c r="C118" s="429" t="s">
        <v>364</v>
      </c>
      <c r="D118" s="249"/>
      <c r="E118" s="457"/>
      <c r="F118" s="458">
        <f>J90/100</f>
        <v>7.2</v>
      </c>
      <c r="G118" s="276" t="s">
        <v>5</v>
      </c>
      <c r="H118" s="6">
        <f>Cx</f>
        <v>0.6</v>
      </c>
      <c r="I118" s="259"/>
      <c r="J118" s="268"/>
      <c r="N118" s="75"/>
    </row>
    <row r="119" spans="2:14" x14ac:dyDescent="0.2">
      <c r="B119" s="74"/>
      <c r="C119" s="437" t="s">
        <v>365</v>
      </c>
      <c r="D119" s="2"/>
      <c r="E119" s="459">
        <f ca="1">2*Acc_max*MasseSans</f>
        <v>405.90554426003109</v>
      </c>
      <c r="F119" s="460">
        <f ca="1">E119/g</f>
        <v>41.376711953112242</v>
      </c>
      <c r="G119" s="269" t="s">
        <v>225</v>
      </c>
      <c r="H119" s="270"/>
      <c r="I119" s="270"/>
      <c r="J119" s="271"/>
      <c r="N119" s="75"/>
    </row>
    <row r="120" spans="2:14" x14ac:dyDescent="0.2">
      <c r="B120" s="74"/>
      <c r="C120" s="437" t="s">
        <v>366</v>
      </c>
      <c r="D120" s="2"/>
      <c r="E120" s="459">
        <f ca="1">2*Acc_max*E115</f>
        <v>20.295277213001555</v>
      </c>
      <c r="F120" s="460">
        <f ca="1">E120/g</f>
        <v>2.0688355976556121</v>
      </c>
      <c r="N120" s="75"/>
    </row>
    <row r="121" spans="2:14" x14ac:dyDescent="0.2">
      <c r="B121" s="74"/>
      <c r="C121" s="431" t="s">
        <v>367</v>
      </c>
      <c r="D121" s="255"/>
      <c r="E121" s="452">
        <f ca="1">0.104*E116/1000000*Vit_max^2</f>
        <v>3.5463638120087864</v>
      </c>
      <c r="F121" s="453">
        <f ca="1">E121/g</f>
        <v>0.36150497573993745</v>
      </c>
      <c r="G121" s="48"/>
      <c r="H121" s="48"/>
      <c r="I121" s="48"/>
      <c r="J121" s="48"/>
      <c r="N121" s="75"/>
    </row>
    <row r="122" spans="2:14" ht="12.75" customHeight="1" x14ac:dyDescent="0.2">
      <c r="B122" s="74"/>
      <c r="H122" s="48"/>
      <c r="I122" s="48"/>
      <c r="J122" s="48"/>
      <c r="N122" s="75"/>
    </row>
    <row r="123" spans="2:14" ht="12.75" customHeight="1" x14ac:dyDescent="0.25">
      <c r="B123" s="74"/>
      <c r="G123" s="435"/>
      <c r="H123" s="435"/>
      <c r="I123" s="435"/>
      <c r="J123" s="48"/>
      <c r="N123" s="75"/>
    </row>
    <row r="124" spans="2:14" ht="12.75" customHeight="1" x14ac:dyDescent="0.25">
      <c r="B124" s="74"/>
      <c r="C124" s="48"/>
      <c r="D124" s="435" t="s">
        <v>368</v>
      </c>
      <c r="E124" s="448"/>
      <c r="J124" s="48"/>
      <c r="K124" s="48"/>
      <c r="N124" s="75"/>
    </row>
    <row r="125" spans="2:14" x14ac:dyDescent="0.2">
      <c r="B125" s="74"/>
      <c r="C125" s="445" t="s">
        <v>369</v>
      </c>
      <c r="J125" s="48"/>
      <c r="K125" s="48"/>
      <c r="N125" s="75"/>
    </row>
    <row r="126" spans="2:14" x14ac:dyDescent="0.2">
      <c r="B126" s="74"/>
      <c r="C126" s="429" t="s">
        <v>370</v>
      </c>
      <c r="D126" s="249"/>
      <c r="E126" s="449">
        <v>4</v>
      </c>
      <c r="G126" s="48"/>
      <c r="J126" s="48"/>
      <c r="N126" s="75"/>
    </row>
    <row r="127" spans="2:14" x14ac:dyDescent="0.2">
      <c r="B127" s="74"/>
      <c r="C127" s="431" t="s">
        <v>371</v>
      </c>
      <c r="D127" s="255"/>
      <c r="E127" s="456">
        <f>S_para</f>
        <v>1.5070049999999999</v>
      </c>
      <c r="G127" s="48"/>
      <c r="J127" s="48"/>
      <c r="N127" s="75"/>
    </row>
    <row r="128" spans="2:14" x14ac:dyDescent="0.2">
      <c r="B128" s="74"/>
      <c r="C128" s="669" t="s">
        <v>372</v>
      </c>
      <c r="D128" s="670"/>
      <c r="E128" s="450">
        <f ca="1">0.5*Rho_moyen*S_para*Vit_culmi^2</f>
        <v>22.526549012336872</v>
      </c>
      <c r="F128" s="451">
        <f ca="1">E128/g</f>
        <v>2.2962843029905069</v>
      </c>
      <c r="H128" s="48"/>
      <c r="I128" s="48"/>
      <c r="J128" s="48"/>
      <c r="K128" s="48"/>
      <c r="N128" s="75"/>
    </row>
    <row r="129" spans="2:14" x14ac:dyDescent="0.2">
      <c r="B129" s="74"/>
      <c r="C129" s="667" t="s">
        <v>373</v>
      </c>
      <c r="D129" s="668"/>
      <c r="E129" s="452">
        <f ca="1">E128/E126*2</f>
        <v>11.263274506168436</v>
      </c>
      <c r="F129" s="453">
        <f ca="1">E129/g</f>
        <v>1.1481421514952534</v>
      </c>
      <c r="H129" s="48"/>
      <c r="I129" s="48"/>
      <c r="J129" s="48"/>
      <c r="K129" s="48"/>
      <c r="N129" s="75"/>
    </row>
    <row r="130" spans="2:14" x14ac:dyDescent="0.2">
      <c r="B130" s="74"/>
      <c r="C130" s="47"/>
      <c r="D130" s="47"/>
      <c r="E130" s="443"/>
      <c r="F130" s="444"/>
      <c r="H130" s="48"/>
      <c r="I130" s="48"/>
      <c r="J130" s="48"/>
      <c r="K130" s="48"/>
      <c r="N130" s="75"/>
    </row>
    <row r="131" spans="2:14" x14ac:dyDescent="0.2">
      <c r="B131" s="74"/>
      <c r="C131" s="445" t="s">
        <v>374</v>
      </c>
      <c r="D131" s="48"/>
      <c r="E131" s="48"/>
      <c r="F131" s="48"/>
      <c r="G131" s="48"/>
      <c r="H131" s="48"/>
      <c r="I131" s="48"/>
      <c r="J131" s="48"/>
      <c r="K131" s="48"/>
      <c r="N131" s="75"/>
    </row>
    <row r="132" spans="2:14" x14ac:dyDescent="0.2">
      <c r="B132" s="74"/>
      <c r="C132" s="669" t="s">
        <v>375</v>
      </c>
      <c r="D132" s="670"/>
      <c r="E132" s="454">
        <v>1</v>
      </c>
      <c r="F132" s="48"/>
      <c r="G132" s="48"/>
      <c r="H132" s="48"/>
      <c r="I132" s="48"/>
      <c r="J132" s="442"/>
      <c r="K132" s="48"/>
      <c r="N132" s="75"/>
    </row>
    <row r="133" spans="2:14" x14ac:dyDescent="0.2">
      <c r="B133" s="74"/>
      <c r="C133" s="667" t="s">
        <v>376</v>
      </c>
      <c r="D133" s="668"/>
      <c r="E133" s="455">
        <f ca="1">2*E132*Acc_max/g</f>
        <v>20.688355976556121</v>
      </c>
      <c r="F133" s="48"/>
      <c r="G133" s="48"/>
      <c r="H133" s="48"/>
      <c r="I133" s="48"/>
      <c r="J133" s="48"/>
      <c r="K133" s="48"/>
      <c r="N133" s="75"/>
    </row>
    <row r="134" spans="2:14" ht="13.5" thickBot="1" x14ac:dyDescent="0.25">
      <c r="B134" s="77"/>
      <c r="C134" s="461"/>
      <c r="D134" s="461"/>
      <c r="E134" s="461"/>
      <c r="F134" s="461"/>
      <c r="G134" s="461"/>
      <c r="H134" s="461"/>
      <c r="I134" s="461"/>
      <c r="J134" s="461"/>
      <c r="K134" s="461"/>
      <c r="L134" s="78"/>
      <c r="M134" s="78"/>
      <c r="N134" s="79"/>
    </row>
  </sheetData>
  <sheetProtection password="C6AC" sheet="1"/>
  <mergeCells count="22">
    <mergeCell ref="E31:G31"/>
    <mergeCell ref="M29:M30"/>
    <mergeCell ref="H30:I30"/>
    <mergeCell ref="L29:L30"/>
    <mergeCell ref="H31:I31"/>
    <mergeCell ref="C133:D133"/>
    <mergeCell ref="C128:D128"/>
    <mergeCell ref="C129:D129"/>
    <mergeCell ref="C132:D132"/>
    <mergeCell ref="H44:I44"/>
    <mergeCell ref="H45:I45"/>
    <mergeCell ref="H46:I46"/>
    <mergeCell ref="H11:I11"/>
    <mergeCell ref="H12:I12"/>
    <mergeCell ref="H13:I13"/>
    <mergeCell ref="H29:K29"/>
    <mergeCell ref="C29:C30"/>
    <mergeCell ref="D29:D30"/>
    <mergeCell ref="H17:I17"/>
    <mergeCell ref="H18:I18"/>
    <mergeCell ref="H19:I19"/>
    <mergeCell ref="E29:G30"/>
  </mergeCells>
  <phoneticPr fontId="8" type="noConversion"/>
  <conditionalFormatting sqref="D18:E18">
    <cfRule type="expression" dxfId="2" priority="2" stopIfTrue="1">
      <formula>IF(Propu="Cariacou",0,1)</formula>
    </cfRule>
  </conditionalFormatting>
  <conditionalFormatting sqref="F18:I19">
    <cfRule type="expression" dxfId="1" priority="1" stopIfTrue="1">
      <formula>IF(Propu="Cariacou",1,0)</formula>
    </cfRule>
  </conditionalFormatting>
  <conditionalFormatting sqref="I16 I68:I73">
    <cfRule type="expression" dxfId="0" priority="6" stopIfTrue="1">
      <formula>Nb_sat="0 satellite"</formula>
    </cfRule>
  </conditionalFormatting>
  <pageMargins left="0.39370078740157483" right="0.39370078740157483" top="0.39370078740157483" bottom="0.39370078740157483" header="0" footer="0"/>
  <pageSetup paperSize="9" scale="61" orientation="portrait"/>
  <ignoredErrors>
    <ignoredError sqref="H65 H63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214</vt:i4>
      </vt:variant>
    </vt:vector>
  </HeadingPairs>
  <TitlesOfParts>
    <vt:vector size="222" baseType="lpstr">
      <vt:lpstr>Stabilito</vt:lpstr>
      <vt:lpstr>Trajecto</vt:lpstr>
      <vt:lpstr>Courbes</vt:lpstr>
      <vt:lpstr>Propu</vt:lpstr>
      <vt:lpstr>Calculs</vt:lpstr>
      <vt:lpstr>Abaco</vt:lpstr>
      <vt:lpstr>Info</vt:lpstr>
      <vt:lpstr>Controle</vt:lpstr>
      <vt:lpstr>a_prop</vt:lpstr>
      <vt:lpstr>Acc_max</vt:lpstr>
      <vt:lpstr>acc_x</vt:lpstr>
      <vt:lpstr>acc_xz</vt:lpstr>
      <vt:lpstr>acc_z</vt:lpstr>
      <vt:lpstr>Alt_para</vt:lpstr>
      <vt:lpstr>alt_prop</vt:lpstr>
      <vt:lpstr>Alt_rampe</vt:lpstr>
      <vt:lpstr>Alt_sat</vt:lpstr>
      <vt:lpstr>Altitude_culmi</vt:lpstr>
      <vt:lpstr>b_bal</vt:lpstr>
      <vt:lpstr>b_prop</vt:lpstr>
      <vt:lpstr>Beta</vt:lpstr>
      <vt:lpstr>Beta_rampe</vt:lpstr>
      <vt:lpstr>BetaD</vt:lpstr>
      <vt:lpstr>CdP</vt:lpstr>
      <vt:lpstr>CdP_P</vt:lpstr>
      <vt:lpstr>CdP_t</vt:lpstr>
      <vt:lpstr>Club</vt:lpstr>
      <vt:lpstr>Cn</vt:lpstr>
      <vt:lpstr>Cn0</vt:lpstr>
      <vt:lpstr>Stabilito!Cnai</vt:lpstr>
      <vt:lpstr>Cnai0</vt:lpstr>
      <vt:lpstr>Stabilito!Cnail</vt:lpstr>
      <vt:lpstr>Stabilito!Cnc</vt:lpstr>
      <vt:lpstr>Stabilito!Cni</vt:lpstr>
      <vt:lpstr>Cni0</vt:lpstr>
      <vt:lpstr>Stabilito!Cnj</vt:lpstr>
      <vt:lpstr>Stabilito!Cno</vt:lpstr>
      <vt:lpstr>Stabilito!Cnr</vt:lpstr>
      <vt:lpstr>Combustion</vt:lpstr>
      <vt:lpstr>Stabilito!CritCnmax</vt:lpstr>
      <vt:lpstr>Stabilito!CritCnmin</vt:lpstr>
      <vt:lpstr>Stabilito!CritFinessemax</vt:lpstr>
      <vt:lpstr>Stabilito!CritFinessemin</vt:lpstr>
      <vt:lpstr>Stabilito!CritMsCnmax</vt:lpstr>
      <vt:lpstr>Stabilito!CritMsCnmin</vt:lpstr>
      <vt:lpstr>Stabilito!CritMsmax</vt:lpstr>
      <vt:lpstr>Stabilito!CritMsmin</vt:lpstr>
      <vt:lpstr>Cx</vt:lpstr>
      <vt:lpstr>Cx_para</vt:lpstr>
      <vt:lpstr>Cx_satellite</vt:lpstr>
      <vt:lpstr>D_ail</vt:lpstr>
      <vt:lpstr>Stabilito!D_can</vt:lpstr>
      <vt:lpstr>Stabilito!D_int</vt:lpstr>
      <vt:lpstr>D_og</vt:lpstr>
      <vt:lpstr>D_ref</vt:lpstr>
      <vt:lpstr>D_var</vt:lpstr>
      <vt:lpstr>D1j</vt:lpstr>
      <vt:lpstr>D1r</vt:lpstr>
      <vt:lpstr>D2j</vt:lpstr>
      <vt:lpstr>D2r</vt:lpstr>
      <vt:lpstr>Débit</vt:lpstr>
      <vt:lpstr>Depotage</vt:lpstr>
      <vt:lpstr>Diam_propu</vt:lpstr>
      <vt:lpstr>Dt_para</vt:lpstr>
      <vt:lpstr>Dt_satellite</vt:lpstr>
      <vt:lpstr>Dx_para</vt:lpstr>
      <vt:lpstr>Dx_sat</vt:lpstr>
      <vt:lpstr>E_ail</vt:lpstr>
      <vt:lpstr>E_can</vt:lpstr>
      <vt:lpstr>Stabilito!E_int</vt:lpstr>
      <vt:lpstr>ep_ail</vt:lpstr>
      <vt:lpstr>ep_can</vt:lpstr>
      <vt:lpstr>Stabilito!ep_int</vt:lpstr>
      <vt:lpstr>Event</vt:lpstr>
      <vt:lpstr>Event_para</vt:lpstr>
      <vt:lpstr>Event_sat</vt:lpstr>
      <vt:lpstr>Stabilito!f_ail</vt:lpstr>
      <vt:lpstr>Stabilito!f_can</vt:lpstr>
      <vt:lpstr>Stabilito!f_int</vt:lpstr>
      <vt:lpstr>Finesse</vt:lpstr>
      <vt:lpstr>Forme_ogive</vt:lpstr>
      <vt:lpstr>g</vt:lpstr>
      <vt:lpstr>i_P</vt:lpstr>
      <vt:lpstr>I_total</vt:lpstr>
      <vt:lpstr>ISP</vt:lpstr>
      <vt:lpstr>l_j</vt:lpstr>
      <vt:lpstr>l_r</vt:lpstr>
      <vt:lpstr>L_rampe</vt:lpstr>
      <vt:lpstr>Lang</vt:lpstr>
      <vt:lpstr>Liste_µfu</vt:lpstr>
      <vt:lpstr>Liste_fusex</vt:lpstr>
      <vt:lpstr>Liste_H2O</vt:lpstr>
      <vt:lpstr>Liste_minif</vt:lpstr>
      <vt:lpstr>Liste_minifT</vt:lpstr>
      <vt:lpstr>Liste_propu</vt:lpstr>
      <vt:lpstr>Liste_RC</vt:lpstr>
      <vt:lpstr>Long_ogive</vt:lpstr>
      <vt:lpstr>Long_propu</vt:lpstr>
      <vt:lpstr>Long_tot</vt:lpstr>
      <vt:lpstr>m</vt:lpstr>
      <vt:lpstr>m_ail</vt:lpstr>
      <vt:lpstr>m_bal</vt:lpstr>
      <vt:lpstr>m_can</vt:lpstr>
      <vt:lpstr>Stabilito!m_int</vt:lpstr>
      <vt:lpstr>m_poudre</vt:lpstr>
      <vt:lpstr>m_prop</vt:lpstr>
      <vt:lpstr>m_satellite</vt:lpstr>
      <vt:lpstr>m_tot</vt:lpstr>
      <vt:lpstr>m_var</vt:lpstr>
      <vt:lpstr>m_vide</vt:lpstr>
      <vt:lpstr>Masse_ail</vt:lpstr>
      <vt:lpstr>MassePlein</vt:lpstr>
      <vt:lpstr>MasseSans</vt:lpstr>
      <vt:lpstr>MasseVide</vt:lpstr>
      <vt:lpstr>Menu_Empennage</vt:lpstr>
      <vt:lpstr>Menu_Lang</vt:lpstr>
      <vt:lpstr>Menu_Ogive</vt:lpstr>
      <vt:lpstr>Menu_sat</vt:lpstr>
      <vt:lpstr>Menu_Transitions</vt:lpstr>
      <vt:lpstr>Menu_Type</vt:lpstr>
      <vt:lpstr>Menu_with_motor</vt:lpstr>
      <vt:lpstr>MpropuPlein</vt:lpstr>
      <vt:lpstr>MpropuVide</vt:lpstr>
      <vt:lpstr>MS_Cn_max</vt:lpstr>
      <vt:lpstr>MS_Cn_min</vt:lpstr>
      <vt:lpstr>MS_max</vt:lpstr>
      <vt:lpstr>MS_min</vt:lpstr>
      <vt:lpstr>n_ail</vt:lpstr>
      <vt:lpstr>n_can</vt:lpstr>
      <vt:lpstr>Stabilito!n_int</vt:lpstr>
      <vt:lpstr>Nb_diam</vt:lpstr>
      <vt:lpstr>Nb_sat</vt:lpstr>
      <vt:lpstr>Nom</vt:lpstr>
      <vt:lpstr>p_ail</vt:lpstr>
      <vt:lpstr>p_can</vt:lpstr>
      <vt:lpstr>Stabilito!p_int</vt:lpstr>
      <vt:lpstr>pas</vt:lpstr>
      <vt:lpstr>Poids</vt:lpstr>
      <vt:lpstr>Portee_balistique</vt:lpstr>
      <vt:lpstr>pos_x</vt:lpstr>
      <vt:lpstr>pos_xz</vt:lpstr>
      <vt:lpstr>pos_z</vt:lpstr>
      <vt:lpstr>pos_z_montant</vt:lpstr>
      <vt:lpstr>Poussee</vt:lpstr>
      <vt:lpstr>Propu</vt:lpstr>
      <vt:lpstr>Q_ail</vt:lpstr>
      <vt:lpstr>Q_can</vt:lpstr>
      <vt:lpstr>Stabilito!Q_int</vt:lpstr>
      <vt:lpstr>Q_var</vt:lpstr>
      <vt:lpstr>R_rampe</vt:lpstr>
      <vt:lpstr>Rho</vt:lpstr>
      <vt:lpstr>Rho_moyen</vt:lpstr>
      <vt:lpstr>S_ail</vt:lpstr>
      <vt:lpstr>S_para</vt:lpstr>
      <vt:lpstr>S_para_croix</vt:lpstr>
      <vt:lpstr>S_para_rond</vt:lpstr>
      <vt:lpstr>S_satellite</vt:lpstr>
      <vt:lpstr>Sref</vt:lpstr>
      <vt:lpstr>sS</vt:lpstr>
      <vt:lpstr>t</vt:lpstr>
      <vt:lpstr>T_balistique</vt:lpstr>
      <vt:lpstr>T_ini</vt:lpstr>
      <vt:lpstr>T_para</vt:lpstr>
      <vt:lpstr>T_satellite</vt:lpstr>
      <vt:lpstr>Temps_culmi</vt:lpstr>
      <vt:lpstr>Temps_fin_propu</vt:lpstr>
      <vt:lpstr>Trainee</vt:lpstr>
      <vt:lpstr>tT_fus</vt:lpstr>
      <vt:lpstr>tT_sat</vt:lpstr>
      <vt:lpstr>Type_fusee</vt:lpstr>
      <vt:lpstr>Abaco!Type_masquage</vt:lpstr>
      <vt:lpstr>Stabilito!Type_masquage</vt:lpstr>
      <vt:lpstr>Type_propu</vt:lpstr>
      <vt:lpstr>V_ini</vt:lpstr>
      <vt:lpstr>V_ouv_sat</vt:lpstr>
      <vt:lpstr>V_ouverture</vt:lpstr>
      <vt:lpstr>V_para</vt:lpstr>
      <vt:lpstr>V_prop</vt:lpstr>
      <vt:lpstr>V_satellite</vt:lpstr>
      <vt:lpstr>V_vent</vt:lpstr>
      <vt:lpstr>V_vent_sat</vt:lpstr>
      <vt:lpstr>Stabilito!Version</vt:lpstr>
      <vt:lpstr>Trajecto!Version</vt:lpstr>
      <vt:lpstr>Vit_culmi</vt:lpstr>
      <vt:lpstr>Vit_max</vt:lpstr>
      <vt:lpstr>vit_x</vt:lpstr>
      <vt:lpstr>vit_xz</vt:lpstr>
      <vt:lpstr>vit_z</vt:lpstr>
      <vt:lpstr>Vsortie_de_rampe</vt:lpstr>
      <vt:lpstr>X_ail</vt:lpstr>
      <vt:lpstr>X_can</vt:lpstr>
      <vt:lpstr>X_culmi</vt:lpstr>
      <vt:lpstr>X_ini</vt:lpstr>
      <vt:lpstr>Stabilito!X_int</vt:lpstr>
      <vt:lpstr>X_j</vt:lpstr>
      <vt:lpstr>X_para</vt:lpstr>
      <vt:lpstr>X_r</vt:lpstr>
      <vt:lpstr>X_satellite</vt:lpstr>
      <vt:lpstr>XcgPlein</vt:lpstr>
      <vt:lpstr>XcgSans</vt:lpstr>
      <vt:lpstr>XcgVide</vt:lpstr>
      <vt:lpstr>Stabilito!XCp</vt:lpstr>
      <vt:lpstr>XCp0</vt:lpstr>
      <vt:lpstr>Stabilito!XCpa</vt:lpstr>
      <vt:lpstr>Stabilito!XCpai</vt:lpstr>
      <vt:lpstr>XCpai0</vt:lpstr>
      <vt:lpstr>Stabilito!XCpc</vt:lpstr>
      <vt:lpstr>Stabilito!XCpi</vt:lpstr>
      <vt:lpstr>XCpi0</vt:lpstr>
      <vt:lpstr>Stabilito!XCpj</vt:lpstr>
      <vt:lpstr>Stabilito!XCpo</vt:lpstr>
      <vt:lpstr>Stabilito!XCpr</vt:lpstr>
      <vt:lpstr>XpropuPlein</vt:lpstr>
      <vt:lpstr>XpropuRef</vt:lpstr>
      <vt:lpstr>XpropuVide</vt:lpstr>
      <vt:lpstr>Z_ini</vt:lpstr>
      <vt:lpstr>Abaco!Zone_d_impression</vt:lpstr>
      <vt:lpstr>Courbes!Zone_d_impression</vt:lpstr>
      <vt:lpstr>Stabilito!Zone_d_impression</vt:lpstr>
      <vt:lpstr>Trajecto!Zone_d_impression</vt:lpstr>
      <vt:lpstr>zZ_fus</vt:lpstr>
      <vt:lpstr>zZ_sat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StabTraj</dc:title>
  <dc:creator>Léo Côme;Sylvain Besson</dc:creator>
  <cp:lastModifiedBy>Alexis Paillard</cp:lastModifiedBy>
  <cp:lastPrinted>2011-11-08T21:12:34Z</cp:lastPrinted>
  <dcterms:created xsi:type="dcterms:W3CDTF">2008-11-03T20:48:06Z</dcterms:created>
  <dcterms:modified xsi:type="dcterms:W3CDTF">2025-04-28T17:04:50Z</dcterms:modified>
</cp:coreProperties>
</file>